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rosati/Box/MyboxDocs/research/sphenix/QTG/bup2021/"/>
    </mc:Choice>
  </mc:AlternateContent>
  <xr:revisionPtr revIDLastSave="0" documentId="13_ncr:1_{93FD680E-74C7-D544-88D0-3CDD9AA24C82}" xr6:coauthVersionLast="36" xr6:coauthVersionMax="36" xr10:uidLastSave="{00000000-0000-0000-0000-000000000000}"/>
  <bookViews>
    <workbookView xWindow="520" yWindow="1000" windowWidth="18540" windowHeight="14220" tabRatio="500" activeTab="3" xr2:uid="{00000000-000D-0000-FFFF-FFFF00000000}"/>
  </bookViews>
  <sheets>
    <sheet name="rates-20weeks-Year1&amp;2" sheetId="20" r:id="rId1"/>
    <sheet name="rates-20weeks" sheetId="19" r:id="rId2"/>
    <sheet name="rates-24weeks" sheetId="17" r:id="rId3"/>
    <sheet name="rates-28weeks" sheetId="14" r:id="rId4"/>
    <sheet name="event-count" sheetId="7" r:id="rId5"/>
    <sheet name="cdf" sheetId="3" r:id="rId6"/>
    <sheet name="units" sheetId="4" r:id="rId7"/>
  </sheets>
  <definedNames>
    <definedName name="_xlnm.Print_Area" localSheetId="1">'rates-20weeks'!$A$34:$E$34</definedName>
    <definedName name="_xlnm.Print_Area" localSheetId="0">'rates-20weeks-Year1&amp;2'!$A$34:$E$34</definedName>
    <definedName name="_xlnm.Print_Area" localSheetId="2">'rates-24weeks'!$A$34:$E$55</definedName>
    <definedName name="_xlnm.Print_Area" localSheetId="3">'rates-28weeks'!$A$35:$E$56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20" l="1"/>
  <c r="C19" i="20" s="1"/>
  <c r="C16" i="20"/>
  <c r="B21" i="20" s="1"/>
  <c r="B22" i="20" s="1"/>
  <c r="B13" i="20"/>
  <c r="B9" i="20"/>
  <c r="B17" i="19"/>
  <c r="C16" i="19"/>
  <c r="B21" i="19" s="1"/>
  <c r="B13" i="19"/>
  <c r="B9" i="19"/>
  <c r="C35" i="17"/>
  <c r="B35" i="17"/>
  <c r="B21" i="17"/>
  <c r="B22" i="17" s="1"/>
  <c r="C19" i="17"/>
  <c r="B17" i="17"/>
  <c r="C16" i="17"/>
  <c r="B13" i="17"/>
  <c r="B9" i="17"/>
  <c r="C36" i="14"/>
  <c r="B36" i="14"/>
  <c r="B32" i="20" l="1"/>
  <c r="B28" i="20"/>
  <c r="B46" i="20"/>
  <c r="B44" i="20"/>
  <c r="B43" i="20"/>
  <c r="B42" i="20"/>
  <c r="B29" i="20"/>
  <c r="B22" i="19"/>
  <c r="C19" i="19"/>
  <c r="B42" i="19"/>
  <c r="B28" i="19"/>
  <c r="B44" i="19"/>
  <c r="B46" i="19"/>
  <c r="B43" i="19"/>
  <c r="B32" i="19"/>
  <c r="B29" i="19"/>
  <c r="B63" i="17"/>
  <c r="B55" i="17"/>
  <c r="C55" i="17" s="1"/>
  <c r="D55" i="17" s="1"/>
  <c r="E55" i="17" s="1"/>
  <c r="B54" i="17"/>
  <c r="C54" i="17" s="1"/>
  <c r="D54" i="17" s="1"/>
  <c r="E54" i="17" s="1"/>
  <c r="B53" i="17"/>
  <c r="C53" i="17" s="1"/>
  <c r="D53" i="17" s="1"/>
  <c r="E53" i="17" s="1"/>
  <c r="B52" i="17"/>
  <c r="C52" i="17" s="1"/>
  <c r="D52" i="17" s="1"/>
  <c r="E52" i="17" s="1"/>
  <c r="B43" i="17"/>
  <c r="B42" i="17"/>
  <c r="B28" i="17"/>
  <c r="B64" i="17"/>
  <c r="B39" i="17"/>
  <c r="B67" i="17"/>
  <c r="B65" i="17"/>
  <c r="B32" i="17"/>
  <c r="B31" i="17"/>
  <c r="B13" i="14"/>
  <c r="B9" i="14"/>
  <c r="C44" i="20" l="1"/>
  <c r="D44" i="20"/>
  <c r="E44" i="20"/>
  <c r="C46" i="20"/>
  <c r="C48" i="20" s="1"/>
  <c r="E46" i="20"/>
  <c r="E48" i="20" s="1"/>
  <c r="E49" i="20" s="1"/>
  <c r="E50" i="20" s="1"/>
  <c r="D46" i="20"/>
  <c r="D48" i="20" s="1"/>
  <c r="D49" i="20" s="1"/>
  <c r="D50" i="20" s="1"/>
  <c r="D29" i="20"/>
  <c r="C29" i="20"/>
  <c r="E29" i="20"/>
  <c r="C43" i="20"/>
  <c r="E43" i="20"/>
  <c r="D43" i="20"/>
  <c r="D32" i="20"/>
  <c r="E32" i="20"/>
  <c r="C32" i="20"/>
  <c r="E43" i="19"/>
  <c r="C43" i="19"/>
  <c r="D43" i="19"/>
  <c r="E46" i="19"/>
  <c r="E48" i="19" s="1"/>
  <c r="E49" i="19" s="1"/>
  <c r="E50" i="19" s="1"/>
  <c r="C46" i="19"/>
  <c r="C48" i="19" s="1"/>
  <c r="D46" i="19"/>
  <c r="D48" i="19" s="1"/>
  <c r="D49" i="19" s="1"/>
  <c r="D50" i="19" s="1"/>
  <c r="E29" i="19"/>
  <c r="C29" i="19"/>
  <c r="D29" i="19"/>
  <c r="E32" i="19"/>
  <c r="C32" i="19"/>
  <c r="D32" i="19"/>
  <c r="E44" i="19"/>
  <c r="C44" i="19"/>
  <c r="D44" i="19"/>
  <c r="E65" i="17"/>
  <c r="C65" i="17"/>
  <c r="D65" i="17"/>
  <c r="E67" i="17"/>
  <c r="E69" i="17" s="1"/>
  <c r="E70" i="17" s="1"/>
  <c r="E71" i="17" s="1"/>
  <c r="D67" i="17"/>
  <c r="D69" i="17" s="1"/>
  <c r="D70" i="17" s="1"/>
  <c r="D71" i="17" s="1"/>
  <c r="C67" i="17"/>
  <c r="C69" i="17" s="1"/>
  <c r="E42" i="17"/>
  <c r="D42" i="17"/>
  <c r="C42" i="17"/>
  <c r="E31" i="17"/>
  <c r="C31" i="17"/>
  <c r="D31" i="17"/>
  <c r="D43" i="17"/>
  <c r="C43" i="17"/>
  <c r="E43" i="17"/>
  <c r="E32" i="17"/>
  <c r="C32" i="17"/>
  <c r="D32" i="17"/>
  <c r="E64" i="17"/>
  <c r="C64" i="17"/>
  <c r="D64" i="17"/>
  <c r="C27" i="7"/>
  <c r="C14" i="7"/>
  <c r="H14" i="7" s="1"/>
  <c r="C10" i="7"/>
  <c r="C49" i="20" l="1"/>
  <c r="B48" i="20"/>
  <c r="C49" i="19"/>
  <c r="B48" i="19"/>
  <c r="C70" i="17"/>
  <c r="B69" i="17"/>
  <c r="C25" i="7"/>
  <c r="C22" i="7"/>
  <c r="C9" i="7"/>
  <c r="C13" i="7"/>
  <c r="C26" i="7"/>
  <c r="C35" i="7"/>
  <c r="C34" i="7"/>
  <c r="C23" i="7"/>
  <c r="B17" i="14"/>
  <c r="C16" i="14"/>
  <c r="B21" i="14" s="1"/>
  <c r="B22" i="14" s="1"/>
  <c r="C50" i="20" l="1"/>
  <c r="B49" i="20"/>
  <c r="B50" i="20" s="1"/>
  <c r="C50" i="19"/>
  <c r="B49" i="19"/>
  <c r="B50" i="19" s="1"/>
  <c r="C71" i="17"/>
  <c r="B70" i="17"/>
  <c r="B71" i="17" s="1"/>
  <c r="B56" i="14"/>
  <c r="C56" i="14" s="1"/>
  <c r="D56" i="14" s="1"/>
  <c r="E56" i="14" s="1"/>
  <c r="B55" i="14"/>
  <c r="C55" i="14" s="1"/>
  <c r="D55" i="14" s="1"/>
  <c r="E55" i="14" s="1"/>
  <c r="B54" i="14"/>
  <c r="C54" i="14" s="1"/>
  <c r="D54" i="14" s="1"/>
  <c r="E54" i="14" s="1"/>
  <c r="B53" i="14"/>
  <c r="C53" i="14" s="1"/>
  <c r="D53" i="14" s="1"/>
  <c r="E53" i="14" s="1"/>
  <c r="B68" i="14"/>
  <c r="E68" i="14" s="1"/>
  <c r="E70" i="14" s="1"/>
  <c r="E71" i="14" s="1"/>
  <c r="E72" i="14" s="1"/>
  <c r="B66" i="14"/>
  <c r="D66" i="14" s="1"/>
  <c r="B64" i="14"/>
  <c r="B65" i="14"/>
  <c r="E65" i="14" s="1"/>
  <c r="B44" i="14"/>
  <c r="B28" i="14"/>
  <c r="B43" i="14"/>
  <c r="B40" i="14"/>
  <c r="B32" i="14"/>
  <c r="B31" i="14"/>
  <c r="C19" i="14"/>
  <c r="C68" i="14" l="1"/>
  <c r="C70" i="14" s="1"/>
  <c r="D68" i="14"/>
  <c r="D70" i="14" s="1"/>
  <c r="D71" i="14" s="1"/>
  <c r="D72" i="14" s="1"/>
  <c r="C65" i="14"/>
  <c r="C66" i="14"/>
  <c r="E66" i="14"/>
  <c r="E31" i="14"/>
  <c r="D31" i="14"/>
  <c r="C31" i="14"/>
  <c r="C44" i="14"/>
  <c r="D44" i="14"/>
  <c r="E44" i="14"/>
  <c r="E43" i="14"/>
  <c r="C43" i="14"/>
  <c r="D43" i="14"/>
  <c r="D65" i="14"/>
  <c r="D32" i="14"/>
  <c r="C32" i="14"/>
  <c r="E32" i="14"/>
  <c r="C71" i="14" l="1"/>
  <c r="B70" i="14"/>
  <c r="C12" i="7"/>
  <c r="B71" i="14" l="1"/>
  <c r="B72" i="14" s="1"/>
  <c r="C72" i="14"/>
  <c r="C29" i="7"/>
  <c r="H29" i="7" s="1"/>
  <c r="C16" i="7"/>
  <c r="E16" i="7" s="1"/>
  <c r="C8" i="7"/>
  <c r="H16" i="7" l="1"/>
  <c r="E8" i="7"/>
  <c r="H12" i="7"/>
  <c r="H13" i="7"/>
  <c r="B14" i="4"/>
  <c r="B13" i="4"/>
  <c r="B12" i="4"/>
  <c r="B11" i="4"/>
  <c r="B10" i="4"/>
  <c r="B6" i="4"/>
  <c r="B5" i="4"/>
  <c r="B4" i="4"/>
  <c r="B3" i="4"/>
  <c r="B2" i="4"/>
  <c r="B1" i="4"/>
  <c r="C7" i="3" l="1"/>
  <c r="C6" i="3"/>
  <c r="C5" i="3"/>
</calcChain>
</file>

<file path=xl/sharedStrings.xml><?xml version="1.0" encoding="utf-8"?>
<sst xmlns="http://schemas.openxmlformats.org/spreadsheetml/2006/main" count="277" uniqueCount="129">
  <si>
    <t>total #</t>
  </si>
  <si>
    <t>|y|&lt;0.5</t>
  </si>
  <si>
    <t>sigmatot/ [ds/dy]</t>
  </si>
  <si>
    <t>pp total cross section</t>
  </si>
  <si>
    <t>Ncoll Au+Au MB</t>
  </si>
  <si>
    <t>Ncoll Au+Au 0-10%</t>
  </si>
  <si>
    <t>PYTHIA SIMULATIONS BY SASHA</t>
  </si>
  <si>
    <t>Y(1S)</t>
  </si>
  <si>
    <t>Y(2S)</t>
  </si>
  <si>
    <t>Y(3S)</t>
  </si>
  <si>
    <t>normalised yield ratio</t>
  </si>
  <si>
    <t xml:space="preserve"> </t>
  </si>
  <si>
    <t xml:space="preserve">In p+p at CDF measure a total of </t>
  </si>
  <si>
    <t>Y(1s)</t>
  </si>
  <si>
    <t>Y(2s)</t>
  </si>
  <si>
    <t>Y(3s)</t>
  </si>
  <si>
    <t>Figure 1 shows the invariant mass</t>
  </si>
  <si>
    <t>fraction*</t>
  </si>
  <si>
    <t>* includes branching fraction</t>
  </si>
  <si>
    <t>1b=</t>
  </si>
  <si>
    <t>cm^2</t>
  </si>
  <si>
    <t>1mb=</t>
  </si>
  <si>
    <t>1mub=</t>
  </si>
  <si>
    <t>1nb</t>
  </si>
  <si>
    <t>1pb</t>
  </si>
  <si>
    <t>1fb</t>
  </si>
  <si>
    <t>Br x sigmatot renormalized</t>
  </si>
  <si>
    <t>b</t>
  </si>
  <si>
    <t>pp</t>
  </si>
  <si>
    <t>Year 2 recorded lumi (pb-1)</t>
  </si>
  <si>
    <t>AuAu sigma (b)</t>
  </si>
  <si>
    <t>pp sigma (mb)</t>
  </si>
  <si>
    <t>42mb</t>
  </si>
  <si>
    <t>MB Ncoll</t>
  </si>
  <si>
    <t>N_pp eq</t>
  </si>
  <si>
    <t>N_ev</t>
  </si>
  <si>
    <t>Run 1+3+5 =&gt;</t>
  </si>
  <si>
    <t>Run 1+3 (28wks) =&gt;</t>
  </si>
  <si>
    <t>Year 1 recorded lumi (nb-1) -24wks</t>
  </si>
  <si>
    <t>Year 1 recorded lumi (nb-1) -28wks</t>
  </si>
  <si>
    <t>Year 3 recorded lumi (nb-1) - 28 wks</t>
  </si>
  <si>
    <t>Year 3 recorded lumi (nb-1) - 24 wks</t>
  </si>
  <si>
    <t>Run 1+3 (24wks) =&gt;</t>
  </si>
  <si>
    <t>Year 5 recorded lumi (nb-1) - 28 wks</t>
  </si>
  <si>
    <t>108pb</t>
  </si>
  <si>
    <t xml:space="preserve">1/Nev_pp * N_Upsilon_pp*BR   </t>
  </si>
  <si>
    <t>1/Nev_pp BR dN/dy_pp (|y|&lt;0.5 PHENIX meas)</t>
  </si>
  <si>
    <t>296pb</t>
  </si>
  <si>
    <t>eid eff pp</t>
  </si>
  <si>
    <t>eid eff AuAu</t>
  </si>
  <si>
    <t>tracking eff pp</t>
  </si>
  <si>
    <t>tracking eff AuAu</t>
  </si>
  <si>
    <t>pAu</t>
  </si>
  <si>
    <t>pAu sigma (b)</t>
  </si>
  <si>
    <t>Year 2 sampled lumi (pb-1)</t>
  </si>
  <si>
    <t>Nupsilon in 2400B events pp reco</t>
  </si>
  <si>
    <t>AuAu</t>
  </si>
  <si>
    <t>Year 2 recorded lumi (pb-1) - 28 wks</t>
  </si>
  <si>
    <t>Year 2 sampled lumi (pb-1) -28 wks</t>
  </si>
  <si>
    <t>Year 2 recorded lumi (pb-1) - 24 wks</t>
  </si>
  <si>
    <t>Year 2 sampled lumi (pb-1) -24 wks</t>
  </si>
  <si>
    <t>Year 4 sampled &amp; recorded lumi (pb-1)</t>
  </si>
  <si>
    <t>suppression factor</t>
  </si>
  <si>
    <t>Run 2+4 (28weeks)=&gt;</t>
  </si>
  <si>
    <t>pair reco eff in pp</t>
  </si>
  <si>
    <t>pair reco eff in AuAu</t>
  </si>
  <si>
    <t>Year 3 recorded lumi (nb-1) - 20 wks</t>
  </si>
  <si>
    <t>Run 1+3 (20wks) =&gt;</t>
  </si>
  <si>
    <t>Year 1 recorded lumi (nb-1) -20wks</t>
  </si>
  <si>
    <t>Year 2 sampled lumi (pb-1) -20 wks</t>
  </si>
  <si>
    <t>Ncoll p+Au 0-20%</t>
  </si>
  <si>
    <t>Ncoll p+Au 20-40%</t>
  </si>
  <si>
    <t>Ncoll p+Au 40-60%</t>
  </si>
  <si>
    <t>Ncoll p+Au 60-84%</t>
  </si>
  <si>
    <t>Ncoll p+Au MB (0-84%)</t>
  </si>
  <si>
    <t>Ncoll p+Au MB (0-100%)</t>
  </si>
  <si>
    <t>Centrality dependence</t>
  </si>
  <si>
    <t>Y Acceptance (2 electrons within CEMC)</t>
  </si>
  <si>
    <t>PHENIX Y BR ds/dy (|y|&lt;0.5)</t>
  </si>
  <si>
    <t>pp 2400 B sampled events</t>
  </si>
  <si>
    <t>Nupsilon in 2400 B events pp</t>
  </si>
  <si>
    <t>Nupsilon in 2400 B events pp within CEMC</t>
  </si>
  <si>
    <t>pAu 200 B MB sampled events</t>
  </si>
  <si>
    <t>Nupsilon in 200 B events pAu MB</t>
  </si>
  <si>
    <t>Nupsilon in 200 B events pAu MB within CEMC</t>
  </si>
  <si>
    <t>Nupsilon in 200 B events pAu MB reco</t>
  </si>
  <si>
    <t>Nupsilon in 200 B MB events pAu 0-20% reco</t>
  </si>
  <si>
    <t>Nupsilon in 200 B MB events pAu 20-40% reco</t>
  </si>
  <si>
    <t>Nupsilon in 200 B MB events pAu 40-60% reco</t>
  </si>
  <si>
    <t>Nupsilon in 200 B MB events pAu 60-84% reco</t>
  </si>
  <si>
    <t>AuAu 140 B MB recorded events</t>
  </si>
  <si>
    <t>Nupsilon in 140 B events AuAu MB</t>
  </si>
  <si>
    <t>Nupsilon in 140 B events AuAu MB within CEMC</t>
  </si>
  <si>
    <t>Nupsilon in 140 B events AuAu MB reco</t>
  </si>
  <si>
    <t>Nupsilon in 14 B events AuAu 0-10% (Ncoll scaling)</t>
  </si>
  <si>
    <t>Nupsilon in 14 B events AuAu 0-10% after suppression</t>
  </si>
  <si>
    <t>Nupsilon in 14 B events AuAu 0-10% within CEMC</t>
  </si>
  <si>
    <t>Nupsilon in 14 B events AuAu 0-10% reco</t>
  </si>
  <si>
    <t>pp 1800 B sampled events</t>
  </si>
  <si>
    <t>Nupsilon in 1800 B events pp</t>
  </si>
  <si>
    <t>Nupsilon in 1800 B events pp within CEMC</t>
  </si>
  <si>
    <t>Nupsilon in 1800B events pp reco</t>
  </si>
  <si>
    <t>AuAu 110 B MB recorded events</t>
  </si>
  <si>
    <t>Nupsilon in 110 B events AuAu MB</t>
  </si>
  <si>
    <t>Nupsilon in 110 B events AuAu MB within CEMC</t>
  </si>
  <si>
    <t>Nupsilon in 110 B events AuAu MB reco</t>
  </si>
  <si>
    <t>Nupsilon in 11 B events AuAu 0-10% (Ncoll scaling)</t>
  </si>
  <si>
    <t>Nupsilon in 11 B events AuAu 0-10% after suppression</t>
  </si>
  <si>
    <t>Nupsilon in 11 B events AuAu 0-10% within CEMC</t>
  </si>
  <si>
    <t>Nupsilon in 11 B events AuAu 0-10% reco</t>
  </si>
  <si>
    <t>AuAu 80 B MB recorded events</t>
  </si>
  <si>
    <t>Nupsilon in 80 B events AuAu MB</t>
  </si>
  <si>
    <t>Nupsilon in 80 B events AuAu MB within CEMC</t>
  </si>
  <si>
    <t>Nupsilon in 80 B events AuAu MB reco</t>
  </si>
  <si>
    <t>Nupsilon in 8 B events AuAu 0-10% (Ncoll scaling)</t>
  </si>
  <si>
    <t>Nupsilon in 8 B events AuAu 0-10% after suppression</t>
  </si>
  <si>
    <t>Nupsilon in 8 B events AuAu 0-10% within CEMC</t>
  </si>
  <si>
    <t>Nupsilon in 8 B events AuAu 0-10% reco</t>
  </si>
  <si>
    <t>YEAR 1 - 20 WEEKS</t>
  </si>
  <si>
    <t>AuAu 12 B MB recorded events</t>
  </si>
  <si>
    <t>Nupsilon in 12 B events AuAu MB</t>
  </si>
  <si>
    <t>Nupsilon in 12 B events AuAu MB within CEMC</t>
  </si>
  <si>
    <t>Nupsilon in 12 B events AuAu MB reco</t>
  </si>
  <si>
    <t>Nupsilon in 1.2 B events AuAu 0-10% (Ncoll scaling)</t>
  </si>
  <si>
    <t>Nupsilon in 1.2 B events AuAu 0-10% after suppression</t>
  </si>
  <si>
    <t>Nupsilon in 1.2 B events AuAu 0-10% within CEMC</t>
  </si>
  <si>
    <t>Nupsilon in 1.2 B events AuAu 0-10% reco</t>
  </si>
  <si>
    <t>Ncoll</t>
  </si>
  <si>
    <t>Bin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</si>
</sst>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0" xfId="0" applyNumberFormat="1"/>
    <xf numFmtId="9" fontId="0" fillId="0" borderId="0" xfId="89" applyFont="1"/>
    <xf numFmtId="164" fontId="0" fillId="0" borderId="0" xfId="89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9" fontId="0" fillId="0" borderId="0" xfId="89" applyNumberFormat="1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1" fontId="5" fillId="0" borderId="0" xfId="0" applyNumberFormat="1" applyFont="1"/>
    <xf numFmtId="0" fontId="0" fillId="0" borderId="0" xfId="0" applyAlignment="1">
      <alignment horizontal="left"/>
    </xf>
    <xf numFmtId="4" fontId="0" fillId="0" borderId="0" xfId="0" applyNumberFormat="1"/>
    <xf numFmtId="11" fontId="0" fillId="0" borderId="0" xfId="0" applyNumberFormat="1" applyFont="1"/>
    <xf numFmtId="11" fontId="6" fillId="0" borderId="0" xfId="0" applyNumberFormat="1" applyFont="1"/>
    <xf numFmtId="0" fontId="0" fillId="0" borderId="0" xfId="0" applyNumberForma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wrapText="1"/>
    </xf>
    <xf numFmtId="11" fontId="7" fillId="0" borderId="0" xfId="0" applyNumberFormat="1" applyFont="1"/>
    <xf numFmtId="165" fontId="0" fillId="0" borderId="0" xfId="0" applyNumberFormat="1"/>
    <xf numFmtId="0" fontId="0" fillId="0" borderId="0" xfId="0" applyAlignment="1">
      <alignment horizontal="left" wrapText="1"/>
    </xf>
    <xf numFmtId="0" fontId="8" fillId="0" borderId="0" xfId="0" applyFont="1"/>
    <xf numFmtId="11" fontId="0" fillId="0" borderId="0" xfId="0" applyNumberFormat="1" applyAlignment="1">
      <alignment horizontal="right"/>
    </xf>
  </cellXfs>
  <cellStyles count="9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  <cellStyle name="Percent" xfId="8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BBA7-5C64-934C-A377-95F40411E617}">
  <dimension ref="A1:K50"/>
  <sheetViews>
    <sheetView topLeftCell="A32" zoomScale="92" workbookViewId="0">
      <selection activeCell="A53" sqref="A53"/>
    </sheetView>
  </sheetViews>
  <sheetFormatPr baseColWidth="10" defaultRowHeight="16" x14ac:dyDescent="0.2"/>
  <cols>
    <col min="1" max="1" width="27.6640625" customWidth="1"/>
    <col min="2" max="2" width="11.83203125" customWidth="1"/>
    <col min="4" max="4" width="15.5" customWidth="1"/>
  </cols>
  <sheetData>
    <row r="1" spans="1:5" x14ac:dyDescent="0.2">
      <c r="A1" t="s">
        <v>6</v>
      </c>
      <c r="D1" t="s">
        <v>11</v>
      </c>
      <c r="E1" s="2"/>
    </row>
    <row r="2" spans="1:5" x14ac:dyDescent="0.2">
      <c r="A2" t="s">
        <v>0</v>
      </c>
      <c r="B2">
        <v>64090</v>
      </c>
    </row>
    <row r="3" spans="1:5" x14ac:dyDescent="0.2">
      <c r="A3" t="s">
        <v>1</v>
      </c>
      <c r="B3">
        <v>23422</v>
      </c>
      <c r="C3" s="5"/>
    </row>
    <row r="4" spans="1:5" x14ac:dyDescent="0.2">
      <c r="C4" s="5"/>
    </row>
    <row r="5" spans="1:5" ht="34" x14ac:dyDescent="0.2">
      <c r="A5" s="27" t="s">
        <v>77</v>
      </c>
      <c r="B5" s="6">
        <v>0.315</v>
      </c>
    </row>
    <row r="6" spans="1:5" x14ac:dyDescent="0.2">
      <c r="A6" s="14"/>
      <c r="B6" s="6"/>
    </row>
    <row r="7" spans="1:5" x14ac:dyDescent="0.2">
      <c r="A7" t="s">
        <v>50</v>
      </c>
      <c r="B7" s="5">
        <v>0.91</v>
      </c>
    </row>
    <row r="8" spans="1:5" x14ac:dyDescent="0.2">
      <c r="A8" t="s">
        <v>48</v>
      </c>
      <c r="B8" s="5">
        <v>0.95</v>
      </c>
    </row>
    <row r="9" spans="1:5" x14ac:dyDescent="0.2">
      <c r="A9" t="s">
        <v>64</v>
      </c>
      <c r="B9" s="10">
        <f>B7*B7*B8*B8</f>
        <v>0.74736024999999995</v>
      </c>
    </row>
    <row r="10" spans="1:5" x14ac:dyDescent="0.2">
      <c r="B10" s="5"/>
    </row>
    <row r="11" spans="1:5" x14ac:dyDescent="0.2">
      <c r="A11" t="s">
        <v>51</v>
      </c>
      <c r="B11" s="5">
        <v>0.87</v>
      </c>
    </row>
    <row r="12" spans="1:5" x14ac:dyDescent="0.2">
      <c r="A12" t="s">
        <v>49</v>
      </c>
      <c r="B12" s="5">
        <v>0.9</v>
      </c>
    </row>
    <row r="13" spans="1:5" x14ac:dyDescent="0.2">
      <c r="A13" t="s">
        <v>65</v>
      </c>
      <c r="B13" s="10">
        <f>B11*B11*B12*B12</f>
        <v>0.613089</v>
      </c>
    </row>
    <row r="15" spans="1:5" x14ac:dyDescent="0.2">
      <c r="A15" t="s">
        <v>3</v>
      </c>
      <c r="B15" s="2" t="s">
        <v>32</v>
      </c>
      <c r="C15" s="1">
        <v>4.2000000000000003E-2</v>
      </c>
    </row>
    <row r="16" spans="1:5" ht="17" x14ac:dyDescent="0.2">
      <c r="A16" s="21" t="s">
        <v>78</v>
      </c>
      <c r="B16" s="2" t="s">
        <v>44</v>
      </c>
      <c r="C16" s="1">
        <f>108*units!B13</f>
        <v>1.08E-10</v>
      </c>
    </row>
    <row r="17" spans="1:5" x14ac:dyDescent="0.2">
      <c r="A17" t="s">
        <v>2</v>
      </c>
      <c r="B17" s="3">
        <f>B2/B3</f>
        <v>2.73631628383571</v>
      </c>
      <c r="C17" s="1"/>
    </row>
    <row r="18" spans="1:5" x14ac:dyDescent="0.2">
      <c r="C18" s="1"/>
    </row>
    <row r="19" spans="1:5" x14ac:dyDescent="0.2">
      <c r="A19" t="s">
        <v>26</v>
      </c>
      <c r="B19" s="2" t="s">
        <v>47</v>
      </c>
      <c r="C19" s="1">
        <f>C16*B17</f>
        <v>2.9552215865425669E-10</v>
      </c>
    </row>
    <row r="21" spans="1:5" ht="34" x14ac:dyDescent="0.2">
      <c r="A21" s="21" t="s">
        <v>46</v>
      </c>
      <c r="B21" s="1">
        <f>C16/C15</f>
        <v>2.5714285714285712E-9</v>
      </c>
    </row>
    <row r="22" spans="1:5" x14ac:dyDescent="0.2">
      <c r="A22" t="s">
        <v>45</v>
      </c>
      <c r="B22" s="1">
        <f>B21*B17</f>
        <v>7.0362418727203968E-9</v>
      </c>
      <c r="C22" s="1"/>
    </row>
    <row r="23" spans="1:5" x14ac:dyDescent="0.2">
      <c r="B23" s="1"/>
      <c r="C23" s="2" t="s">
        <v>7</v>
      </c>
      <c r="D23" s="2" t="s">
        <v>8</v>
      </c>
      <c r="E23" s="2" t="s">
        <v>9</v>
      </c>
    </row>
    <row r="24" spans="1:5" x14ac:dyDescent="0.2">
      <c r="A24" t="s">
        <v>10</v>
      </c>
      <c r="B24" s="1"/>
      <c r="C24" s="2">
        <v>0.72</v>
      </c>
      <c r="D24" s="2">
        <v>0.18</v>
      </c>
      <c r="E24" s="2">
        <v>0.1</v>
      </c>
    </row>
    <row r="25" spans="1:5" x14ac:dyDescent="0.2">
      <c r="B25" s="1"/>
      <c r="C25" s="1"/>
    </row>
    <row r="26" spans="1:5" x14ac:dyDescent="0.2">
      <c r="C26" s="1"/>
      <c r="D26" s="1"/>
      <c r="E26" s="1"/>
    </row>
    <row r="27" spans="1:5" x14ac:dyDescent="0.2">
      <c r="A27" t="s">
        <v>79</v>
      </c>
      <c r="B27" s="1">
        <v>2400000000000</v>
      </c>
      <c r="C27" s="1"/>
      <c r="D27" s="1"/>
      <c r="E27" s="1"/>
    </row>
    <row r="28" spans="1:5" x14ac:dyDescent="0.2">
      <c r="A28" t="s">
        <v>80</v>
      </c>
      <c r="B28" s="1">
        <f>B$22*B$27</f>
        <v>16886.980494528951</v>
      </c>
      <c r="C28" s="1"/>
      <c r="D28" s="1"/>
      <c r="E28" s="1"/>
    </row>
    <row r="29" spans="1:5" ht="34" x14ac:dyDescent="0.2">
      <c r="A29" s="23" t="s">
        <v>81</v>
      </c>
      <c r="B29" s="16">
        <f>B$22*B$27*B$5</f>
        <v>5319.3988557766197</v>
      </c>
      <c r="C29" s="16">
        <f t="shared" ref="C29:E32" si="0">$B29*C$24</f>
        <v>3829.9671761591662</v>
      </c>
      <c r="D29" s="16">
        <f t="shared" si="0"/>
        <v>957.49179403979156</v>
      </c>
      <c r="E29" s="16">
        <f t="shared" si="0"/>
        <v>531.93988557766204</v>
      </c>
    </row>
    <row r="30" spans="1:5" x14ac:dyDescent="0.2">
      <c r="A30" s="23"/>
      <c r="B30" s="16"/>
      <c r="C30" s="16"/>
      <c r="D30" s="16"/>
      <c r="E30" s="16"/>
    </row>
    <row r="31" spans="1:5" x14ac:dyDescent="0.2">
      <c r="A31" s="23"/>
      <c r="C31" s="20" t="s">
        <v>7</v>
      </c>
      <c r="D31" s="20" t="s">
        <v>8</v>
      </c>
      <c r="E31" s="20" t="s">
        <v>9</v>
      </c>
    </row>
    <row r="32" spans="1:5" ht="34" x14ac:dyDescent="0.2">
      <c r="A32" s="24" t="s">
        <v>55</v>
      </c>
      <c r="B32" s="25">
        <f>B$22*B$27*B$5*B$7*B$7*B$8*B$8</f>
        <v>3975.5072587029285</v>
      </c>
      <c r="C32" s="25">
        <f t="shared" si="0"/>
        <v>2862.3652262661085</v>
      </c>
      <c r="D32" s="25">
        <f t="shared" si="0"/>
        <v>715.59130656652712</v>
      </c>
      <c r="E32" s="25">
        <f t="shared" si="0"/>
        <v>397.55072587029287</v>
      </c>
    </row>
    <row r="33" spans="1:11" x14ac:dyDescent="0.2">
      <c r="D33" s="1"/>
    </row>
    <row r="34" spans="1:11" ht="15" customHeight="1" x14ac:dyDescent="0.2">
      <c r="B34" s="1"/>
    </row>
    <row r="35" spans="1:11" x14ac:dyDescent="0.2">
      <c r="B35" s="1"/>
      <c r="C35" s="1"/>
      <c r="D35" s="1"/>
      <c r="E35" s="1"/>
    </row>
    <row r="36" spans="1:11" ht="24" x14ac:dyDescent="0.3">
      <c r="A36" s="28" t="s">
        <v>118</v>
      </c>
      <c r="B36" s="1"/>
      <c r="C36" s="2"/>
      <c r="D36" s="2"/>
      <c r="E36" s="2"/>
    </row>
    <row r="37" spans="1:11" x14ac:dyDescent="0.2">
      <c r="B37" s="1"/>
      <c r="C37" s="2"/>
      <c r="D37" s="2"/>
      <c r="E37" s="2"/>
    </row>
    <row r="38" spans="1:11" x14ac:dyDescent="0.2">
      <c r="A38" t="s">
        <v>4</v>
      </c>
      <c r="B38">
        <v>257</v>
      </c>
    </row>
    <row r="39" spans="1:11" x14ac:dyDescent="0.2">
      <c r="A39" t="s">
        <v>5</v>
      </c>
      <c r="B39">
        <v>955</v>
      </c>
    </row>
    <row r="40" spans="1:11" x14ac:dyDescent="0.2">
      <c r="A40" t="s">
        <v>119</v>
      </c>
      <c r="B40" s="1">
        <v>12000000000</v>
      </c>
      <c r="D40" s="1"/>
      <c r="H40" s="4"/>
      <c r="K40" s="4"/>
    </row>
    <row r="41" spans="1:11" x14ac:dyDescent="0.2">
      <c r="H41" s="6"/>
      <c r="I41" s="1"/>
      <c r="K41" s="4"/>
    </row>
    <row r="42" spans="1:11" ht="34" x14ac:dyDescent="0.2">
      <c r="A42" s="21" t="s">
        <v>120</v>
      </c>
      <c r="B42" s="1">
        <f>B$22*B$38*B$40</f>
        <v>21699.769935469703</v>
      </c>
    </row>
    <row r="43" spans="1:11" ht="34" x14ac:dyDescent="0.2">
      <c r="A43" s="23" t="s">
        <v>121</v>
      </c>
      <c r="B43" s="16">
        <f>B$22*B$38*B$40*B$5</f>
        <v>6835.4275296729566</v>
      </c>
      <c r="C43" s="16">
        <f t="shared" ref="C43:E44" si="1">$B43*C$24</f>
        <v>4921.5078213645284</v>
      </c>
      <c r="D43" s="16">
        <f t="shared" si="1"/>
        <v>1230.3769553411321</v>
      </c>
      <c r="E43" s="16">
        <f t="shared" si="1"/>
        <v>683.54275296729566</v>
      </c>
      <c r="H43" s="4"/>
      <c r="K43" s="4"/>
    </row>
    <row r="44" spans="1:11" ht="34" x14ac:dyDescent="0.2">
      <c r="A44" s="22" t="s">
        <v>122</v>
      </c>
      <c r="B44" s="13">
        <f>B$22*B$38*B$40*B$5*B$11*B$11*B$12*B$12</f>
        <v>4190.7254287396636</v>
      </c>
      <c r="C44" s="13">
        <f t="shared" si="1"/>
        <v>3017.3223086925577</v>
      </c>
      <c r="D44" s="13">
        <f t="shared" si="1"/>
        <v>754.33057717313943</v>
      </c>
      <c r="E44" s="13">
        <f t="shared" si="1"/>
        <v>419.07254287396637</v>
      </c>
      <c r="H44" s="15"/>
      <c r="K44" s="4"/>
    </row>
    <row r="45" spans="1:11" x14ac:dyDescent="0.2">
      <c r="A45" s="21"/>
      <c r="B45" s="1"/>
      <c r="C45" s="1"/>
      <c r="D45" s="1"/>
      <c r="E45" s="1"/>
      <c r="H45" s="4"/>
      <c r="K45" s="4"/>
    </row>
    <row r="46" spans="1:11" ht="34" x14ac:dyDescent="0.2">
      <c r="A46" s="23" t="s">
        <v>123</v>
      </c>
      <c r="B46" s="16">
        <f>B$22*B$39*B$40/10</f>
        <v>8063.5331861375762</v>
      </c>
      <c r="C46" s="16">
        <f t="shared" ref="C46:E46" si="2">$B46*C$24</f>
        <v>5805.743894019055</v>
      </c>
      <c r="D46" s="16">
        <f t="shared" si="2"/>
        <v>1451.4359735047638</v>
      </c>
      <c r="E46" s="16">
        <f t="shared" si="2"/>
        <v>806.35331861375766</v>
      </c>
      <c r="K46" s="4"/>
    </row>
    <row r="47" spans="1:11" ht="17" x14ac:dyDescent="0.2">
      <c r="A47" s="23" t="s">
        <v>62</v>
      </c>
      <c r="B47" s="16"/>
      <c r="C47" s="16">
        <v>0.53</v>
      </c>
      <c r="D47" s="16">
        <v>0.17</v>
      </c>
      <c r="E47" s="16">
        <v>3.5000000000000003E-2</v>
      </c>
      <c r="K47" s="4"/>
    </row>
    <row r="48" spans="1:11" ht="34" x14ac:dyDescent="0.2">
      <c r="A48" s="23" t="s">
        <v>124</v>
      </c>
      <c r="B48" s="16">
        <f>C48+D48+E48</f>
        <v>3352.0107454773902</v>
      </c>
      <c r="C48" s="16">
        <f>C46*C47</f>
        <v>3077.0442638300992</v>
      </c>
      <c r="D48" s="16">
        <f t="shared" ref="D48:E48" si="3">D46*D47</f>
        <v>246.74411549580987</v>
      </c>
      <c r="E48" s="16">
        <f t="shared" si="3"/>
        <v>28.22236615148152</v>
      </c>
      <c r="K48" s="4"/>
    </row>
    <row r="49" spans="1:11" ht="34" x14ac:dyDescent="0.2">
      <c r="A49" s="23" t="s">
        <v>125</v>
      </c>
      <c r="B49" s="16">
        <f>C49+D49+E49</f>
        <v>1055.883384825378</v>
      </c>
      <c r="C49" s="16">
        <f>C48*$B$5</f>
        <v>969.26894310648129</v>
      </c>
      <c r="D49" s="16">
        <f>D48*$B$5</f>
        <v>77.724396381180114</v>
      </c>
      <c r="E49" s="16">
        <f>E48*$B$5</f>
        <v>8.8900453377166784</v>
      </c>
      <c r="K49" s="4"/>
    </row>
    <row r="50" spans="1:11" ht="34" x14ac:dyDescent="0.2">
      <c r="A50" s="22" t="s">
        <v>126</v>
      </c>
      <c r="B50" s="13">
        <f>B49*$B$11*$B$11*$B$12*$B$12</f>
        <v>647.35048851920624</v>
      </c>
      <c r="C50" s="13">
        <f t="shared" ref="C50:E50" si="4">C49*$B$11*$B$11*$B$12*$B$12</f>
        <v>594.24812706020953</v>
      </c>
      <c r="D50" s="13">
        <f t="shared" si="4"/>
        <v>47.651972452941337</v>
      </c>
      <c r="E50" s="13">
        <f t="shared" si="4"/>
        <v>5.4503890060553806</v>
      </c>
      <c r="H50" s="4"/>
      <c r="I50" s="4"/>
      <c r="J50" s="4"/>
      <c r="K50" s="4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6FF9-0673-224E-8EA4-55C9AA222B54}">
  <dimension ref="A1:K50"/>
  <sheetViews>
    <sheetView topLeftCell="A31" zoomScale="101" workbookViewId="0">
      <selection activeCell="F44" sqref="F44"/>
    </sheetView>
  </sheetViews>
  <sheetFormatPr baseColWidth="10" defaultRowHeight="16" x14ac:dyDescent="0.2"/>
  <cols>
    <col min="1" max="1" width="27.6640625" customWidth="1"/>
    <col min="2" max="2" width="11.83203125" customWidth="1"/>
    <col min="4" max="4" width="15.5" customWidth="1"/>
  </cols>
  <sheetData>
    <row r="1" spans="1:5" x14ac:dyDescent="0.2">
      <c r="A1" t="s">
        <v>6</v>
      </c>
      <c r="D1" t="s">
        <v>11</v>
      </c>
      <c r="E1" s="2"/>
    </row>
    <row r="2" spans="1:5" x14ac:dyDescent="0.2">
      <c r="A2" t="s">
        <v>0</v>
      </c>
      <c r="B2">
        <v>64090</v>
      </c>
    </row>
    <row r="3" spans="1:5" x14ac:dyDescent="0.2">
      <c r="A3" t="s">
        <v>1</v>
      </c>
      <c r="B3">
        <v>23422</v>
      </c>
      <c r="C3" s="5"/>
    </row>
    <row r="4" spans="1:5" x14ac:dyDescent="0.2">
      <c r="C4" s="5"/>
    </row>
    <row r="5" spans="1:5" ht="34" x14ac:dyDescent="0.2">
      <c r="A5" s="27" t="s">
        <v>77</v>
      </c>
      <c r="B5" s="6">
        <v>0.315</v>
      </c>
    </row>
    <row r="6" spans="1:5" x14ac:dyDescent="0.2">
      <c r="A6" s="14"/>
      <c r="B6" s="6"/>
    </row>
    <row r="7" spans="1:5" x14ac:dyDescent="0.2">
      <c r="A7" t="s">
        <v>50</v>
      </c>
      <c r="B7" s="5">
        <v>0.91</v>
      </c>
    </row>
    <row r="8" spans="1:5" x14ac:dyDescent="0.2">
      <c r="A8" t="s">
        <v>48</v>
      </c>
      <c r="B8" s="5">
        <v>0.95</v>
      </c>
    </row>
    <row r="9" spans="1:5" x14ac:dyDescent="0.2">
      <c r="A9" t="s">
        <v>64</v>
      </c>
      <c r="B9" s="10">
        <f>B7*B7*B8*B8</f>
        <v>0.74736024999999995</v>
      </c>
    </row>
    <row r="10" spans="1:5" x14ac:dyDescent="0.2">
      <c r="B10" s="5"/>
    </row>
    <row r="11" spans="1:5" x14ac:dyDescent="0.2">
      <c r="A11" t="s">
        <v>51</v>
      </c>
      <c r="B11" s="5">
        <v>0.87</v>
      </c>
    </row>
    <row r="12" spans="1:5" x14ac:dyDescent="0.2">
      <c r="A12" t="s">
        <v>49</v>
      </c>
      <c r="B12" s="5">
        <v>0.9</v>
      </c>
    </row>
    <row r="13" spans="1:5" x14ac:dyDescent="0.2">
      <c r="A13" t="s">
        <v>65</v>
      </c>
      <c r="B13" s="10">
        <f>B11*B11*B12*B12</f>
        <v>0.613089</v>
      </c>
    </row>
    <row r="15" spans="1:5" x14ac:dyDescent="0.2">
      <c r="A15" t="s">
        <v>3</v>
      </c>
      <c r="B15" s="2" t="s">
        <v>32</v>
      </c>
      <c r="C15" s="1">
        <v>4.2000000000000003E-2</v>
      </c>
    </row>
    <row r="16" spans="1:5" ht="17" x14ac:dyDescent="0.2">
      <c r="A16" s="21" t="s">
        <v>78</v>
      </c>
      <c r="B16" s="2" t="s">
        <v>44</v>
      </c>
      <c r="C16" s="1">
        <f>108*units!B13</f>
        <v>1.08E-10</v>
      </c>
    </row>
    <row r="17" spans="1:5" x14ac:dyDescent="0.2">
      <c r="A17" t="s">
        <v>2</v>
      </c>
      <c r="B17" s="3">
        <f>B2/B3</f>
        <v>2.73631628383571</v>
      </c>
      <c r="C17" s="1"/>
    </row>
    <row r="18" spans="1:5" x14ac:dyDescent="0.2">
      <c r="C18" s="1"/>
    </row>
    <row r="19" spans="1:5" x14ac:dyDescent="0.2">
      <c r="A19" t="s">
        <v>26</v>
      </c>
      <c r="B19" s="2" t="s">
        <v>47</v>
      </c>
      <c r="C19" s="1">
        <f>C16*B17</f>
        <v>2.9552215865425669E-10</v>
      </c>
    </row>
    <row r="21" spans="1:5" ht="34" x14ac:dyDescent="0.2">
      <c r="A21" s="21" t="s">
        <v>46</v>
      </c>
      <c r="B21" s="1">
        <f>C16/C15</f>
        <v>2.5714285714285712E-9</v>
      </c>
    </row>
    <row r="22" spans="1:5" x14ac:dyDescent="0.2">
      <c r="A22" t="s">
        <v>45</v>
      </c>
      <c r="B22" s="1">
        <f>B21*B17</f>
        <v>7.0362418727203968E-9</v>
      </c>
      <c r="C22" s="1"/>
    </row>
    <row r="23" spans="1:5" x14ac:dyDescent="0.2">
      <c r="B23" s="1"/>
      <c r="C23" s="2" t="s">
        <v>7</v>
      </c>
      <c r="D23" s="2" t="s">
        <v>8</v>
      </c>
      <c r="E23" s="2" t="s">
        <v>9</v>
      </c>
    </row>
    <row r="24" spans="1:5" x14ac:dyDescent="0.2">
      <c r="A24" t="s">
        <v>10</v>
      </c>
      <c r="B24" s="1"/>
      <c r="C24" s="2">
        <v>0.72</v>
      </c>
      <c r="D24" s="2">
        <v>0.18</v>
      </c>
      <c r="E24" s="2">
        <v>0.1</v>
      </c>
    </row>
    <row r="25" spans="1:5" x14ac:dyDescent="0.2">
      <c r="B25" s="1"/>
      <c r="C25" s="1"/>
    </row>
    <row r="26" spans="1:5" x14ac:dyDescent="0.2">
      <c r="C26" s="1"/>
      <c r="D26" s="1"/>
      <c r="E26" s="1"/>
    </row>
    <row r="27" spans="1:5" x14ac:dyDescent="0.2">
      <c r="A27" t="s">
        <v>79</v>
      </c>
      <c r="B27" s="1">
        <v>2400000000000</v>
      </c>
      <c r="C27" s="1"/>
      <c r="D27" s="1"/>
      <c r="E27" s="1"/>
    </row>
    <row r="28" spans="1:5" x14ac:dyDescent="0.2">
      <c r="A28" t="s">
        <v>80</v>
      </c>
      <c r="B28" s="1">
        <f>B$22*B$27</f>
        <v>16886.980494528951</v>
      </c>
      <c r="C28" s="1"/>
      <c r="D28" s="1"/>
      <c r="E28" s="1"/>
    </row>
    <row r="29" spans="1:5" ht="34" x14ac:dyDescent="0.2">
      <c r="A29" s="23" t="s">
        <v>81</v>
      </c>
      <c r="B29" s="16">
        <f>B$22*B$27*B$5</f>
        <v>5319.3988557766197</v>
      </c>
      <c r="C29" s="16">
        <f t="shared" ref="C29:E32" si="0">$B29*C$24</f>
        <v>3829.9671761591662</v>
      </c>
      <c r="D29" s="16">
        <f t="shared" si="0"/>
        <v>957.49179403979156</v>
      </c>
      <c r="E29" s="16">
        <f t="shared" si="0"/>
        <v>531.93988557766204</v>
      </c>
    </row>
    <row r="30" spans="1:5" x14ac:dyDescent="0.2">
      <c r="A30" s="23"/>
      <c r="B30" s="16"/>
      <c r="C30" s="16"/>
      <c r="D30" s="16"/>
      <c r="E30" s="16"/>
    </row>
    <row r="31" spans="1:5" x14ac:dyDescent="0.2">
      <c r="A31" s="23"/>
      <c r="C31" s="20" t="s">
        <v>7</v>
      </c>
      <c r="D31" s="20" t="s">
        <v>8</v>
      </c>
      <c r="E31" s="20" t="s">
        <v>9</v>
      </c>
    </row>
    <row r="32" spans="1:5" ht="34" x14ac:dyDescent="0.2">
      <c r="A32" s="24" t="s">
        <v>55</v>
      </c>
      <c r="B32" s="25">
        <f>B$22*B$27*B$5*B$7*B$7*B$8*B$8</f>
        <v>3975.5072587029285</v>
      </c>
      <c r="C32" s="25">
        <f t="shared" si="0"/>
        <v>2862.3652262661085</v>
      </c>
      <c r="D32" s="25">
        <f t="shared" si="0"/>
        <v>715.59130656652712</v>
      </c>
      <c r="E32" s="25">
        <f t="shared" si="0"/>
        <v>397.55072587029287</v>
      </c>
    </row>
    <row r="33" spans="1:11" x14ac:dyDescent="0.2">
      <c r="D33" s="1"/>
    </row>
    <row r="34" spans="1:11" ht="15" customHeight="1" x14ac:dyDescent="0.2">
      <c r="B34" s="1"/>
    </row>
    <row r="35" spans="1:11" x14ac:dyDescent="0.2">
      <c r="B35" s="1"/>
      <c r="C35" s="1"/>
      <c r="D35" s="1"/>
      <c r="E35" s="1"/>
    </row>
    <row r="36" spans="1:11" x14ac:dyDescent="0.2">
      <c r="B36" s="1"/>
      <c r="C36" s="2"/>
      <c r="D36" s="2"/>
      <c r="E36" s="2"/>
    </row>
    <row r="37" spans="1:11" x14ac:dyDescent="0.2">
      <c r="B37" s="1"/>
      <c r="C37" s="2"/>
      <c r="D37" s="2"/>
      <c r="E37" s="2"/>
    </row>
    <row r="38" spans="1:11" x14ac:dyDescent="0.2">
      <c r="A38" t="s">
        <v>4</v>
      </c>
      <c r="B38">
        <v>257</v>
      </c>
    </row>
    <row r="39" spans="1:11" x14ac:dyDescent="0.2">
      <c r="A39" t="s">
        <v>5</v>
      </c>
      <c r="B39">
        <v>955</v>
      </c>
    </row>
    <row r="40" spans="1:11" x14ac:dyDescent="0.2">
      <c r="A40" t="s">
        <v>110</v>
      </c>
      <c r="B40" s="1">
        <v>80000000000</v>
      </c>
      <c r="D40" s="1"/>
      <c r="H40" s="4"/>
      <c r="K40" s="4"/>
    </row>
    <row r="41" spans="1:11" x14ac:dyDescent="0.2">
      <c r="H41" s="6"/>
      <c r="I41" s="1"/>
      <c r="K41" s="4"/>
    </row>
    <row r="42" spans="1:11" ht="34" x14ac:dyDescent="0.2">
      <c r="A42" s="21" t="s">
        <v>111</v>
      </c>
      <c r="B42" s="1">
        <f>B$22*B$38*B$40</f>
        <v>144665.13290313137</v>
      </c>
    </row>
    <row r="43" spans="1:11" ht="34" x14ac:dyDescent="0.2">
      <c r="A43" s="23" t="s">
        <v>112</v>
      </c>
      <c r="B43" s="16">
        <f>B$22*B$38*B$40*B$5</f>
        <v>45569.516864486381</v>
      </c>
      <c r="C43" s="16">
        <f t="shared" ref="C43:E44" si="1">$B43*C$24</f>
        <v>32810.052142430191</v>
      </c>
      <c r="D43" s="16">
        <f t="shared" si="1"/>
        <v>8202.5130356075479</v>
      </c>
      <c r="E43" s="16">
        <f t="shared" si="1"/>
        <v>4556.9516864486386</v>
      </c>
      <c r="H43" s="4"/>
      <c r="K43" s="4"/>
    </row>
    <row r="44" spans="1:11" ht="34" x14ac:dyDescent="0.2">
      <c r="A44" s="22" t="s">
        <v>113</v>
      </c>
      <c r="B44" s="13">
        <f>B$22*B$38*B$40*B$5*B$11*B$11*B$12*B$12</f>
        <v>27938.169524931094</v>
      </c>
      <c r="C44" s="13">
        <f t="shared" si="1"/>
        <v>20115.482057950387</v>
      </c>
      <c r="D44" s="13">
        <f t="shared" si="1"/>
        <v>5028.8705144875967</v>
      </c>
      <c r="E44" s="13">
        <f t="shared" si="1"/>
        <v>2793.8169524931095</v>
      </c>
      <c r="H44" s="15"/>
      <c r="K44" s="4"/>
    </row>
    <row r="45" spans="1:11" x14ac:dyDescent="0.2">
      <c r="A45" s="21"/>
      <c r="B45" s="1"/>
      <c r="C45" s="1"/>
      <c r="D45" s="1"/>
      <c r="E45" s="1"/>
      <c r="H45" s="4"/>
      <c r="K45" s="4"/>
    </row>
    <row r="46" spans="1:11" ht="34" x14ac:dyDescent="0.2">
      <c r="A46" s="23" t="s">
        <v>114</v>
      </c>
      <c r="B46" s="16">
        <f>B$22*B$39*B$40/10</f>
        <v>53756.887907583834</v>
      </c>
      <c r="C46" s="16">
        <f t="shared" ref="C46:E46" si="2">$B46*C$24</f>
        <v>38704.959293460357</v>
      </c>
      <c r="D46" s="16">
        <f t="shared" si="2"/>
        <v>9676.2398233650893</v>
      </c>
      <c r="E46" s="16">
        <f t="shared" si="2"/>
        <v>5375.6887907583841</v>
      </c>
      <c r="K46" s="4"/>
    </row>
    <row r="47" spans="1:11" ht="17" x14ac:dyDescent="0.2">
      <c r="A47" s="23" t="s">
        <v>62</v>
      </c>
      <c r="B47" s="16"/>
      <c r="C47" s="16">
        <v>0.53</v>
      </c>
      <c r="D47" s="16">
        <v>0.17</v>
      </c>
      <c r="E47" s="16">
        <v>3.5000000000000003E-2</v>
      </c>
      <c r="K47" s="4"/>
    </row>
    <row r="48" spans="1:11" ht="34" x14ac:dyDescent="0.2">
      <c r="A48" s="23" t="s">
        <v>115</v>
      </c>
      <c r="B48" s="16">
        <f>C48+D48+E48</f>
        <v>22346.738303182599</v>
      </c>
      <c r="C48" s="16">
        <f>C46*C47</f>
        <v>20513.628425533989</v>
      </c>
      <c r="D48" s="16">
        <f t="shared" ref="D48:E48" si="3">D46*D47</f>
        <v>1644.9607699720652</v>
      </c>
      <c r="E48" s="16">
        <f t="shared" si="3"/>
        <v>188.14910767654345</v>
      </c>
      <c r="K48" s="4"/>
    </row>
    <row r="49" spans="1:11" ht="34" x14ac:dyDescent="0.2">
      <c r="A49" s="23" t="s">
        <v>116</v>
      </c>
      <c r="B49" s="16">
        <f>C49+D49+E49</f>
        <v>7039.2225655025186</v>
      </c>
      <c r="C49" s="16">
        <f>C48*$B$5</f>
        <v>6461.7929540432069</v>
      </c>
      <c r="D49" s="16">
        <f>D48*$B$5</f>
        <v>518.16264254120051</v>
      </c>
      <c r="E49" s="16">
        <f>E48*$B$5</f>
        <v>59.266968918111189</v>
      </c>
      <c r="K49" s="4"/>
    </row>
    <row r="50" spans="1:11" ht="34" x14ac:dyDescent="0.2">
      <c r="A50" s="22" t="s">
        <v>117</v>
      </c>
      <c r="B50" s="13">
        <f>B49*$B$11*$B$11*$B$12*$B$12</f>
        <v>4315.6699234613743</v>
      </c>
      <c r="C50" s="13">
        <f t="shared" ref="C50:E50" si="4">C49*$B$11*$B$11*$B$12*$B$12</f>
        <v>3961.6541804013964</v>
      </c>
      <c r="D50" s="13">
        <f t="shared" si="4"/>
        <v>317.67981635294211</v>
      </c>
      <c r="E50" s="13">
        <f t="shared" si="4"/>
        <v>36.335926707035874</v>
      </c>
      <c r="H50" s="4"/>
      <c r="I50" s="4"/>
      <c r="J50" s="4"/>
      <c r="K50" s="4"/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97EB-8FE6-2646-8493-8BA95B1518DF}">
  <dimension ref="A1:K71"/>
  <sheetViews>
    <sheetView topLeftCell="A20" zoomScale="101" workbookViewId="0">
      <selection activeCell="G35" sqref="G35"/>
    </sheetView>
  </sheetViews>
  <sheetFormatPr baseColWidth="10" defaultRowHeight="16" x14ac:dyDescent="0.2"/>
  <cols>
    <col min="1" max="1" width="27.6640625" customWidth="1"/>
    <col min="2" max="2" width="11.83203125" customWidth="1"/>
    <col min="4" max="4" width="15.5" customWidth="1"/>
  </cols>
  <sheetData>
    <row r="1" spans="1:5" x14ac:dyDescent="0.2">
      <c r="A1" t="s">
        <v>6</v>
      </c>
      <c r="D1" t="s">
        <v>11</v>
      </c>
      <c r="E1" s="2"/>
    </row>
    <row r="2" spans="1:5" x14ac:dyDescent="0.2">
      <c r="A2" t="s">
        <v>0</v>
      </c>
      <c r="B2">
        <v>64090</v>
      </c>
    </row>
    <row r="3" spans="1:5" x14ac:dyDescent="0.2">
      <c r="A3" t="s">
        <v>1</v>
      </c>
      <c r="B3">
        <v>23422</v>
      </c>
      <c r="C3" s="5"/>
    </row>
    <row r="4" spans="1:5" x14ac:dyDescent="0.2">
      <c r="C4" s="5"/>
    </row>
    <row r="5" spans="1:5" ht="34" x14ac:dyDescent="0.2">
      <c r="A5" s="27" t="s">
        <v>77</v>
      </c>
      <c r="B5" s="6">
        <v>0.315</v>
      </c>
    </row>
    <row r="6" spans="1:5" x14ac:dyDescent="0.2">
      <c r="A6" s="14"/>
      <c r="B6" s="6"/>
    </row>
    <row r="7" spans="1:5" x14ac:dyDescent="0.2">
      <c r="A7" t="s">
        <v>50</v>
      </c>
      <c r="B7" s="5">
        <v>0.91</v>
      </c>
    </row>
    <row r="8" spans="1:5" x14ac:dyDescent="0.2">
      <c r="A8" t="s">
        <v>48</v>
      </c>
      <c r="B8" s="5">
        <v>0.95</v>
      </c>
    </row>
    <row r="9" spans="1:5" x14ac:dyDescent="0.2">
      <c r="A9" t="s">
        <v>64</v>
      </c>
      <c r="B9" s="10">
        <f>B7*B7*B8*B8</f>
        <v>0.74736024999999995</v>
      </c>
    </row>
    <row r="10" spans="1:5" x14ac:dyDescent="0.2">
      <c r="B10" s="5"/>
    </row>
    <row r="11" spans="1:5" x14ac:dyDescent="0.2">
      <c r="A11" t="s">
        <v>51</v>
      </c>
      <c r="B11" s="5">
        <v>0.87</v>
      </c>
    </row>
    <row r="12" spans="1:5" x14ac:dyDescent="0.2">
      <c r="A12" t="s">
        <v>49</v>
      </c>
      <c r="B12" s="5">
        <v>0.9</v>
      </c>
    </row>
    <row r="13" spans="1:5" x14ac:dyDescent="0.2">
      <c r="A13" t="s">
        <v>65</v>
      </c>
      <c r="B13" s="10">
        <f>B11*B11*B12*B12</f>
        <v>0.613089</v>
      </c>
    </row>
    <row r="15" spans="1:5" x14ac:dyDescent="0.2">
      <c r="A15" t="s">
        <v>3</v>
      </c>
      <c r="B15" s="2" t="s">
        <v>32</v>
      </c>
      <c r="C15" s="1">
        <v>4.2000000000000003E-2</v>
      </c>
    </row>
    <row r="16" spans="1:5" ht="17" x14ac:dyDescent="0.2">
      <c r="A16" s="21" t="s">
        <v>78</v>
      </c>
      <c r="B16" s="2" t="s">
        <v>44</v>
      </c>
      <c r="C16" s="1">
        <f>108*units!B13</f>
        <v>1.08E-10</v>
      </c>
    </row>
    <row r="17" spans="1:5" x14ac:dyDescent="0.2">
      <c r="A17" t="s">
        <v>2</v>
      </c>
      <c r="B17" s="3">
        <f>B2/B3</f>
        <v>2.73631628383571</v>
      </c>
      <c r="C17" s="1"/>
    </row>
    <row r="18" spans="1:5" x14ac:dyDescent="0.2">
      <c r="C18" s="1"/>
    </row>
    <row r="19" spans="1:5" x14ac:dyDescent="0.2">
      <c r="A19" t="s">
        <v>26</v>
      </c>
      <c r="B19" s="2" t="s">
        <v>47</v>
      </c>
      <c r="C19" s="1">
        <f>C16*B17</f>
        <v>2.9552215865425669E-10</v>
      </c>
    </row>
    <row r="21" spans="1:5" ht="34" x14ac:dyDescent="0.2">
      <c r="A21" s="21" t="s">
        <v>46</v>
      </c>
      <c r="B21" s="1">
        <f>C16/C15</f>
        <v>2.5714285714285712E-9</v>
      </c>
    </row>
    <row r="22" spans="1:5" x14ac:dyDescent="0.2">
      <c r="A22" t="s">
        <v>45</v>
      </c>
      <c r="B22" s="1">
        <f>B21*B17</f>
        <v>7.0362418727203968E-9</v>
      </c>
      <c r="C22" s="1"/>
    </row>
    <row r="23" spans="1:5" x14ac:dyDescent="0.2">
      <c r="B23" s="1"/>
      <c r="C23" s="2" t="s">
        <v>7</v>
      </c>
      <c r="D23" s="2" t="s">
        <v>8</v>
      </c>
      <c r="E23" s="2" t="s">
        <v>9</v>
      </c>
    </row>
    <row r="24" spans="1:5" x14ac:dyDescent="0.2">
      <c r="A24" t="s">
        <v>10</v>
      </c>
      <c r="B24" s="1"/>
      <c r="C24" s="2">
        <v>0.72</v>
      </c>
      <c r="D24" s="2">
        <v>0.18</v>
      </c>
      <c r="E24" s="2">
        <v>0.1</v>
      </c>
    </row>
    <row r="25" spans="1:5" x14ac:dyDescent="0.2">
      <c r="B25" s="1"/>
      <c r="C25" s="1"/>
    </row>
    <row r="26" spans="1:5" x14ac:dyDescent="0.2">
      <c r="C26" s="1"/>
      <c r="D26" s="1"/>
      <c r="E26" s="1"/>
    </row>
    <row r="27" spans="1:5" x14ac:dyDescent="0.2">
      <c r="A27" t="s">
        <v>98</v>
      </c>
      <c r="B27" s="1">
        <v>1800000000000</v>
      </c>
      <c r="C27" s="1"/>
      <c r="D27" s="1"/>
      <c r="E27" s="1"/>
    </row>
    <row r="28" spans="1:5" x14ac:dyDescent="0.2">
      <c r="A28" t="s">
        <v>99</v>
      </c>
      <c r="B28" s="1">
        <f>B$22*B$27</f>
        <v>12665.235370896715</v>
      </c>
      <c r="C28" s="1"/>
      <c r="D28" s="1"/>
      <c r="E28" s="1"/>
    </row>
    <row r="29" spans="1:5" x14ac:dyDescent="0.2">
      <c r="B29" s="1"/>
      <c r="C29" s="1"/>
      <c r="D29" s="1"/>
      <c r="E29" s="1"/>
    </row>
    <row r="30" spans="1:5" x14ac:dyDescent="0.2">
      <c r="B30" s="1"/>
      <c r="C30" s="20" t="s">
        <v>7</v>
      </c>
      <c r="D30" s="20" t="s">
        <v>8</v>
      </c>
      <c r="E30" s="20" t="s">
        <v>9</v>
      </c>
    </row>
    <row r="31" spans="1:5" ht="34" x14ac:dyDescent="0.2">
      <c r="A31" s="23" t="s">
        <v>100</v>
      </c>
      <c r="B31" s="16">
        <f>B$22*B$27*B$5</f>
        <v>3989.549141832465</v>
      </c>
      <c r="C31" s="16">
        <f t="shared" ref="C31:E32" si="0">$B31*C$24</f>
        <v>2872.4753821193749</v>
      </c>
      <c r="D31" s="16">
        <f t="shared" si="0"/>
        <v>718.11884552984372</v>
      </c>
      <c r="E31" s="16">
        <f t="shared" si="0"/>
        <v>398.9549141832465</v>
      </c>
    </row>
    <row r="32" spans="1:5" ht="34" x14ac:dyDescent="0.2">
      <c r="A32" s="24" t="s">
        <v>101</v>
      </c>
      <c r="B32" s="25">
        <f>B$22*B$27*B$5*B$7*B$7*B$8*B$8</f>
        <v>2981.6304440271965</v>
      </c>
      <c r="C32" s="25">
        <f t="shared" si="0"/>
        <v>2146.7739196995813</v>
      </c>
      <c r="D32" s="25">
        <f t="shared" si="0"/>
        <v>536.69347992489531</v>
      </c>
      <c r="E32" s="25">
        <f t="shared" si="0"/>
        <v>298.16304440271966</v>
      </c>
    </row>
    <row r="33" spans="1:6" x14ac:dyDescent="0.2">
      <c r="D33" s="1"/>
    </row>
    <row r="34" spans="1:6" x14ac:dyDescent="0.2">
      <c r="A34" t="s">
        <v>75</v>
      </c>
      <c r="B34" s="18">
        <v>4.7</v>
      </c>
      <c r="C34">
        <v>1</v>
      </c>
    </row>
    <row r="35" spans="1:6" x14ac:dyDescent="0.2">
      <c r="A35" t="s">
        <v>74</v>
      </c>
      <c r="B35" s="26">
        <f>(B46*C46+B47*C47+B48*C48+B49*C49)/(C49+C48+C47+C46)</f>
        <v>5.1952380952380945</v>
      </c>
      <c r="C35" s="3">
        <f>(C49+C48+C47+C46)</f>
        <v>0.84000000000000008</v>
      </c>
      <c r="F35" t="s">
        <v>11</v>
      </c>
    </row>
    <row r="37" spans="1:6" x14ac:dyDescent="0.2">
      <c r="A37" t="s">
        <v>82</v>
      </c>
      <c r="B37" s="1">
        <v>200000000000</v>
      </c>
      <c r="C37" s="1"/>
    </row>
    <row r="38" spans="1:6" ht="15" customHeight="1" x14ac:dyDescent="0.2"/>
    <row r="39" spans="1:6" ht="15" customHeight="1" x14ac:dyDescent="0.2">
      <c r="A39" t="s">
        <v>83</v>
      </c>
      <c r="B39" s="1">
        <f>B$22*B$37*B$35</f>
        <v>7310.9903648932868</v>
      </c>
    </row>
    <row r="40" spans="1:6" ht="15" customHeight="1" x14ac:dyDescent="0.2">
      <c r="B40" s="1"/>
    </row>
    <row r="41" spans="1:6" ht="15" customHeight="1" x14ac:dyDescent="0.2">
      <c r="B41" s="1"/>
      <c r="C41" s="20" t="s">
        <v>7</v>
      </c>
      <c r="D41" s="20" t="s">
        <v>8</v>
      </c>
      <c r="E41" s="20" t="s">
        <v>9</v>
      </c>
    </row>
    <row r="42" spans="1:6" ht="34" x14ac:dyDescent="0.2">
      <c r="A42" s="23" t="s">
        <v>84</v>
      </c>
      <c r="B42" s="16">
        <f>B$22*B$37*B$35*B$5</f>
        <v>2302.9619649413853</v>
      </c>
      <c r="C42" s="16">
        <f t="shared" ref="C42:E43" si="1">$B42*C$24</f>
        <v>1658.1326147577975</v>
      </c>
      <c r="D42" s="16">
        <f t="shared" si="1"/>
        <v>414.53315368944936</v>
      </c>
      <c r="E42" s="16">
        <f t="shared" si="1"/>
        <v>230.29619649413854</v>
      </c>
    </row>
    <row r="43" spans="1:6" ht="34" x14ac:dyDescent="0.2">
      <c r="A43" s="24" t="s">
        <v>85</v>
      </c>
      <c r="B43" s="25">
        <f>B$22*B$37*B$35*B$5*B$7*B$7*B$8*B$8</f>
        <v>1721.1422298590849</v>
      </c>
      <c r="C43" s="25">
        <f t="shared" si="1"/>
        <v>1239.2224054985411</v>
      </c>
      <c r="D43" s="25">
        <f t="shared" si="1"/>
        <v>309.80560137463527</v>
      </c>
      <c r="E43" s="25">
        <f t="shared" si="1"/>
        <v>172.1142229859085</v>
      </c>
    </row>
    <row r="44" spans="1:6" x14ac:dyDescent="0.2">
      <c r="B44" s="1"/>
      <c r="C44" s="1"/>
      <c r="D44" s="1"/>
      <c r="E44" s="1"/>
    </row>
    <row r="45" spans="1:6" x14ac:dyDescent="0.2">
      <c r="B45" s="1"/>
      <c r="C45" s="1"/>
      <c r="D45" s="1"/>
      <c r="E45" s="1"/>
    </row>
    <row r="46" spans="1:6" x14ac:dyDescent="0.2">
      <c r="A46" t="s">
        <v>70</v>
      </c>
      <c r="B46">
        <v>8.1999999999999993</v>
      </c>
      <c r="C46">
        <v>0.2</v>
      </c>
      <c r="D46" s="1"/>
      <c r="E46" s="1"/>
    </row>
    <row r="47" spans="1:6" x14ac:dyDescent="0.2">
      <c r="A47" t="s">
        <v>71</v>
      </c>
      <c r="B47">
        <v>6.1</v>
      </c>
      <c r="C47">
        <v>0.2</v>
      </c>
      <c r="D47" s="1"/>
      <c r="E47" s="1"/>
    </row>
    <row r="48" spans="1:6" x14ac:dyDescent="0.2">
      <c r="A48" t="s">
        <v>72</v>
      </c>
      <c r="B48">
        <v>4.4000000000000004</v>
      </c>
      <c r="C48">
        <v>0.2</v>
      </c>
      <c r="D48" s="1"/>
      <c r="E48" s="1"/>
    </row>
    <row r="49" spans="1:11" x14ac:dyDescent="0.2">
      <c r="A49" t="s">
        <v>73</v>
      </c>
      <c r="B49">
        <v>2.6</v>
      </c>
      <c r="C49">
        <v>0.24</v>
      </c>
      <c r="D49" s="1"/>
      <c r="E49" s="1"/>
    </row>
    <row r="50" spans="1:11" x14ac:dyDescent="0.2">
      <c r="B50" s="1"/>
      <c r="C50" s="1"/>
      <c r="D50" s="1"/>
      <c r="E50" s="1"/>
    </row>
    <row r="51" spans="1:11" x14ac:dyDescent="0.2">
      <c r="A51" s="19" t="s">
        <v>76</v>
      </c>
      <c r="C51" s="20" t="s">
        <v>7</v>
      </c>
      <c r="D51" s="20" t="s">
        <v>8</v>
      </c>
      <c r="E51" s="20" t="s">
        <v>9</v>
      </c>
    </row>
    <row r="52" spans="1:11" ht="34" x14ac:dyDescent="0.2">
      <c r="A52" s="21" t="s">
        <v>86</v>
      </c>
      <c r="B52" s="1">
        <f>B$22*B$37*B46*B$5*B$7*B$7*B$8*B$8*C46/C$35</f>
        <v>646.80872066198447</v>
      </c>
      <c r="C52" s="1">
        <f t="shared" ref="C52:E55" si="2">B52*C$24</f>
        <v>465.70227887662878</v>
      </c>
      <c r="D52" s="1">
        <f t="shared" si="2"/>
        <v>83.82641019779318</v>
      </c>
      <c r="E52" s="1">
        <f t="shared" si="2"/>
        <v>8.3826410197793191</v>
      </c>
    </row>
    <row r="53" spans="1:11" ht="34" x14ac:dyDescent="0.2">
      <c r="A53" s="21" t="s">
        <v>87</v>
      </c>
      <c r="B53" s="1">
        <f>B$22*B$37*B47*B$5*B$7*B$7*B$8*B$8*C47/C$35</f>
        <v>481.16258488269568</v>
      </c>
      <c r="C53" s="1">
        <f t="shared" si="2"/>
        <v>346.43706111554087</v>
      </c>
      <c r="D53" s="1">
        <f t="shared" si="2"/>
        <v>62.358671000797358</v>
      </c>
      <c r="E53" s="1">
        <f t="shared" si="2"/>
        <v>6.2358671000797363</v>
      </c>
    </row>
    <row r="54" spans="1:11" ht="34" x14ac:dyDescent="0.2">
      <c r="A54" s="21" t="s">
        <v>88</v>
      </c>
      <c r="B54" s="1">
        <f>B$22*B$37*B48*B$5*B$7*B$7*B$8*B$8*C48/C$35</f>
        <v>347.06809401374773</v>
      </c>
      <c r="C54" s="1">
        <f t="shared" si="2"/>
        <v>249.88902768989834</v>
      </c>
      <c r="D54" s="1">
        <f t="shared" si="2"/>
        <v>44.980024984181696</v>
      </c>
      <c r="E54" s="1">
        <f t="shared" si="2"/>
        <v>4.4980024984181695</v>
      </c>
    </row>
    <row r="55" spans="1:11" ht="34" x14ac:dyDescent="0.2">
      <c r="A55" s="21" t="s">
        <v>89</v>
      </c>
      <c r="B55" s="1">
        <f>B$22*B$37*B49*B$5*B$7*B$7*B$8*B$8*C49/C$35</f>
        <v>246.10283030065742</v>
      </c>
      <c r="C55" s="1">
        <f t="shared" si="2"/>
        <v>177.19403781647333</v>
      </c>
      <c r="D55" s="1">
        <f t="shared" si="2"/>
        <v>31.894926806965199</v>
      </c>
      <c r="E55" s="1">
        <f t="shared" si="2"/>
        <v>3.18949268069652</v>
      </c>
    </row>
    <row r="56" spans="1:11" x14ac:dyDescent="0.2">
      <c r="B56" s="1"/>
      <c r="C56" s="1"/>
      <c r="D56" s="1"/>
      <c r="E56" s="1"/>
    </row>
    <row r="57" spans="1:11" x14ac:dyDescent="0.2">
      <c r="B57" s="1"/>
      <c r="C57" s="2"/>
      <c r="D57" s="2"/>
      <c r="E57" s="2"/>
    </row>
    <row r="58" spans="1:11" x14ac:dyDescent="0.2">
      <c r="B58" s="1"/>
      <c r="C58" s="2"/>
      <c r="D58" s="2"/>
      <c r="E58" s="2"/>
    </row>
    <row r="59" spans="1:11" x14ac:dyDescent="0.2">
      <c r="A59" t="s">
        <v>4</v>
      </c>
      <c r="B59">
        <v>257</v>
      </c>
    </row>
    <row r="60" spans="1:11" x14ac:dyDescent="0.2">
      <c r="A60" t="s">
        <v>5</v>
      </c>
      <c r="B60">
        <v>955</v>
      </c>
    </row>
    <row r="61" spans="1:11" x14ac:dyDescent="0.2">
      <c r="A61" t="s">
        <v>102</v>
      </c>
      <c r="B61" s="1">
        <v>110000000000</v>
      </c>
      <c r="D61" s="1"/>
      <c r="H61" s="4"/>
      <c r="K61" s="4"/>
    </row>
    <row r="62" spans="1:11" x14ac:dyDescent="0.2">
      <c r="H62" s="6"/>
      <c r="I62" s="1"/>
      <c r="K62" s="4"/>
    </row>
    <row r="63" spans="1:11" ht="34" x14ac:dyDescent="0.2">
      <c r="A63" s="21" t="s">
        <v>103</v>
      </c>
      <c r="B63" s="1">
        <f>B$22*B$59*B$61</f>
        <v>198914.55774180562</v>
      </c>
    </row>
    <row r="64" spans="1:11" ht="34" x14ac:dyDescent="0.2">
      <c r="A64" s="23" t="s">
        <v>104</v>
      </c>
      <c r="B64" s="16">
        <f>B$22*B$59*B$61*B$5</f>
        <v>62658.085688668769</v>
      </c>
      <c r="C64" s="16">
        <f t="shared" ref="C64:E65" si="3">$B64*C$24</f>
        <v>45113.821695841514</v>
      </c>
      <c r="D64" s="16">
        <f t="shared" si="3"/>
        <v>11278.455423960379</v>
      </c>
      <c r="E64" s="16">
        <f t="shared" si="3"/>
        <v>6265.8085688668771</v>
      </c>
      <c r="H64" s="4"/>
      <c r="K64" s="4"/>
    </row>
    <row r="65" spans="1:11" ht="34" x14ac:dyDescent="0.2">
      <c r="A65" s="22" t="s">
        <v>105</v>
      </c>
      <c r="B65" s="13">
        <f>B$22*B$59*B$61*B$5*B$11*B$11*B$12*B$12</f>
        <v>38414.983096780241</v>
      </c>
      <c r="C65" s="13">
        <f t="shared" si="3"/>
        <v>27658.787829681773</v>
      </c>
      <c r="D65" s="13">
        <f t="shared" si="3"/>
        <v>6914.6969574204431</v>
      </c>
      <c r="E65" s="13">
        <f t="shared" si="3"/>
        <v>3841.4983096780243</v>
      </c>
      <c r="H65" s="15"/>
      <c r="K65" s="4"/>
    </row>
    <row r="66" spans="1:11" x14ac:dyDescent="0.2">
      <c r="A66" s="21"/>
      <c r="B66" s="1"/>
      <c r="C66" s="1"/>
      <c r="D66" s="1"/>
      <c r="E66" s="1"/>
      <c r="H66" s="4"/>
      <c r="K66" s="4"/>
    </row>
    <row r="67" spans="1:11" ht="34" x14ac:dyDescent="0.2">
      <c r="A67" s="23" t="s">
        <v>106</v>
      </c>
      <c r="B67" s="16">
        <f>B$22*B$60*B$61/10</f>
        <v>73915.720872927777</v>
      </c>
      <c r="C67" s="16">
        <f t="shared" ref="C67:E67" si="4">$B67*C$24</f>
        <v>53219.319028507998</v>
      </c>
      <c r="D67" s="16">
        <f t="shared" si="4"/>
        <v>13304.829757127</v>
      </c>
      <c r="E67" s="16">
        <f t="shared" si="4"/>
        <v>7391.5720872927777</v>
      </c>
      <c r="K67" s="4"/>
    </row>
    <row r="68" spans="1:11" ht="17" x14ac:dyDescent="0.2">
      <c r="A68" s="23" t="s">
        <v>62</v>
      </c>
      <c r="B68" s="16"/>
      <c r="C68" s="16">
        <v>0.53</v>
      </c>
      <c r="D68" s="16">
        <v>0.17</v>
      </c>
      <c r="E68" s="16">
        <v>3.5000000000000003E-2</v>
      </c>
      <c r="K68" s="4"/>
    </row>
    <row r="69" spans="1:11" ht="34" x14ac:dyDescent="0.2">
      <c r="A69" s="23" t="s">
        <v>107</v>
      </c>
      <c r="B69" s="16">
        <f>C69+D69+E69</f>
        <v>30726.765166876077</v>
      </c>
      <c r="C69" s="16">
        <f>C67*C68</f>
        <v>28206.239085109239</v>
      </c>
      <c r="D69" s="16">
        <f t="shared" ref="D69:E69" si="5">D67*D68</f>
        <v>2261.82105871159</v>
      </c>
      <c r="E69" s="16">
        <f t="shared" si="5"/>
        <v>258.70502305524724</v>
      </c>
      <c r="K69" s="4"/>
    </row>
    <row r="70" spans="1:11" ht="34" x14ac:dyDescent="0.2">
      <c r="A70" s="23" t="s">
        <v>108</v>
      </c>
      <c r="B70" s="16">
        <f>C70+D70+E70</f>
        <v>9678.9310275659645</v>
      </c>
      <c r="C70" s="16">
        <f>C69*$B$5</f>
        <v>8884.9653118094102</v>
      </c>
      <c r="D70" s="16">
        <f>D69*$B$5</f>
        <v>712.47363349415082</v>
      </c>
      <c r="E70" s="16">
        <f>E69*$B$5</f>
        <v>81.492082262402874</v>
      </c>
      <c r="K70" s="4"/>
    </row>
    <row r="71" spans="1:11" ht="34" x14ac:dyDescent="0.2">
      <c r="A71" s="22" t="s">
        <v>109</v>
      </c>
      <c r="B71" s="13">
        <f>B70*$B$11*$B$11*$B$12*$B$12</f>
        <v>5934.0461447593889</v>
      </c>
      <c r="C71" s="13">
        <f t="shared" ref="C71:E71" si="6">C70*$B$11*$B$11*$B$12*$B$12</f>
        <v>5447.2744980519192</v>
      </c>
      <c r="D71" s="13">
        <f t="shared" si="6"/>
        <v>436.80974748529547</v>
      </c>
      <c r="E71" s="13">
        <f t="shared" si="6"/>
        <v>49.961899222174324</v>
      </c>
      <c r="H71" s="4"/>
      <c r="I71" s="4"/>
      <c r="J71" s="4"/>
      <c r="K71" s="4"/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9D40-2C56-4744-88AB-ADE612EE04FF}">
  <dimension ref="A1:K72"/>
  <sheetViews>
    <sheetView tabSelected="1" topLeftCell="A27" zoomScale="101" workbookViewId="0">
      <selection activeCell="C32" sqref="C32"/>
    </sheetView>
  </sheetViews>
  <sheetFormatPr baseColWidth="10" defaultRowHeight="16" x14ac:dyDescent="0.2"/>
  <cols>
    <col min="1" max="1" width="27.6640625" customWidth="1"/>
    <col min="2" max="2" width="11.83203125" customWidth="1"/>
    <col min="4" max="4" width="15.5" customWidth="1"/>
  </cols>
  <sheetData>
    <row r="1" spans="1:5" x14ac:dyDescent="0.2">
      <c r="A1" t="s">
        <v>6</v>
      </c>
      <c r="D1" t="s">
        <v>11</v>
      </c>
      <c r="E1" s="2"/>
    </row>
    <row r="2" spans="1:5" x14ac:dyDescent="0.2">
      <c r="A2" t="s">
        <v>0</v>
      </c>
      <c r="B2">
        <v>64090</v>
      </c>
    </row>
    <row r="3" spans="1:5" x14ac:dyDescent="0.2">
      <c r="A3" t="s">
        <v>1</v>
      </c>
      <c r="B3">
        <v>23422</v>
      </c>
      <c r="C3" s="5"/>
    </row>
    <row r="4" spans="1:5" x14ac:dyDescent="0.2">
      <c r="C4" s="5"/>
    </row>
    <row r="5" spans="1:5" ht="34" x14ac:dyDescent="0.2">
      <c r="A5" s="27" t="s">
        <v>77</v>
      </c>
      <c r="B5" s="6">
        <v>0.315</v>
      </c>
    </row>
    <row r="6" spans="1:5" x14ac:dyDescent="0.2">
      <c r="A6" s="14"/>
      <c r="B6" s="6"/>
    </row>
    <row r="7" spans="1:5" x14ac:dyDescent="0.2">
      <c r="A7" t="s">
        <v>50</v>
      </c>
      <c r="B7" s="5">
        <v>0.91</v>
      </c>
    </row>
    <row r="8" spans="1:5" x14ac:dyDescent="0.2">
      <c r="A8" t="s">
        <v>48</v>
      </c>
      <c r="B8" s="5">
        <v>0.95</v>
      </c>
    </row>
    <row r="9" spans="1:5" x14ac:dyDescent="0.2">
      <c r="A9" t="s">
        <v>64</v>
      </c>
      <c r="B9" s="10">
        <f>B7*B7*B8*B8</f>
        <v>0.74736024999999995</v>
      </c>
    </row>
    <row r="10" spans="1:5" x14ac:dyDescent="0.2">
      <c r="B10" s="5"/>
    </row>
    <row r="11" spans="1:5" x14ac:dyDescent="0.2">
      <c r="A11" t="s">
        <v>51</v>
      </c>
      <c r="B11" s="5">
        <v>0.87</v>
      </c>
    </row>
    <row r="12" spans="1:5" x14ac:dyDescent="0.2">
      <c r="A12" t="s">
        <v>49</v>
      </c>
      <c r="B12" s="5">
        <v>0.9</v>
      </c>
    </row>
    <row r="13" spans="1:5" x14ac:dyDescent="0.2">
      <c r="A13" t="s">
        <v>65</v>
      </c>
      <c r="B13" s="10">
        <f>B11*B11*B12*B12</f>
        <v>0.613089</v>
      </c>
    </row>
    <row r="15" spans="1:5" x14ac:dyDescent="0.2">
      <c r="A15" t="s">
        <v>3</v>
      </c>
      <c r="B15" s="2" t="s">
        <v>32</v>
      </c>
      <c r="C15" s="1">
        <v>4.2000000000000003E-2</v>
      </c>
    </row>
    <row r="16" spans="1:5" ht="17" x14ac:dyDescent="0.2">
      <c r="A16" s="21" t="s">
        <v>78</v>
      </c>
      <c r="B16" s="2" t="s">
        <v>44</v>
      </c>
      <c r="C16" s="1">
        <f>108*units!B13</f>
        <v>1.08E-10</v>
      </c>
    </row>
    <row r="17" spans="1:5" x14ac:dyDescent="0.2">
      <c r="A17" t="s">
        <v>2</v>
      </c>
      <c r="B17" s="3">
        <f>B2/B3</f>
        <v>2.73631628383571</v>
      </c>
      <c r="C17" s="1"/>
    </row>
    <row r="18" spans="1:5" x14ac:dyDescent="0.2">
      <c r="C18" s="1"/>
    </row>
    <row r="19" spans="1:5" x14ac:dyDescent="0.2">
      <c r="A19" t="s">
        <v>26</v>
      </c>
      <c r="B19" s="2" t="s">
        <v>47</v>
      </c>
      <c r="C19" s="1">
        <f>C16*B17</f>
        <v>2.9552215865425669E-10</v>
      </c>
    </row>
    <row r="21" spans="1:5" ht="34" x14ac:dyDescent="0.2">
      <c r="A21" s="21" t="s">
        <v>46</v>
      </c>
      <c r="B21" s="1">
        <f>C16/C15</f>
        <v>2.5714285714285712E-9</v>
      </c>
    </row>
    <row r="22" spans="1:5" x14ac:dyDescent="0.2">
      <c r="A22" t="s">
        <v>45</v>
      </c>
      <c r="B22" s="1">
        <f>B21*B17</f>
        <v>7.0362418727203968E-9</v>
      </c>
      <c r="C22" s="1"/>
    </row>
    <row r="23" spans="1:5" x14ac:dyDescent="0.2">
      <c r="B23" s="1"/>
      <c r="C23" s="2" t="s">
        <v>7</v>
      </c>
      <c r="D23" s="2" t="s">
        <v>8</v>
      </c>
      <c r="E23" s="2" t="s">
        <v>9</v>
      </c>
    </row>
    <row r="24" spans="1:5" x14ac:dyDescent="0.2">
      <c r="A24" t="s">
        <v>10</v>
      </c>
      <c r="B24" s="1"/>
      <c r="C24" s="2">
        <v>0.72</v>
      </c>
      <c r="D24" s="2">
        <v>0.18</v>
      </c>
      <c r="E24" s="2">
        <v>0.1</v>
      </c>
    </row>
    <row r="25" spans="1:5" x14ac:dyDescent="0.2">
      <c r="B25" s="1"/>
      <c r="C25" s="1"/>
    </row>
    <row r="26" spans="1:5" x14ac:dyDescent="0.2">
      <c r="C26" s="1"/>
      <c r="D26" s="1"/>
      <c r="E26" s="1"/>
    </row>
    <row r="27" spans="1:5" x14ac:dyDescent="0.2">
      <c r="A27" t="s">
        <v>79</v>
      </c>
      <c r="B27" s="1">
        <v>2400000000000</v>
      </c>
      <c r="C27" s="1"/>
      <c r="D27" s="1"/>
      <c r="E27" s="1"/>
    </row>
    <row r="28" spans="1:5" x14ac:dyDescent="0.2">
      <c r="A28" t="s">
        <v>80</v>
      </c>
      <c r="B28" s="1">
        <f>B$22*B$27</f>
        <v>16886.980494528951</v>
      </c>
      <c r="C28" s="1"/>
      <c r="D28" s="1"/>
      <c r="E28" s="1"/>
    </row>
    <row r="29" spans="1:5" x14ac:dyDescent="0.2">
      <c r="B29" s="1"/>
      <c r="C29" s="1"/>
      <c r="D29" s="1"/>
      <c r="E29" s="1"/>
    </row>
    <row r="30" spans="1:5" x14ac:dyDescent="0.2">
      <c r="B30" s="1"/>
      <c r="C30" s="20" t="s">
        <v>7</v>
      </c>
      <c r="D30" s="20" t="s">
        <v>8</v>
      </c>
      <c r="E30" s="20" t="s">
        <v>9</v>
      </c>
    </row>
    <row r="31" spans="1:5" ht="34" x14ac:dyDescent="0.2">
      <c r="A31" s="23" t="s">
        <v>81</v>
      </c>
      <c r="B31" s="16">
        <f>B$22*B$27*B$5</f>
        <v>5319.3988557766197</v>
      </c>
      <c r="C31" s="16">
        <f t="shared" ref="C31:E32" si="0">$B31*C$24</f>
        <v>3829.9671761591662</v>
      </c>
      <c r="D31" s="16">
        <f t="shared" si="0"/>
        <v>957.49179403979156</v>
      </c>
      <c r="E31" s="16">
        <f t="shared" si="0"/>
        <v>531.93988557766204</v>
      </c>
    </row>
    <row r="32" spans="1:5" ht="34" x14ac:dyDescent="0.2">
      <c r="A32" s="24" t="s">
        <v>55</v>
      </c>
      <c r="B32" s="25">
        <f>B$22*B$27*B$5*B$7*B$7*B$8*B$8</f>
        <v>3975.5072587029285</v>
      </c>
      <c r="C32" s="25">
        <f t="shared" si="0"/>
        <v>2862.3652262661085</v>
      </c>
      <c r="D32" s="25">
        <f t="shared" si="0"/>
        <v>715.59130656652712</v>
      </c>
      <c r="E32" s="25">
        <f t="shared" si="0"/>
        <v>397.55072587029287</v>
      </c>
    </row>
    <row r="33" spans="1:6" x14ac:dyDescent="0.2">
      <c r="D33" s="1"/>
    </row>
    <row r="34" spans="1:6" x14ac:dyDescent="0.2">
      <c r="B34" s="29" t="s">
        <v>127</v>
      </c>
      <c r="C34" s="29" t="s">
        <v>128</v>
      </c>
      <c r="D34" s="1"/>
    </row>
    <row r="35" spans="1:6" x14ac:dyDescent="0.2">
      <c r="A35" t="s">
        <v>75</v>
      </c>
      <c r="B35" s="18">
        <v>4.7</v>
      </c>
      <c r="C35">
        <v>1</v>
      </c>
    </row>
    <row r="36" spans="1:6" x14ac:dyDescent="0.2">
      <c r="A36" t="s">
        <v>74</v>
      </c>
      <c r="B36" s="26">
        <f>(B47*C47+B48*C48+B49*C49+B50*C50)/(C50+C49+C48+C47)</f>
        <v>5.1952380952380945</v>
      </c>
      <c r="C36" s="3">
        <f>(C50+C49+C48+C47)</f>
        <v>0.84000000000000008</v>
      </c>
      <c r="F36" t="s">
        <v>11</v>
      </c>
    </row>
    <row r="38" spans="1:6" x14ac:dyDescent="0.2">
      <c r="A38" t="s">
        <v>82</v>
      </c>
      <c r="B38" s="1">
        <v>200000000000</v>
      </c>
      <c r="C38" s="1"/>
    </row>
    <row r="39" spans="1:6" ht="15" customHeight="1" x14ac:dyDescent="0.2"/>
    <row r="40" spans="1:6" ht="15" customHeight="1" x14ac:dyDescent="0.2">
      <c r="A40" t="s">
        <v>83</v>
      </c>
      <c r="B40" s="1">
        <f>B$22*B$38*B$36</f>
        <v>7310.9903648932868</v>
      </c>
    </row>
    <row r="41" spans="1:6" ht="15" customHeight="1" x14ac:dyDescent="0.2">
      <c r="B41" s="1"/>
    </row>
    <row r="42" spans="1:6" ht="15" customHeight="1" x14ac:dyDescent="0.2">
      <c r="B42" s="1"/>
      <c r="C42" s="20" t="s">
        <v>7</v>
      </c>
      <c r="D42" s="20" t="s">
        <v>8</v>
      </c>
      <c r="E42" s="20" t="s">
        <v>9</v>
      </c>
    </row>
    <row r="43" spans="1:6" ht="34" x14ac:dyDescent="0.2">
      <c r="A43" s="23" t="s">
        <v>84</v>
      </c>
      <c r="B43" s="16">
        <f>B$22*B$38*B$36*B$5</f>
        <v>2302.9619649413853</v>
      </c>
      <c r="C43" s="16">
        <f t="shared" ref="C43:E44" si="1">$B43*C$24</f>
        <v>1658.1326147577975</v>
      </c>
      <c r="D43" s="16">
        <f t="shared" si="1"/>
        <v>414.53315368944936</v>
      </c>
      <c r="E43" s="16">
        <f t="shared" si="1"/>
        <v>230.29619649413854</v>
      </c>
    </row>
    <row r="44" spans="1:6" ht="34" x14ac:dyDescent="0.2">
      <c r="A44" s="24" t="s">
        <v>85</v>
      </c>
      <c r="B44" s="25">
        <f>B$22*B$38*B$36*B$5*B$7*B$7*B$8*B$8</f>
        <v>1721.1422298590849</v>
      </c>
      <c r="C44" s="25">
        <f t="shared" si="1"/>
        <v>1239.2224054985411</v>
      </c>
      <c r="D44" s="25">
        <f t="shared" si="1"/>
        <v>309.80560137463527</v>
      </c>
      <c r="E44" s="25">
        <f t="shared" si="1"/>
        <v>172.1142229859085</v>
      </c>
    </row>
    <row r="45" spans="1:6" x14ac:dyDescent="0.2">
      <c r="B45" s="1"/>
      <c r="C45" s="1"/>
      <c r="D45" s="1"/>
      <c r="E45" s="1"/>
    </row>
    <row r="46" spans="1:6" x14ac:dyDescent="0.2">
      <c r="B46" s="29" t="s">
        <v>127</v>
      </c>
      <c r="C46" s="29" t="s">
        <v>128</v>
      </c>
      <c r="D46" s="1"/>
      <c r="E46" s="1"/>
    </row>
    <row r="47" spans="1:6" x14ac:dyDescent="0.2">
      <c r="A47" t="s">
        <v>70</v>
      </c>
      <c r="B47">
        <v>8.1999999999999993</v>
      </c>
      <c r="C47">
        <v>0.2</v>
      </c>
      <c r="D47" s="1"/>
      <c r="E47" s="1"/>
    </row>
    <row r="48" spans="1:6" x14ac:dyDescent="0.2">
      <c r="A48" t="s">
        <v>71</v>
      </c>
      <c r="B48">
        <v>6.1</v>
      </c>
      <c r="C48">
        <v>0.2</v>
      </c>
      <c r="D48" s="1"/>
      <c r="E48" s="1"/>
    </row>
    <row r="49" spans="1:11" x14ac:dyDescent="0.2">
      <c r="A49" t="s">
        <v>72</v>
      </c>
      <c r="B49">
        <v>4.4000000000000004</v>
      </c>
      <c r="C49">
        <v>0.2</v>
      </c>
      <c r="D49" s="1"/>
      <c r="E49" s="1"/>
    </row>
    <row r="50" spans="1:11" x14ac:dyDescent="0.2">
      <c r="A50" t="s">
        <v>73</v>
      </c>
      <c r="B50">
        <v>2.6</v>
      </c>
      <c r="C50">
        <v>0.24</v>
      </c>
      <c r="D50" s="1"/>
      <c r="E50" s="1"/>
    </row>
    <row r="51" spans="1:11" x14ac:dyDescent="0.2">
      <c r="B51" s="1"/>
      <c r="C51" s="1"/>
      <c r="D51" s="1"/>
      <c r="E51" s="1"/>
    </row>
    <row r="52" spans="1:11" x14ac:dyDescent="0.2">
      <c r="A52" s="19" t="s">
        <v>76</v>
      </c>
      <c r="C52" s="20" t="s">
        <v>7</v>
      </c>
      <c r="D52" s="20" t="s">
        <v>8</v>
      </c>
      <c r="E52" s="20" t="s">
        <v>9</v>
      </c>
    </row>
    <row r="53" spans="1:11" ht="34" x14ac:dyDescent="0.2">
      <c r="A53" s="21" t="s">
        <v>86</v>
      </c>
      <c r="B53" s="1">
        <f>B$22*B$38*B47*B$5*B$7*B$7*B$8*B$8*C47/C$36</f>
        <v>646.80872066198447</v>
      </c>
      <c r="C53" s="1">
        <f t="shared" ref="C53:E56" si="2">B53*C$24</f>
        <v>465.70227887662878</v>
      </c>
      <c r="D53" s="1">
        <f t="shared" si="2"/>
        <v>83.82641019779318</v>
      </c>
      <c r="E53" s="1">
        <f t="shared" si="2"/>
        <v>8.3826410197793191</v>
      </c>
    </row>
    <row r="54" spans="1:11" ht="34" x14ac:dyDescent="0.2">
      <c r="A54" s="21" t="s">
        <v>87</v>
      </c>
      <c r="B54" s="1">
        <f>B$22*B$38*B48*B$5*B$7*B$7*B$8*B$8*C48/C$36</f>
        <v>481.16258488269568</v>
      </c>
      <c r="C54" s="1">
        <f t="shared" si="2"/>
        <v>346.43706111554087</v>
      </c>
      <c r="D54" s="1">
        <f t="shared" si="2"/>
        <v>62.358671000797358</v>
      </c>
      <c r="E54" s="1">
        <f t="shared" si="2"/>
        <v>6.2358671000797363</v>
      </c>
    </row>
    <row r="55" spans="1:11" ht="34" x14ac:dyDescent="0.2">
      <c r="A55" s="21" t="s">
        <v>88</v>
      </c>
      <c r="B55" s="1">
        <f>B$22*B$38*B49*B$5*B$7*B$7*B$8*B$8*C49/C$36</f>
        <v>347.06809401374773</v>
      </c>
      <c r="C55" s="1">
        <f t="shared" si="2"/>
        <v>249.88902768989834</v>
      </c>
      <c r="D55" s="1">
        <f t="shared" si="2"/>
        <v>44.980024984181696</v>
      </c>
      <c r="E55" s="1">
        <f t="shared" si="2"/>
        <v>4.4980024984181695</v>
      </c>
    </row>
    <row r="56" spans="1:11" ht="34" x14ac:dyDescent="0.2">
      <c r="A56" s="21" t="s">
        <v>89</v>
      </c>
      <c r="B56" s="1">
        <f>B$22*B$38*B50*B$5*B$7*B$7*B$8*B$8*C50/C$36</f>
        <v>246.10283030065742</v>
      </c>
      <c r="C56" s="1">
        <f t="shared" si="2"/>
        <v>177.19403781647333</v>
      </c>
      <c r="D56" s="1">
        <f t="shared" si="2"/>
        <v>31.894926806965199</v>
      </c>
      <c r="E56" s="1">
        <f t="shared" si="2"/>
        <v>3.18949268069652</v>
      </c>
    </row>
    <row r="57" spans="1:11" x14ac:dyDescent="0.2">
      <c r="B57" s="1"/>
      <c r="C57" s="1"/>
      <c r="D57" s="1"/>
      <c r="E57" s="1"/>
    </row>
    <row r="58" spans="1:11" x14ac:dyDescent="0.2">
      <c r="B58" s="1"/>
      <c r="C58" s="2"/>
      <c r="D58" s="2"/>
      <c r="E58" s="2"/>
    </row>
    <row r="59" spans="1:11" x14ac:dyDescent="0.2">
      <c r="B59" s="1"/>
      <c r="C59" s="2"/>
      <c r="D59" s="2"/>
      <c r="E59" s="2"/>
    </row>
    <row r="60" spans="1:11" x14ac:dyDescent="0.2">
      <c r="A60" t="s">
        <v>4</v>
      </c>
      <c r="B60">
        <v>257</v>
      </c>
    </row>
    <row r="61" spans="1:11" x14ac:dyDescent="0.2">
      <c r="A61" t="s">
        <v>5</v>
      </c>
      <c r="B61">
        <v>955</v>
      </c>
    </row>
    <row r="62" spans="1:11" x14ac:dyDescent="0.2">
      <c r="A62" t="s">
        <v>90</v>
      </c>
      <c r="B62" s="1">
        <v>140000000000</v>
      </c>
      <c r="D62" s="1"/>
      <c r="H62" s="4"/>
      <c r="K62" s="4"/>
    </row>
    <row r="63" spans="1:11" x14ac:dyDescent="0.2">
      <c r="H63" s="6"/>
      <c r="I63" s="1"/>
      <c r="K63" s="4"/>
    </row>
    <row r="64" spans="1:11" ht="34" x14ac:dyDescent="0.2">
      <c r="A64" s="21" t="s">
        <v>91</v>
      </c>
      <c r="B64" s="1">
        <f>B$22*B$60*B$62</f>
        <v>253163.98258047987</v>
      </c>
    </row>
    <row r="65" spans="1:11" ht="34" x14ac:dyDescent="0.2">
      <c r="A65" s="23" t="s">
        <v>92</v>
      </c>
      <c r="B65" s="16">
        <f>B$22*B$60*B$62*B$5</f>
        <v>79746.654512851164</v>
      </c>
      <c r="C65" s="16">
        <f t="shared" ref="C65:E66" si="3">$B65*C$24</f>
        <v>57417.591249252837</v>
      </c>
      <c r="D65" s="16">
        <f t="shared" si="3"/>
        <v>14354.397812313209</v>
      </c>
      <c r="E65" s="16">
        <f t="shared" si="3"/>
        <v>7974.6654512851164</v>
      </c>
      <c r="H65" s="4"/>
      <c r="K65" s="4"/>
    </row>
    <row r="66" spans="1:11" ht="34" x14ac:dyDescent="0.2">
      <c r="A66" s="22" t="s">
        <v>93</v>
      </c>
      <c r="B66" s="13">
        <f>B$22*B$60*B$62*B$5*B$11*B$11*B$12*B$12</f>
        <v>48891.796668629402</v>
      </c>
      <c r="C66" s="13">
        <f t="shared" si="3"/>
        <v>35202.093601413166</v>
      </c>
      <c r="D66" s="13">
        <f t="shared" si="3"/>
        <v>8800.5234003532914</v>
      </c>
      <c r="E66" s="13">
        <f t="shared" si="3"/>
        <v>4889.1796668629404</v>
      </c>
      <c r="H66" s="15"/>
      <c r="K66" s="4"/>
    </row>
    <row r="67" spans="1:11" x14ac:dyDescent="0.2">
      <c r="A67" s="21"/>
      <c r="B67" s="1"/>
      <c r="C67" s="1"/>
      <c r="D67" s="1"/>
      <c r="E67" s="1"/>
      <c r="H67" s="4"/>
      <c r="K67" s="4"/>
    </row>
    <row r="68" spans="1:11" ht="34" x14ac:dyDescent="0.2">
      <c r="A68" s="23" t="s">
        <v>94</v>
      </c>
      <c r="B68" s="16">
        <f>B$22*B$61*B$62/10</f>
        <v>94074.553838271706</v>
      </c>
      <c r="C68" s="16">
        <f t="shared" ref="C68:E68" si="4">$B68*C$24</f>
        <v>67733.678763555625</v>
      </c>
      <c r="D68" s="16">
        <f t="shared" si="4"/>
        <v>16933.419690888906</v>
      </c>
      <c r="E68" s="16">
        <f t="shared" si="4"/>
        <v>9407.4553838271713</v>
      </c>
      <c r="K68" s="4"/>
    </row>
    <row r="69" spans="1:11" ht="17" x14ac:dyDescent="0.2">
      <c r="A69" s="23" t="s">
        <v>62</v>
      </c>
      <c r="B69" s="16"/>
      <c r="C69" s="16">
        <v>0.53</v>
      </c>
      <c r="D69" s="16">
        <v>0.17</v>
      </c>
      <c r="E69" s="16">
        <v>3.5000000000000003E-2</v>
      </c>
      <c r="K69" s="4"/>
    </row>
    <row r="70" spans="1:11" ht="34" x14ac:dyDescent="0.2">
      <c r="A70" s="23" t="s">
        <v>95</v>
      </c>
      <c r="B70" s="16">
        <f>C70+D70+E70</f>
        <v>39106.792030569552</v>
      </c>
      <c r="C70" s="16">
        <f>C68*C69</f>
        <v>35898.849744684485</v>
      </c>
      <c r="D70" s="16">
        <f t="shared" ref="D70:E70" si="5">D68*D69</f>
        <v>2878.6813474511141</v>
      </c>
      <c r="E70" s="16">
        <f t="shared" si="5"/>
        <v>329.26093843395103</v>
      </c>
      <c r="K70" s="4"/>
    </row>
    <row r="71" spans="1:11" ht="34" x14ac:dyDescent="0.2">
      <c r="A71" s="23" t="s">
        <v>96</v>
      </c>
      <c r="B71" s="16">
        <f>C71+D71+E71</f>
        <v>12318.639489629408</v>
      </c>
      <c r="C71" s="16">
        <f>C70*$B$5</f>
        <v>11308.137669575613</v>
      </c>
      <c r="D71" s="16">
        <f>D70*$B$5</f>
        <v>906.7846244471009</v>
      </c>
      <c r="E71" s="16">
        <f>E70*$B$5</f>
        <v>103.71719560669457</v>
      </c>
      <c r="K71" s="4"/>
    </row>
    <row r="72" spans="1:11" ht="34" x14ac:dyDescent="0.2">
      <c r="A72" s="22" t="s">
        <v>97</v>
      </c>
      <c r="B72" s="13">
        <f>B71*$B$11*$B$11*$B$12*$B$12</f>
        <v>7552.4223660574044</v>
      </c>
      <c r="C72" s="13">
        <f t="shared" ref="C72:E72" si="6">C71*$B$11*$B$11*$B$12*$B$12</f>
        <v>6932.8948157024433</v>
      </c>
      <c r="D72" s="13">
        <f t="shared" si="6"/>
        <v>555.93967861764872</v>
      </c>
      <c r="E72" s="13">
        <f t="shared" si="6"/>
        <v>63.58787173731276</v>
      </c>
      <c r="H72" s="4"/>
      <c r="I72" s="4"/>
      <c r="J72" s="4"/>
      <c r="K72" s="4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EAD8-E11F-3F42-98FC-154FBFEE733B}">
  <dimension ref="A1:H35"/>
  <sheetViews>
    <sheetView topLeftCell="A11" zoomScale="99" workbookViewId="0">
      <selection activeCell="A26" sqref="A26"/>
    </sheetView>
  </sheetViews>
  <sheetFormatPr baseColWidth="10" defaultRowHeight="16" x14ac:dyDescent="0.2"/>
  <cols>
    <col min="1" max="1" width="36.33203125" customWidth="1"/>
    <col min="2" max="2" width="7.5" customWidth="1"/>
    <col min="4" max="4" width="18.6640625" customWidth="1"/>
    <col min="7" max="7" width="18.5" customWidth="1"/>
  </cols>
  <sheetData>
    <row r="1" spans="1:8" x14ac:dyDescent="0.2">
      <c r="A1" s="8" t="s">
        <v>30</v>
      </c>
      <c r="B1">
        <v>6.8</v>
      </c>
      <c r="C1">
        <v>257</v>
      </c>
    </row>
    <row r="2" spans="1:8" x14ac:dyDescent="0.2">
      <c r="A2" s="8" t="s">
        <v>31</v>
      </c>
      <c r="B2">
        <v>39</v>
      </c>
      <c r="C2">
        <v>1</v>
      </c>
    </row>
    <row r="3" spans="1:8" x14ac:dyDescent="0.2">
      <c r="A3" s="8" t="s">
        <v>53</v>
      </c>
      <c r="B3">
        <v>1.76</v>
      </c>
      <c r="C3">
        <v>4.7</v>
      </c>
    </row>
    <row r="4" spans="1:8" x14ac:dyDescent="0.2">
      <c r="A4" s="8"/>
    </row>
    <row r="5" spans="1:8" x14ac:dyDescent="0.2">
      <c r="A5" s="8" t="s">
        <v>56</v>
      </c>
    </row>
    <row r="6" spans="1:8" x14ac:dyDescent="0.2">
      <c r="A6" s="8"/>
    </row>
    <row r="7" spans="1:8" x14ac:dyDescent="0.2">
      <c r="C7" s="2" t="s">
        <v>35</v>
      </c>
      <c r="D7" s="2" t="s">
        <v>33</v>
      </c>
      <c r="E7" s="2" t="s">
        <v>34</v>
      </c>
    </row>
    <row r="8" spans="1:8" x14ac:dyDescent="0.2">
      <c r="A8" t="s">
        <v>38</v>
      </c>
      <c r="B8">
        <v>3.7</v>
      </c>
      <c r="C8" s="16">
        <f>$B8*B$1/(units!$B$12)</f>
        <v>25160000000</v>
      </c>
      <c r="D8">
        <v>250</v>
      </c>
      <c r="E8" s="1">
        <f>C8*D8</f>
        <v>6290000000000</v>
      </c>
    </row>
    <row r="9" spans="1:8" x14ac:dyDescent="0.2">
      <c r="A9" t="s">
        <v>39</v>
      </c>
      <c r="B9">
        <v>5.7</v>
      </c>
      <c r="C9" s="16">
        <f>$B9*B$1/(units!$B$12)</f>
        <v>38759999999.999992</v>
      </c>
    </row>
    <row r="10" spans="1:8" x14ac:dyDescent="0.2">
      <c r="A10" t="s">
        <v>68</v>
      </c>
      <c r="B10">
        <v>1.7</v>
      </c>
      <c r="C10" s="16">
        <f>$B10*B$1/(units!$B$12)</f>
        <v>11559999999.999998</v>
      </c>
    </row>
    <row r="11" spans="1:8" x14ac:dyDescent="0.2">
      <c r="C11" s="13"/>
      <c r="E11" s="1"/>
    </row>
    <row r="12" spans="1:8" x14ac:dyDescent="0.2">
      <c r="A12" t="s">
        <v>41</v>
      </c>
      <c r="B12">
        <v>13</v>
      </c>
      <c r="C12" s="1">
        <f>$B12*B$1/(units!$B$12)</f>
        <v>88399999999.999985</v>
      </c>
      <c r="G12" s="1" t="s">
        <v>42</v>
      </c>
      <c r="H12" s="17">
        <f>C8+C12</f>
        <v>113559999999.99998</v>
      </c>
    </row>
    <row r="13" spans="1:8" x14ac:dyDescent="0.2">
      <c r="A13" t="s">
        <v>40</v>
      </c>
      <c r="B13">
        <v>15</v>
      </c>
      <c r="C13" s="1">
        <f>$B13*B$1/(units!$B$12)</f>
        <v>102000000000</v>
      </c>
      <c r="E13" s="1"/>
      <c r="G13" s="1" t="s">
        <v>37</v>
      </c>
      <c r="H13" s="13">
        <f>C9+C13</f>
        <v>140760000000</v>
      </c>
    </row>
    <row r="14" spans="1:8" x14ac:dyDescent="0.2">
      <c r="A14" t="s">
        <v>66</v>
      </c>
      <c r="B14">
        <v>10</v>
      </c>
      <c r="C14" s="1">
        <f>$B14*B$1/(units!$B$12)</f>
        <v>67999999999.999992</v>
      </c>
      <c r="E14" s="1"/>
      <c r="G14" s="1" t="s">
        <v>67</v>
      </c>
      <c r="H14" s="16">
        <f>C14+C10</f>
        <v>79559999999.999985</v>
      </c>
    </row>
    <row r="16" spans="1:8" x14ac:dyDescent="0.2">
      <c r="A16" t="s">
        <v>43</v>
      </c>
      <c r="B16">
        <v>30</v>
      </c>
      <c r="C16" s="1">
        <f>$B16*B$1/(units!$B$12)</f>
        <v>204000000000</v>
      </c>
      <c r="D16">
        <v>250</v>
      </c>
      <c r="E16" s="1">
        <f>C16*D16</f>
        <v>51000000000000</v>
      </c>
      <c r="G16" s="1" t="s">
        <v>36</v>
      </c>
      <c r="H16" s="1">
        <f>C13+C16</f>
        <v>306000000000</v>
      </c>
    </row>
    <row r="21" spans="1:8" x14ac:dyDescent="0.2">
      <c r="A21" s="8" t="s">
        <v>28</v>
      </c>
    </row>
    <row r="22" spans="1:8" x14ac:dyDescent="0.2">
      <c r="A22" t="s">
        <v>59</v>
      </c>
      <c r="B22">
        <v>4.5</v>
      </c>
      <c r="C22" s="1">
        <f>$B22*B$2*units!$B$10/(units!$B$13)</f>
        <v>175500000000.00003</v>
      </c>
    </row>
    <row r="23" spans="1:8" x14ac:dyDescent="0.2">
      <c r="A23" t="s">
        <v>57</v>
      </c>
      <c r="B23">
        <v>6.2</v>
      </c>
      <c r="C23" s="1">
        <f>$B23*B$2*units!$B$10/(units!$B$13)</f>
        <v>241800000000.00003</v>
      </c>
    </row>
    <row r="25" spans="1:8" x14ac:dyDescent="0.2">
      <c r="A25" t="s">
        <v>60</v>
      </c>
      <c r="B25">
        <v>45</v>
      </c>
      <c r="C25" s="17">
        <f>$B25*B$2*units!$B$10/(units!$B$13)</f>
        <v>1755000000000.0002</v>
      </c>
    </row>
    <row r="26" spans="1:8" x14ac:dyDescent="0.2">
      <c r="A26" t="s">
        <v>58</v>
      </c>
      <c r="B26">
        <v>62</v>
      </c>
      <c r="C26" s="13">
        <f>$B26*B$2*units!$B$10/(units!$B$13)</f>
        <v>2418000000000</v>
      </c>
    </row>
    <row r="27" spans="1:8" x14ac:dyDescent="0.2">
      <c r="A27" t="s">
        <v>69</v>
      </c>
      <c r="B27">
        <v>62</v>
      </c>
      <c r="C27" s="16">
        <f>$B27*B$2*units!$B$10/(units!$B$13)</f>
        <v>2418000000000</v>
      </c>
    </row>
    <row r="28" spans="1:8" x14ac:dyDescent="0.2">
      <c r="C28" s="1"/>
    </row>
    <row r="29" spans="1:8" x14ac:dyDescent="0.2">
      <c r="A29" t="s">
        <v>61</v>
      </c>
      <c r="B29">
        <v>80</v>
      </c>
      <c r="C29" s="1">
        <f>$B29*B$2*units!$B$10/(units!$B$13)</f>
        <v>3120000000000</v>
      </c>
      <c r="G29" s="1" t="s">
        <v>63</v>
      </c>
      <c r="H29" s="1">
        <f>C26+C29</f>
        <v>5538000000000</v>
      </c>
    </row>
    <row r="32" spans="1:8" x14ac:dyDescent="0.2">
      <c r="A32" s="8" t="s">
        <v>52</v>
      </c>
    </row>
    <row r="34" spans="1:4" x14ac:dyDescent="0.2">
      <c r="A34" t="s">
        <v>29</v>
      </c>
      <c r="B34">
        <v>0.01</v>
      </c>
      <c r="C34" s="1">
        <f>$B34*B$3*units!$B$9/(units!$B$13)</f>
        <v>17600000000</v>
      </c>
      <c r="D34" s="1"/>
    </row>
    <row r="35" spans="1:4" x14ac:dyDescent="0.2">
      <c r="A35" t="s">
        <v>54</v>
      </c>
      <c r="B35">
        <v>0.11</v>
      </c>
      <c r="C35" s="13">
        <f>$B35*B$3*units!$B$9/(units!$B$13)</f>
        <v>193600000000</v>
      </c>
      <c r="D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1DC1-0E2F-F949-9711-3ADC54E863A5}">
  <dimension ref="A1:D9"/>
  <sheetViews>
    <sheetView workbookViewId="0">
      <selection activeCell="C5" sqref="C5:C7"/>
    </sheetView>
  </sheetViews>
  <sheetFormatPr baseColWidth="10" defaultRowHeight="16" x14ac:dyDescent="0.2"/>
  <sheetData>
    <row r="1" spans="1:4" x14ac:dyDescent="0.2">
      <c r="A1" t="s">
        <v>12</v>
      </c>
      <c r="D1">
        <v>6128</v>
      </c>
    </row>
    <row r="2" spans="1:4" x14ac:dyDescent="0.2">
      <c r="A2" t="s">
        <v>16</v>
      </c>
    </row>
    <row r="4" spans="1:4" x14ac:dyDescent="0.2">
      <c r="C4" s="7" t="s">
        <v>17</v>
      </c>
    </row>
    <row r="5" spans="1:4" x14ac:dyDescent="0.2">
      <c r="A5" s="8" t="s">
        <v>13</v>
      </c>
      <c r="B5">
        <v>4430</v>
      </c>
      <c r="C5" s="10">
        <f>B5/$D$1</f>
        <v>0.72291122715404699</v>
      </c>
    </row>
    <row r="6" spans="1:4" x14ac:dyDescent="0.2">
      <c r="A6" s="8" t="s">
        <v>14</v>
      </c>
      <c r="B6">
        <v>1114</v>
      </c>
      <c r="C6" s="10">
        <f>B6/$D$1</f>
        <v>0.18178851174934726</v>
      </c>
    </row>
    <row r="7" spans="1:4" x14ac:dyDescent="0.2">
      <c r="A7" s="8" t="s">
        <v>15</v>
      </c>
      <c r="B7">
        <v>584</v>
      </c>
      <c r="C7" s="10">
        <f>B7/$D$1</f>
        <v>9.5300261096605748E-2</v>
      </c>
    </row>
    <row r="9" spans="1:4" x14ac:dyDescent="0.2">
      <c r="A9" s="9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A788-1FD1-654B-BF14-FD70E83A0F83}">
  <dimension ref="A1:C14"/>
  <sheetViews>
    <sheetView workbookViewId="0">
      <selection activeCell="B10" sqref="B10"/>
    </sheetView>
  </sheetViews>
  <sheetFormatPr baseColWidth="10" defaultRowHeight="16" x14ac:dyDescent="0.2"/>
  <sheetData>
    <row r="1" spans="1:3" x14ac:dyDescent="0.2">
      <c r="A1" t="s">
        <v>19</v>
      </c>
      <c r="B1" s="11">
        <f>1E-24</f>
        <v>9.9999999999999992E-25</v>
      </c>
      <c r="C1" t="s">
        <v>20</v>
      </c>
    </row>
    <row r="2" spans="1:3" x14ac:dyDescent="0.2">
      <c r="A2" t="s">
        <v>21</v>
      </c>
      <c r="B2" s="12">
        <f>1E-27</f>
        <v>1E-27</v>
      </c>
      <c r="C2" t="s">
        <v>20</v>
      </c>
    </row>
    <row r="3" spans="1:3" x14ac:dyDescent="0.2">
      <c r="A3" t="s">
        <v>22</v>
      </c>
      <c r="B3" s="11">
        <f>1E-30</f>
        <v>1.0000000000000001E-30</v>
      </c>
      <c r="C3" t="s">
        <v>20</v>
      </c>
    </row>
    <row r="4" spans="1:3" x14ac:dyDescent="0.2">
      <c r="A4" t="s">
        <v>23</v>
      </c>
      <c r="B4" s="11">
        <f>1E-33</f>
        <v>1.0000000000000001E-33</v>
      </c>
      <c r="C4" t="s">
        <v>20</v>
      </c>
    </row>
    <row r="5" spans="1:3" x14ac:dyDescent="0.2">
      <c r="A5" t="s">
        <v>24</v>
      </c>
      <c r="B5" s="11">
        <f>1E-36</f>
        <v>9.9999999999999994E-37</v>
      </c>
      <c r="C5" t="s">
        <v>20</v>
      </c>
    </row>
    <row r="6" spans="1:3" x14ac:dyDescent="0.2">
      <c r="A6" t="s">
        <v>25</v>
      </c>
      <c r="B6" s="11">
        <f>1E-39</f>
        <v>9.9999999999999993E-40</v>
      </c>
      <c r="C6" t="s">
        <v>20</v>
      </c>
    </row>
    <row r="9" spans="1:3" x14ac:dyDescent="0.2">
      <c r="A9" t="s">
        <v>19</v>
      </c>
      <c r="B9" s="12">
        <v>1</v>
      </c>
      <c r="C9" t="s">
        <v>27</v>
      </c>
    </row>
    <row r="10" spans="1:3" x14ac:dyDescent="0.2">
      <c r="A10" t="s">
        <v>21</v>
      </c>
      <c r="B10" s="12">
        <f>0.001</f>
        <v>1E-3</v>
      </c>
      <c r="C10" t="s">
        <v>27</v>
      </c>
    </row>
    <row r="11" spans="1:3" x14ac:dyDescent="0.2">
      <c r="A11" t="s">
        <v>22</v>
      </c>
      <c r="B11" s="12">
        <f>0.000001</f>
        <v>9.9999999999999995E-7</v>
      </c>
      <c r="C11" t="s">
        <v>27</v>
      </c>
    </row>
    <row r="12" spans="1:3" x14ac:dyDescent="0.2">
      <c r="A12" t="s">
        <v>23</v>
      </c>
      <c r="B12" s="12">
        <f>0.000000001</f>
        <v>1.0000000000000001E-9</v>
      </c>
      <c r="C12" t="s">
        <v>27</v>
      </c>
    </row>
    <row r="13" spans="1:3" x14ac:dyDescent="0.2">
      <c r="A13" t="s">
        <v>24</v>
      </c>
      <c r="B13" s="12">
        <f>0.000000000001</f>
        <v>9.9999999999999998E-13</v>
      </c>
      <c r="C13" t="s">
        <v>27</v>
      </c>
    </row>
    <row r="14" spans="1:3" x14ac:dyDescent="0.2">
      <c r="A14" t="s">
        <v>25</v>
      </c>
      <c r="B14" s="12">
        <f>0.000000000000001</f>
        <v>1.0000000000000001E-15</v>
      </c>
      <c r="C1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rates-20weeks-Year1&amp;2</vt:lpstr>
      <vt:lpstr>rates-20weeks</vt:lpstr>
      <vt:lpstr>rates-24weeks</vt:lpstr>
      <vt:lpstr>rates-28weeks</vt:lpstr>
      <vt:lpstr>event-count</vt:lpstr>
      <vt:lpstr>cdf</vt:lpstr>
      <vt:lpstr>units</vt:lpstr>
      <vt:lpstr>'rates-20weeks'!Print_Area</vt:lpstr>
      <vt:lpstr>'rates-20weeks-Year1&amp;2'!Print_Area</vt:lpstr>
      <vt:lpstr>'rates-24weeks'!Print_Area</vt:lpstr>
      <vt:lpstr>'rates-28weeks'!Print_Area</vt:lpstr>
    </vt:vector>
  </TitlesOfParts>
  <Company>isu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Marzia  Rosati</dc:creator>
  <cp:lastModifiedBy>Microsoft Office User</cp:lastModifiedBy>
  <cp:lastPrinted>2021-05-05T12:52:06Z</cp:lastPrinted>
  <dcterms:created xsi:type="dcterms:W3CDTF">2012-03-06T02:09:25Z</dcterms:created>
  <dcterms:modified xsi:type="dcterms:W3CDTF">2021-05-06T04:38:06Z</dcterms:modified>
</cp:coreProperties>
</file>