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showInkAnnotation="0" defaultThemeVersion="124226"/>
  <mc:AlternateContent xmlns:mc="http://schemas.openxmlformats.org/markup-compatibility/2006">
    <mc:Choice Requires="x15">
      <x15ac:absPath xmlns:x15ac="http://schemas.microsoft.com/office/spreadsheetml/2010/11/ac" url="C:\Users\isourikova\CD-2\Risks\"/>
    </mc:Choice>
  </mc:AlternateContent>
  <xr:revisionPtr revIDLastSave="0" documentId="13_ncr:1_{389B4C5F-526A-4775-8B34-F46D369F5F8F}" xr6:coauthVersionLast="47" xr6:coauthVersionMax="47" xr10:uidLastSave="{00000000-0000-0000-0000-000000000000}"/>
  <bookViews>
    <workbookView xWindow="-120" yWindow="-120" windowWidth="29040" windowHeight="15840" xr2:uid="{00000000-000D-0000-FFFF-FFFF00000000}"/>
  </bookViews>
  <sheets>
    <sheet name="Risks" sheetId="1" r:id="rId1"/>
    <sheet name="Preview" sheetId="24" r:id="rId2"/>
    <sheet name="CB_DATA_" sheetId="5" state="veryHidden" r:id="rId3"/>
    <sheet name="SelectionCriteria" sheetId="18" r:id="rId4"/>
    <sheet name="Retired Risks" sheetId="22" r:id="rId5"/>
    <sheet name="RiskPresentation" sheetId="19" r:id="rId6"/>
    <sheet name="BASIC Counts" sheetId="20" r:id="rId7"/>
    <sheet name="Risks never proposed" sheetId="25"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4" hidden="1">'Retired Risks'!$A$2:$AT$65</definedName>
    <definedName name="_xlnm._FilterDatabase" localSheetId="0" hidden="1">Risks!$A$2:$EM$123</definedName>
    <definedName name="CBWorkbookPriority" localSheetId="2" hidden="1">-1515513185</definedName>
    <definedName name="CBx_1130a702fbbf4fcaba0ab0c394300d0b" localSheetId="2" hidden="1">"'Monte Carlo '!$A$1"</definedName>
    <definedName name="CBx_3d693a7db4634f2f9886886e392a8c35" localSheetId="2" hidden="1">"'CB_DATA_'!$A$1"</definedName>
    <definedName name="CBx_8847569866124156a74444ba6a3af199" localSheetId="2" hidden="1">"'Monte Carlo Worksheet'!$A$1"</definedName>
    <definedName name="CBx_cf58778fbccd4594a8e4b7ea7f5193c2" localSheetId="2" hidden="1">"'CF Monte Carlo'!$A$1"</definedName>
    <definedName name="CBx_Sheet_Guid" localSheetId="2" hidden="1">"'3d693a7d-b463-4f2f-9886-886e392a8c35"</definedName>
    <definedName name="CBx_StorageType" localSheetId="2" hidden="1">1</definedName>
    <definedName name="junk" localSheetId="4">#REF!</definedName>
    <definedName name="junk">#REF!</definedName>
    <definedName name="Pal_Workbook_GUID" hidden="1">"JATYZACKVSBQFWDWRS8L4QC7"</definedName>
    <definedName name="_xlnm.Print_Area" localSheetId="4">'Retired Risks'!$A$1:$AT$65</definedName>
    <definedName name="_xlnm.Print_Area" localSheetId="0">Risks!$B$1:$AX$88</definedName>
    <definedName name="_xlnm.Print_Titles" localSheetId="4">'Retired Risks'!$1:$2</definedName>
    <definedName name="_xlnm.Print_Titles" localSheetId="0">Risks!$1:$2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cope" localSheetId="4">'Retired Risks'!#REF!</definedName>
    <definedName name="Scope" localSheetId="5">#REF!</definedName>
    <definedName name="Scope">Risks!#REF!</definedName>
    <definedName name="stuff" localSheetId="4">#REF!</definedName>
    <definedName name="stuf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5" i="1" l="1"/>
  <c r="AO5" i="1"/>
  <c r="AP40" i="1"/>
  <c r="AO40" i="1"/>
  <c r="AP26" i="1"/>
  <c r="AO26" i="1"/>
  <c r="AP25" i="1"/>
  <c r="AO25" i="1"/>
  <c r="AP24" i="1"/>
  <c r="AO24" i="1"/>
  <c r="AP23" i="1"/>
  <c r="AO23" i="1"/>
  <c r="AK40" i="1"/>
  <c r="AJ40" i="1"/>
  <c r="AI40" i="1"/>
  <c r="AH40" i="1"/>
  <c r="AL40" i="1" s="1"/>
  <c r="AM40" i="1" s="1"/>
  <c r="AK26" i="1"/>
  <c r="AJ26" i="1"/>
  <c r="AI26" i="1"/>
  <c r="AH26" i="1"/>
  <c r="AL26" i="1" s="1"/>
  <c r="AM26" i="1" s="1"/>
  <c r="AK25" i="1"/>
  <c r="AJ25" i="1"/>
  <c r="AI25" i="1"/>
  <c r="AH25" i="1"/>
  <c r="AL25" i="1" s="1"/>
  <c r="AM25" i="1" s="1"/>
  <c r="AP68" i="1"/>
  <c r="AO68" i="1"/>
  <c r="AK24" i="1"/>
  <c r="AJ24" i="1"/>
  <c r="AI24" i="1"/>
  <c r="AH24" i="1"/>
  <c r="AK23" i="1"/>
  <c r="AJ23" i="1"/>
  <c r="AI23" i="1"/>
  <c r="AH23" i="1"/>
  <c r="AP38" i="1"/>
  <c r="AO38" i="1"/>
  <c r="AK38" i="1"/>
  <c r="AJ38" i="1"/>
  <c r="AI38" i="1"/>
  <c r="AH38" i="1"/>
  <c r="AP61" i="1"/>
  <c r="AO61" i="1"/>
  <c r="AP45" i="1"/>
  <c r="AO45" i="1"/>
  <c r="AK61" i="1"/>
  <c r="AJ61" i="1"/>
  <c r="AI61" i="1"/>
  <c r="AH61" i="1"/>
  <c r="AK45" i="1"/>
  <c r="AJ45" i="1"/>
  <c r="AI45" i="1"/>
  <c r="AH45" i="1"/>
  <c r="AL24" i="1" l="1"/>
  <c r="AM24" i="1" s="1"/>
  <c r="AL23" i="1"/>
  <c r="AM23" i="1" s="1"/>
  <c r="AL38" i="1"/>
  <c r="AM38" i="1" s="1"/>
  <c r="AL61" i="1"/>
  <c r="AM61" i="1" s="1"/>
  <c r="AL45" i="1"/>
  <c r="AM45" i="1" s="1"/>
  <c r="AP74" i="1"/>
  <c r="AO74" i="1"/>
  <c r="AK74" i="1"/>
  <c r="AJ74" i="1"/>
  <c r="AI74" i="1"/>
  <c r="AH74" i="1"/>
  <c r="AR74" i="1" s="1"/>
  <c r="AP73" i="1"/>
  <c r="AO73" i="1"/>
  <c r="AK73" i="1"/>
  <c r="AJ73" i="1"/>
  <c r="AI73" i="1"/>
  <c r="AH73" i="1"/>
  <c r="AR73" i="1" s="1"/>
  <c r="AP72" i="1"/>
  <c r="AO72" i="1"/>
  <c r="AK72" i="1"/>
  <c r="AJ72" i="1"/>
  <c r="AI72" i="1"/>
  <c r="AH72" i="1"/>
  <c r="AR72" i="1" s="1"/>
  <c r="AP71" i="1"/>
  <c r="AO71" i="1"/>
  <c r="AK71" i="1"/>
  <c r="AJ71" i="1"/>
  <c r="AI71" i="1"/>
  <c r="AH71" i="1"/>
  <c r="AR71" i="1" s="1"/>
  <c r="AL71" i="1" l="1"/>
  <c r="AM71" i="1" s="1"/>
  <c r="AS71" i="1" s="1"/>
  <c r="AL72" i="1"/>
  <c r="AM72" i="1" s="1"/>
  <c r="AS72" i="1" s="1"/>
  <c r="AL73" i="1"/>
  <c r="AM73" i="1" s="1"/>
  <c r="AS73" i="1" s="1"/>
  <c r="AL74" i="1"/>
  <c r="AM74" i="1" s="1"/>
  <c r="AS74" i="1" s="1"/>
  <c r="AP79" i="1" l="1"/>
  <c r="AO79" i="1"/>
  <c r="AK79" i="1"/>
  <c r="AJ79" i="1"/>
  <c r="AI79" i="1"/>
  <c r="AH79" i="1"/>
  <c r="AR79" i="1" s="1"/>
  <c r="T79" i="1"/>
  <c r="AL79" i="1" l="1"/>
  <c r="AP39" i="1"/>
  <c r="AO39" i="1"/>
  <c r="AK39" i="1"/>
  <c r="AJ39" i="1"/>
  <c r="AI39" i="1"/>
  <c r="AH39" i="1"/>
  <c r="AR39" i="1" s="1"/>
  <c r="AM79" i="1" l="1"/>
  <c r="AS79" i="1" s="1"/>
  <c r="AL39" i="1"/>
  <c r="AP60" i="1"/>
  <c r="AO60" i="1"/>
  <c r="AK60" i="1"/>
  <c r="AJ60" i="1"/>
  <c r="AI60" i="1"/>
  <c r="AH60" i="1"/>
  <c r="AR60" i="1" s="1"/>
  <c r="T60" i="1"/>
  <c r="AP22" i="1"/>
  <c r="AO22" i="1"/>
  <c r="AK22" i="1"/>
  <c r="AJ22" i="1"/>
  <c r="AI22" i="1"/>
  <c r="AH22" i="1"/>
  <c r="AR22" i="1" s="1"/>
  <c r="AP21" i="1"/>
  <c r="AO21" i="1"/>
  <c r="AK21" i="1"/>
  <c r="AJ21" i="1"/>
  <c r="AI21" i="1"/>
  <c r="AH21" i="1"/>
  <c r="AR21" i="1" s="1"/>
  <c r="AH10" i="1"/>
  <c r="AR10" i="1" s="1"/>
  <c r="AP10" i="1"/>
  <c r="AO10" i="1"/>
  <c r="AK10" i="1"/>
  <c r="AJ10" i="1"/>
  <c r="AI10" i="1"/>
  <c r="AM39" i="1" l="1"/>
  <c r="AS39" i="1" s="1"/>
  <c r="AL60" i="1"/>
  <c r="AL21" i="1"/>
  <c r="T21" i="1"/>
  <c r="AL22" i="1"/>
  <c r="T22" i="1"/>
  <c r="T10" i="1"/>
  <c r="AL10" i="1"/>
  <c r="AR94" i="1"/>
  <c r="AP93" i="1"/>
  <c r="AO93" i="1"/>
  <c r="AK93" i="1"/>
  <c r="AJ93" i="1"/>
  <c r="AI93" i="1"/>
  <c r="AH93" i="1"/>
  <c r="AR93" i="1" s="1"/>
  <c r="AM21" i="1" l="1"/>
  <c r="AS21" i="1" s="1"/>
  <c r="AM60" i="1"/>
  <c r="AS60" i="1" s="1"/>
  <c r="AM22" i="1"/>
  <c r="AS22" i="1" s="1"/>
  <c r="AM10" i="1"/>
  <c r="AS10" i="1" s="1"/>
  <c r="AL93" i="1"/>
  <c r="AP92" i="1"/>
  <c r="AO92" i="1"/>
  <c r="AP91" i="1"/>
  <c r="AO91" i="1"/>
  <c r="AP90" i="1"/>
  <c r="AO90" i="1"/>
  <c r="AP89" i="1"/>
  <c r="AO89" i="1"/>
  <c r="AK92" i="1"/>
  <c r="AJ92" i="1"/>
  <c r="AI92" i="1"/>
  <c r="AH92" i="1"/>
  <c r="AR92" i="1" s="1"/>
  <c r="AK91" i="1"/>
  <c r="AJ91" i="1"/>
  <c r="AI91" i="1"/>
  <c r="AH91" i="1"/>
  <c r="AK90" i="1"/>
  <c r="AJ90" i="1"/>
  <c r="AI90" i="1"/>
  <c r="AH90" i="1"/>
  <c r="AR90" i="1" s="1"/>
  <c r="AK89" i="1"/>
  <c r="AJ89" i="1"/>
  <c r="AI89" i="1"/>
  <c r="AH89" i="1"/>
  <c r="AM93" i="1" l="1"/>
  <c r="AS93" i="1" s="1"/>
  <c r="AL89" i="1"/>
  <c r="AL91" i="1"/>
  <c r="AR91" i="1"/>
  <c r="AL90" i="1"/>
  <c r="AL92" i="1"/>
  <c r="AR89" i="1"/>
  <c r="AP81" i="1"/>
  <c r="AO81" i="1"/>
  <c r="AK81" i="1"/>
  <c r="AJ81" i="1"/>
  <c r="AI81" i="1"/>
  <c r="AH81" i="1"/>
  <c r="AR81" i="1" s="1"/>
  <c r="T81" i="1"/>
  <c r="AP114" i="1"/>
  <c r="AO114" i="1"/>
  <c r="AP113" i="1"/>
  <c r="AO113" i="1"/>
  <c r="AP112" i="1"/>
  <c r="AO112" i="1"/>
  <c r="AP111" i="1"/>
  <c r="AO111" i="1"/>
  <c r="AP110" i="1"/>
  <c r="AO110" i="1"/>
  <c r="AP109" i="1"/>
  <c r="AO109" i="1"/>
  <c r="AP108" i="1"/>
  <c r="AO108" i="1"/>
  <c r="AP107" i="1"/>
  <c r="AO107" i="1"/>
  <c r="AP106" i="1"/>
  <c r="AO106" i="1"/>
  <c r="AP105" i="1"/>
  <c r="AO105" i="1"/>
  <c r="AP104" i="1"/>
  <c r="AO104" i="1"/>
  <c r="AP103" i="1"/>
  <c r="AO103" i="1"/>
  <c r="AP102" i="1"/>
  <c r="AO102" i="1"/>
  <c r="AP101" i="1"/>
  <c r="AO101" i="1"/>
  <c r="AP100" i="1"/>
  <c r="AO100" i="1"/>
  <c r="AP99" i="1"/>
  <c r="AO99" i="1"/>
  <c r="AP98" i="1"/>
  <c r="AO98" i="1"/>
  <c r="AP97" i="1"/>
  <c r="AO97" i="1"/>
  <c r="AP96" i="1"/>
  <c r="AO96" i="1"/>
  <c r="AP95" i="1"/>
  <c r="AO95" i="1"/>
  <c r="AP94" i="1"/>
  <c r="AO94" i="1"/>
  <c r="AP88" i="1"/>
  <c r="AO88" i="1"/>
  <c r="AP87" i="1"/>
  <c r="AO87" i="1"/>
  <c r="AP86" i="1"/>
  <c r="AO86" i="1"/>
  <c r="AP85" i="1"/>
  <c r="AO85" i="1"/>
  <c r="AP84" i="1"/>
  <c r="AO84" i="1"/>
  <c r="AP83" i="1"/>
  <c r="AO83" i="1"/>
  <c r="AP82" i="1"/>
  <c r="AO82" i="1"/>
  <c r="AP80" i="1"/>
  <c r="AO80" i="1"/>
  <c r="AP78" i="1"/>
  <c r="AO78" i="1"/>
  <c r="AP77" i="1"/>
  <c r="AO77" i="1"/>
  <c r="AP76" i="1"/>
  <c r="AO76" i="1"/>
  <c r="AP75" i="1"/>
  <c r="AO75" i="1"/>
  <c r="AP70" i="1"/>
  <c r="AO70" i="1"/>
  <c r="AP69" i="1"/>
  <c r="AO69" i="1"/>
  <c r="AK114" i="1"/>
  <c r="AJ114" i="1"/>
  <c r="AI114" i="1"/>
  <c r="AH114" i="1"/>
  <c r="AK113" i="1"/>
  <c r="AJ113" i="1"/>
  <c r="AI113" i="1"/>
  <c r="AH113" i="1"/>
  <c r="AK112" i="1"/>
  <c r="AJ112" i="1"/>
  <c r="AI112" i="1"/>
  <c r="AH112" i="1"/>
  <c r="AK111" i="1"/>
  <c r="AJ111" i="1"/>
  <c r="AI111" i="1"/>
  <c r="AH111" i="1"/>
  <c r="AK110" i="1"/>
  <c r="AJ110" i="1"/>
  <c r="AI110" i="1"/>
  <c r="AH110" i="1"/>
  <c r="AK109" i="1"/>
  <c r="AJ109" i="1"/>
  <c r="AI109" i="1"/>
  <c r="AH109" i="1"/>
  <c r="AK108" i="1"/>
  <c r="AJ108" i="1"/>
  <c r="AI108" i="1"/>
  <c r="AH108" i="1"/>
  <c r="AK107" i="1"/>
  <c r="AJ107" i="1"/>
  <c r="AI107" i="1"/>
  <c r="AH107" i="1"/>
  <c r="AK106" i="1"/>
  <c r="AJ106" i="1"/>
  <c r="AI106" i="1"/>
  <c r="AH106" i="1"/>
  <c r="AK105" i="1"/>
  <c r="AJ105" i="1"/>
  <c r="AI105" i="1"/>
  <c r="AH105" i="1"/>
  <c r="AK104" i="1"/>
  <c r="AJ104" i="1"/>
  <c r="AI104" i="1"/>
  <c r="AH104" i="1"/>
  <c r="AK103" i="1"/>
  <c r="AJ103" i="1"/>
  <c r="AI103" i="1"/>
  <c r="AH103" i="1"/>
  <c r="AK102" i="1"/>
  <c r="AJ102" i="1"/>
  <c r="AI102" i="1"/>
  <c r="AH102" i="1"/>
  <c r="AK101" i="1"/>
  <c r="AJ101" i="1"/>
  <c r="AI101" i="1"/>
  <c r="AH101" i="1"/>
  <c r="AK100" i="1"/>
  <c r="AJ100" i="1"/>
  <c r="AI100" i="1"/>
  <c r="AH100" i="1"/>
  <c r="AK99" i="1"/>
  <c r="AJ99" i="1"/>
  <c r="AI99" i="1"/>
  <c r="AH99" i="1"/>
  <c r="AK98" i="1"/>
  <c r="AJ98" i="1"/>
  <c r="AI98" i="1"/>
  <c r="AH98" i="1"/>
  <c r="AK97" i="1"/>
  <c r="AJ97" i="1"/>
  <c r="AI97" i="1"/>
  <c r="AH97" i="1"/>
  <c r="AK96" i="1"/>
  <c r="AJ96" i="1"/>
  <c r="AI96" i="1"/>
  <c r="AH96" i="1"/>
  <c r="AK95" i="1"/>
  <c r="AJ95" i="1"/>
  <c r="AI95" i="1"/>
  <c r="AH95" i="1"/>
  <c r="AK94" i="1"/>
  <c r="AJ94" i="1"/>
  <c r="AI94" i="1"/>
  <c r="AH94" i="1"/>
  <c r="AK88" i="1"/>
  <c r="AJ88" i="1"/>
  <c r="AI88" i="1"/>
  <c r="AH88" i="1"/>
  <c r="AK87" i="1"/>
  <c r="AJ87" i="1"/>
  <c r="AI87" i="1"/>
  <c r="AH87" i="1"/>
  <c r="AK86" i="1"/>
  <c r="AJ86" i="1"/>
  <c r="AI86" i="1"/>
  <c r="AH86" i="1"/>
  <c r="AK85" i="1"/>
  <c r="AJ85" i="1"/>
  <c r="AI85" i="1"/>
  <c r="AH85" i="1"/>
  <c r="AK84" i="1"/>
  <c r="AJ84" i="1"/>
  <c r="AI84" i="1"/>
  <c r="AH84" i="1"/>
  <c r="AK83" i="1"/>
  <c r="AJ83" i="1"/>
  <c r="AI83" i="1"/>
  <c r="AH83" i="1"/>
  <c r="AK82" i="1"/>
  <c r="AJ82" i="1"/>
  <c r="AI82" i="1"/>
  <c r="AH82" i="1"/>
  <c r="AK80" i="1"/>
  <c r="AJ80" i="1"/>
  <c r="AI80" i="1"/>
  <c r="AH80" i="1"/>
  <c r="AK78" i="1"/>
  <c r="AJ78" i="1"/>
  <c r="AI78" i="1"/>
  <c r="AH78" i="1"/>
  <c r="AK77" i="1"/>
  <c r="AJ77" i="1"/>
  <c r="AI77" i="1"/>
  <c r="AH77" i="1"/>
  <c r="AK76" i="1"/>
  <c r="AJ76" i="1"/>
  <c r="AI76" i="1"/>
  <c r="AH76" i="1"/>
  <c r="AK75" i="1"/>
  <c r="AJ75" i="1"/>
  <c r="AI75" i="1"/>
  <c r="AH75" i="1"/>
  <c r="AK70" i="1"/>
  <c r="AJ70" i="1"/>
  <c r="AI70" i="1"/>
  <c r="AH70" i="1"/>
  <c r="AK69" i="1"/>
  <c r="AJ69" i="1"/>
  <c r="AI69" i="1"/>
  <c r="AH69" i="1"/>
  <c r="AK67" i="1"/>
  <c r="AJ67" i="1"/>
  <c r="AI67" i="1"/>
  <c r="AH67" i="1"/>
  <c r="AL84" i="1" l="1"/>
  <c r="AM84" i="1" s="1"/>
  <c r="AM92" i="1"/>
  <c r="AS92" i="1" s="1"/>
  <c r="AM90" i="1"/>
  <c r="AS90" i="1" s="1"/>
  <c r="AM91" i="1"/>
  <c r="AS91" i="1" s="1"/>
  <c r="AM89" i="1"/>
  <c r="AS89" i="1" s="1"/>
  <c r="AL109" i="1"/>
  <c r="AM109" i="1" s="1"/>
  <c r="AL98" i="1"/>
  <c r="AM98" i="1" s="1"/>
  <c r="AL107" i="1"/>
  <c r="AM107" i="1" s="1"/>
  <c r="AL111" i="1"/>
  <c r="AM111" i="1" s="1"/>
  <c r="AL113" i="1"/>
  <c r="AM113" i="1" s="1"/>
  <c r="AL95" i="1"/>
  <c r="AM95" i="1" s="1"/>
  <c r="AL94" i="1"/>
  <c r="AL108" i="1"/>
  <c r="AM108" i="1" s="1"/>
  <c r="AL110" i="1"/>
  <c r="AM110" i="1" s="1"/>
  <c r="AL114" i="1"/>
  <c r="AM114" i="1" s="1"/>
  <c r="AL81" i="1"/>
  <c r="AL102" i="1"/>
  <c r="AM102" i="1" s="1"/>
  <c r="AL104" i="1"/>
  <c r="AM104" i="1" s="1"/>
  <c r="AL106" i="1"/>
  <c r="AM106" i="1" s="1"/>
  <c r="AL112" i="1"/>
  <c r="AM112" i="1" s="1"/>
  <c r="AL100" i="1"/>
  <c r="AM100" i="1" s="1"/>
  <c r="AL99" i="1"/>
  <c r="AM99" i="1" s="1"/>
  <c r="AL101" i="1"/>
  <c r="AM101" i="1" s="1"/>
  <c r="AL103" i="1"/>
  <c r="AM103" i="1" s="1"/>
  <c r="AL105" i="1"/>
  <c r="AM105" i="1" s="1"/>
  <c r="AL97" i="1"/>
  <c r="AM97" i="1" s="1"/>
  <c r="AL96" i="1"/>
  <c r="AM96" i="1" s="1"/>
  <c r="AR80" i="1"/>
  <c r="T80" i="1"/>
  <c r="AM94" i="1" l="1"/>
  <c r="AS94" i="1" s="1"/>
  <c r="AM81" i="1"/>
  <c r="AS81" i="1" s="1"/>
  <c r="AL80" i="1"/>
  <c r="AM80" i="1" s="1"/>
  <c r="S114" i="1"/>
  <c r="Q114" i="1"/>
  <c r="P114" i="1"/>
  <c r="O114" i="1"/>
  <c r="N114" i="1"/>
  <c r="AS80" i="1" l="1"/>
  <c r="R114" i="1"/>
  <c r="T114" i="1" s="1"/>
  <c r="S97" i="1"/>
  <c r="S98" i="1"/>
  <c r="S99" i="1"/>
  <c r="S100" i="1"/>
  <c r="S101" i="1"/>
  <c r="S102" i="1"/>
  <c r="S103" i="1"/>
  <c r="S104" i="1"/>
  <c r="S105" i="1"/>
  <c r="S106" i="1"/>
  <c r="S107" i="1"/>
  <c r="S108" i="1"/>
  <c r="S109" i="1"/>
  <c r="S110" i="1"/>
  <c r="S111" i="1"/>
  <c r="S112" i="1"/>
  <c r="S113" i="1"/>
  <c r="S96" i="1"/>
  <c r="O97" i="1"/>
  <c r="O98" i="1"/>
  <c r="O99" i="1"/>
  <c r="O100" i="1"/>
  <c r="O101" i="1"/>
  <c r="O102" i="1"/>
  <c r="O103" i="1"/>
  <c r="O104" i="1"/>
  <c r="O105" i="1"/>
  <c r="O106" i="1"/>
  <c r="O107" i="1"/>
  <c r="O108" i="1"/>
  <c r="O109" i="1"/>
  <c r="O110" i="1"/>
  <c r="O111" i="1"/>
  <c r="O112" i="1"/>
  <c r="O113" i="1"/>
  <c r="O96" i="1"/>
  <c r="S115" i="1" l="1"/>
  <c r="Q95" i="1" l="1"/>
  <c r="P95" i="1"/>
  <c r="O95" i="1"/>
  <c r="N95" i="1"/>
  <c r="Q94" i="1"/>
  <c r="P94" i="1"/>
  <c r="O94" i="1"/>
  <c r="N94" i="1"/>
  <c r="Q113" i="1"/>
  <c r="P113" i="1"/>
  <c r="N113" i="1"/>
  <c r="Q112" i="1"/>
  <c r="P112" i="1"/>
  <c r="N112" i="1"/>
  <c r="Q111" i="1"/>
  <c r="P111" i="1"/>
  <c r="N111" i="1"/>
  <c r="Q110" i="1"/>
  <c r="P110" i="1"/>
  <c r="N110" i="1"/>
  <c r="Q109" i="1"/>
  <c r="P109" i="1"/>
  <c r="N109" i="1"/>
  <c r="Q108" i="1"/>
  <c r="P108" i="1"/>
  <c r="N108" i="1"/>
  <c r="Q107" i="1"/>
  <c r="P107" i="1"/>
  <c r="N107" i="1"/>
  <c r="Q106" i="1"/>
  <c r="P106" i="1"/>
  <c r="N106" i="1"/>
  <c r="Q105" i="1"/>
  <c r="P105" i="1"/>
  <c r="N105" i="1"/>
  <c r="Q104" i="1"/>
  <c r="P104" i="1"/>
  <c r="N104" i="1"/>
  <c r="Q103" i="1"/>
  <c r="P103" i="1"/>
  <c r="N103" i="1"/>
  <c r="Q102" i="1"/>
  <c r="P102" i="1"/>
  <c r="N102" i="1"/>
  <c r="Q101" i="1"/>
  <c r="P101" i="1"/>
  <c r="N101" i="1"/>
  <c r="Q100" i="1"/>
  <c r="P100" i="1"/>
  <c r="N100" i="1"/>
  <c r="Q99" i="1"/>
  <c r="P99" i="1"/>
  <c r="N99" i="1"/>
  <c r="Q98" i="1"/>
  <c r="P98" i="1"/>
  <c r="N98" i="1"/>
  <c r="Q97" i="1"/>
  <c r="P97" i="1"/>
  <c r="N97" i="1"/>
  <c r="Q96" i="1"/>
  <c r="P96" i="1"/>
  <c r="N96" i="1"/>
  <c r="R95" i="1" l="1"/>
  <c r="T95" i="1" s="1"/>
  <c r="R98" i="1"/>
  <c r="T98" i="1" s="1"/>
  <c r="R94" i="1"/>
  <c r="T94" i="1" s="1"/>
  <c r="R97" i="1"/>
  <c r="T97" i="1" s="1"/>
  <c r="R109" i="1"/>
  <c r="T109" i="1" s="1"/>
  <c r="R110" i="1"/>
  <c r="T110" i="1" s="1"/>
  <c r="R111" i="1"/>
  <c r="T111" i="1" s="1"/>
  <c r="R112" i="1"/>
  <c r="T112" i="1" s="1"/>
  <c r="R113" i="1"/>
  <c r="T113" i="1" s="1"/>
  <c r="R106" i="1"/>
  <c r="T106" i="1" s="1"/>
  <c r="R108" i="1"/>
  <c r="T108" i="1" s="1"/>
  <c r="R107" i="1"/>
  <c r="T107" i="1" s="1"/>
  <c r="R105" i="1"/>
  <c r="T105" i="1" s="1"/>
  <c r="R104" i="1"/>
  <c r="T104" i="1" s="1"/>
  <c r="R103" i="1"/>
  <c r="T103" i="1" s="1"/>
  <c r="R102" i="1"/>
  <c r="T102" i="1" s="1"/>
  <c r="R101" i="1"/>
  <c r="T101" i="1" s="1"/>
  <c r="R100" i="1"/>
  <c r="T100" i="1" s="1"/>
  <c r="R99" i="1"/>
  <c r="T99" i="1" s="1"/>
  <c r="R96" i="1"/>
  <c r="T96" i="1" s="1"/>
  <c r="AP9" i="1"/>
  <c r="AO9" i="1"/>
  <c r="AK9" i="1"/>
  <c r="AJ9" i="1"/>
  <c r="AI9" i="1"/>
  <c r="AH9" i="1"/>
  <c r="AR9" i="1" s="1"/>
  <c r="Q9" i="1"/>
  <c r="P9" i="1"/>
  <c r="O9" i="1"/>
  <c r="N9" i="1"/>
  <c r="AR78" i="1"/>
  <c r="Q78" i="1"/>
  <c r="P78" i="1"/>
  <c r="N78" i="1"/>
  <c r="AR77" i="1"/>
  <c r="Q77" i="1"/>
  <c r="P77" i="1"/>
  <c r="N77" i="1"/>
  <c r="AP59" i="1"/>
  <c r="AO59" i="1"/>
  <c r="AK59" i="1"/>
  <c r="AJ59" i="1"/>
  <c r="AI59" i="1"/>
  <c r="AH59" i="1"/>
  <c r="R59" i="1"/>
  <c r="T59" i="1" s="1"/>
  <c r="AP58" i="1"/>
  <c r="AO58" i="1"/>
  <c r="AK58" i="1"/>
  <c r="AJ58" i="1"/>
  <c r="AI58" i="1"/>
  <c r="AH58" i="1"/>
  <c r="AR58" i="1" s="1"/>
  <c r="R58" i="1"/>
  <c r="T58" i="1" s="1"/>
  <c r="AP57" i="1"/>
  <c r="AO57" i="1"/>
  <c r="AK57" i="1"/>
  <c r="AJ57" i="1"/>
  <c r="AI57" i="1"/>
  <c r="AH57" i="1"/>
  <c r="R57" i="1"/>
  <c r="T57" i="1" s="1"/>
  <c r="AP55" i="1"/>
  <c r="AO55" i="1"/>
  <c r="AK55" i="1"/>
  <c r="AJ55" i="1"/>
  <c r="AI55" i="1"/>
  <c r="AH55" i="1"/>
  <c r="AR55" i="1" s="1"/>
  <c r="R55" i="1"/>
  <c r="T55" i="1" s="1"/>
  <c r="AP56" i="1"/>
  <c r="AO56" i="1"/>
  <c r="AK56" i="1"/>
  <c r="AJ56" i="1"/>
  <c r="AI56" i="1"/>
  <c r="AH56" i="1"/>
  <c r="R56" i="1"/>
  <c r="T56" i="1" s="1"/>
  <c r="R54" i="1"/>
  <c r="T54" i="1" s="1"/>
  <c r="AP54" i="1"/>
  <c r="AO54" i="1"/>
  <c r="AK54" i="1"/>
  <c r="AJ54" i="1"/>
  <c r="AI54" i="1"/>
  <c r="AH54" i="1"/>
  <c r="AS37" i="22"/>
  <c r="AR83" i="1"/>
  <c r="AR82" i="1"/>
  <c r="T83" i="1"/>
  <c r="T82" i="1"/>
  <c r="AR76" i="1"/>
  <c r="AR75" i="1"/>
  <c r="G34" i="22"/>
  <c r="AS59" i="22"/>
  <c r="AN59" i="22"/>
  <c r="AM59" i="22"/>
  <c r="AI59" i="22"/>
  <c r="AH59" i="22"/>
  <c r="AG59" i="22"/>
  <c r="AF59" i="22"/>
  <c r="P59" i="22"/>
  <c r="O59" i="22"/>
  <c r="N59" i="22"/>
  <c r="M59" i="22"/>
  <c r="G59" i="22"/>
  <c r="F59" i="22"/>
  <c r="A59" i="22"/>
  <c r="AS58" i="22"/>
  <c r="AN58" i="22"/>
  <c r="AM58" i="22"/>
  <c r="AI58" i="22"/>
  <c r="AH58" i="22"/>
  <c r="AG58" i="22"/>
  <c r="AF58" i="22"/>
  <c r="P58" i="22"/>
  <c r="O58" i="22"/>
  <c r="N58" i="22"/>
  <c r="M58" i="22"/>
  <c r="G58" i="22"/>
  <c r="F58" i="22"/>
  <c r="A58" i="22"/>
  <c r="AS57" i="22"/>
  <c r="AN57" i="22"/>
  <c r="AM57" i="22"/>
  <c r="AI57" i="22"/>
  <c r="AH57" i="22"/>
  <c r="AG57" i="22"/>
  <c r="AF57" i="22"/>
  <c r="P57" i="22"/>
  <c r="O57" i="22"/>
  <c r="N57" i="22"/>
  <c r="M57" i="22"/>
  <c r="G57" i="22"/>
  <c r="F57" i="22"/>
  <c r="A57" i="22"/>
  <c r="AS56" i="22"/>
  <c r="AN56" i="22"/>
  <c r="AM56" i="22"/>
  <c r="AI56" i="22"/>
  <c r="AH56" i="22"/>
  <c r="AG56" i="22"/>
  <c r="AF56" i="22"/>
  <c r="P56" i="22"/>
  <c r="O56" i="22"/>
  <c r="N56" i="22"/>
  <c r="M56" i="22"/>
  <c r="G56" i="22"/>
  <c r="F56" i="22"/>
  <c r="A56" i="22"/>
  <c r="AS55" i="22"/>
  <c r="AN55" i="22"/>
  <c r="AM55" i="22"/>
  <c r="AI55" i="22"/>
  <c r="AH55" i="22"/>
  <c r="AG55" i="22"/>
  <c r="AF55" i="22"/>
  <c r="P55" i="22"/>
  <c r="O55" i="22"/>
  <c r="N55" i="22"/>
  <c r="M55" i="22"/>
  <c r="G55" i="22"/>
  <c r="F55" i="22"/>
  <c r="A55" i="22"/>
  <c r="AS54" i="22"/>
  <c r="AN54" i="22"/>
  <c r="AM54" i="22"/>
  <c r="AI54" i="22"/>
  <c r="AH54" i="22"/>
  <c r="AG54" i="22"/>
  <c r="AF54" i="22"/>
  <c r="P54" i="22"/>
  <c r="O54" i="22"/>
  <c r="N54" i="22"/>
  <c r="M54" i="22"/>
  <c r="G54" i="22"/>
  <c r="F54" i="22"/>
  <c r="A54" i="22"/>
  <c r="AS53" i="22"/>
  <c r="AN53" i="22"/>
  <c r="AM53" i="22"/>
  <c r="AI53" i="22"/>
  <c r="AH53" i="22"/>
  <c r="AG53" i="22"/>
  <c r="AF53" i="22"/>
  <c r="P53" i="22"/>
  <c r="O53" i="22"/>
  <c r="N53" i="22"/>
  <c r="M53" i="22"/>
  <c r="G53" i="22"/>
  <c r="F53" i="22"/>
  <c r="A53" i="22"/>
  <c r="AS52" i="22"/>
  <c r="AN52" i="22"/>
  <c r="AM52" i="22"/>
  <c r="AI52" i="22"/>
  <c r="AH52" i="22"/>
  <c r="AG52" i="22"/>
  <c r="AF52" i="22"/>
  <c r="P52" i="22"/>
  <c r="O52" i="22"/>
  <c r="N52" i="22"/>
  <c r="M52" i="22"/>
  <c r="G52" i="22"/>
  <c r="F52" i="22"/>
  <c r="A52" i="22"/>
  <c r="AS51" i="22"/>
  <c r="AN51" i="22"/>
  <c r="AM51" i="22"/>
  <c r="AI51" i="22"/>
  <c r="AH51" i="22"/>
  <c r="AG51" i="22"/>
  <c r="AF51" i="22"/>
  <c r="P51" i="22"/>
  <c r="O51" i="22"/>
  <c r="N51" i="22"/>
  <c r="M51" i="22"/>
  <c r="G51" i="22"/>
  <c r="F51" i="22"/>
  <c r="A51" i="22"/>
  <c r="AS50" i="22"/>
  <c r="AN50" i="22"/>
  <c r="AM50" i="22"/>
  <c r="AI50" i="22"/>
  <c r="AH50" i="22"/>
  <c r="AG50" i="22"/>
  <c r="AF50" i="22"/>
  <c r="P50" i="22"/>
  <c r="O50" i="22"/>
  <c r="N50" i="22"/>
  <c r="M50" i="22"/>
  <c r="G50" i="22"/>
  <c r="F50" i="22"/>
  <c r="A50" i="22"/>
  <c r="AS49" i="22"/>
  <c r="AN49" i="22"/>
  <c r="AM49" i="22"/>
  <c r="AI49" i="22"/>
  <c r="AH49" i="22"/>
  <c r="AG49" i="22"/>
  <c r="AF49" i="22"/>
  <c r="P49" i="22"/>
  <c r="O49" i="22"/>
  <c r="N49" i="22"/>
  <c r="M49" i="22"/>
  <c r="G49" i="22"/>
  <c r="F49" i="22"/>
  <c r="A49" i="22"/>
  <c r="AS48" i="22"/>
  <c r="AN48" i="22"/>
  <c r="AM48" i="22"/>
  <c r="AI48" i="22"/>
  <c r="AH48" i="22"/>
  <c r="AG48" i="22"/>
  <c r="AF48" i="22"/>
  <c r="P48" i="22"/>
  <c r="O48" i="22"/>
  <c r="N48" i="22"/>
  <c r="M48" i="22"/>
  <c r="G48" i="22"/>
  <c r="F48" i="22"/>
  <c r="A48" i="22"/>
  <c r="AS47" i="22"/>
  <c r="AN47" i="22"/>
  <c r="AM47" i="22"/>
  <c r="AI47" i="22"/>
  <c r="AH47" i="22"/>
  <c r="AG47" i="22"/>
  <c r="AF47" i="22"/>
  <c r="P47" i="22"/>
  <c r="O47" i="22"/>
  <c r="N47" i="22"/>
  <c r="M47" i="22"/>
  <c r="G47" i="22"/>
  <c r="F47" i="22"/>
  <c r="A47" i="22"/>
  <c r="AS46" i="22"/>
  <c r="AN46" i="22"/>
  <c r="AM46" i="22"/>
  <c r="AI46" i="22"/>
  <c r="AH46" i="22"/>
  <c r="AG46" i="22"/>
  <c r="AF46" i="22"/>
  <c r="P46" i="22"/>
  <c r="O46" i="22"/>
  <c r="N46" i="22"/>
  <c r="M46" i="22"/>
  <c r="G46" i="22"/>
  <c r="F46" i="22"/>
  <c r="A46" i="22"/>
  <c r="AS45" i="22"/>
  <c r="AN45" i="22"/>
  <c r="AM45" i="22"/>
  <c r="AI45" i="22"/>
  <c r="AJ45" i="22" s="1"/>
  <c r="AK45" i="22" s="1"/>
  <c r="AH45" i="22"/>
  <c r="AG45" i="22"/>
  <c r="AF45" i="22"/>
  <c r="P45" i="22"/>
  <c r="O45" i="22"/>
  <c r="N45" i="22"/>
  <c r="M45" i="22"/>
  <c r="G45" i="22"/>
  <c r="F45" i="22"/>
  <c r="A45" i="22"/>
  <c r="AS44" i="22"/>
  <c r="AN44" i="22"/>
  <c r="AM44" i="22"/>
  <c r="AI44" i="22"/>
  <c r="AH44" i="22"/>
  <c r="AG44" i="22"/>
  <c r="AF44" i="22"/>
  <c r="P44" i="22"/>
  <c r="O44" i="22"/>
  <c r="N44" i="22"/>
  <c r="M44" i="22"/>
  <c r="G44" i="22"/>
  <c r="F44" i="22"/>
  <c r="A44" i="22"/>
  <c r="AS43" i="22"/>
  <c r="AN43" i="22"/>
  <c r="AM43" i="22"/>
  <c r="AI43" i="22"/>
  <c r="AH43" i="22"/>
  <c r="AG43" i="22"/>
  <c r="AF43" i="22"/>
  <c r="P43" i="22"/>
  <c r="O43" i="22"/>
  <c r="N43" i="22"/>
  <c r="M43" i="22"/>
  <c r="G43" i="22"/>
  <c r="F43" i="22"/>
  <c r="A43" i="22"/>
  <c r="AS42" i="22"/>
  <c r="AN42" i="22"/>
  <c r="AM42" i="22"/>
  <c r="AI42" i="22"/>
  <c r="AH42" i="22"/>
  <c r="AG42" i="22"/>
  <c r="AF42" i="22"/>
  <c r="P42" i="22"/>
  <c r="O42" i="22"/>
  <c r="N42" i="22"/>
  <c r="M42" i="22"/>
  <c r="G42" i="22"/>
  <c r="F42" i="22"/>
  <c r="A42" i="22"/>
  <c r="AS41" i="22"/>
  <c r="AN41" i="22"/>
  <c r="AM41" i="22"/>
  <c r="AI41" i="22"/>
  <c r="AH41" i="22"/>
  <c r="AG41" i="22"/>
  <c r="AF41" i="22"/>
  <c r="P41" i="22"/>
  <c r="O41" i="22"/>
  <c r="N41" i="22"/>
  <c r="Q41" i="22" s="1"/>
  <c r="R41" i="22" s="1"/>
  <c r="M41" i="22"/>
  <c r="G41" i="22"/>
  <c r="F41" i="22"/>
  <c r="A41" i="22"/>
  <c r="AS40" i="22"/>
  <c r="AN40" i="22"/>
  <c r="AM40" i="22"/>
  <c r="AI40" i="22"/>
  <c r="AH40" i="22"/>
  <c r="AG40" i="22"/>
  <c r="AF40" i="22"/>
  <c r="P40" i="22"/>
  <c r="O40" i="22"/>
  <c r="N40" i="22"/>
  <c r="M40" i="22"/>
  <c r="G40" i="22"/>
  <c r="F40" i="22"/>
  <c r="A40" i="22"/>
  <c r="AS39" i="22"/>
  <c r="AN39" i="22"/>
  <c r="AM39" i="22"/>
  <c r="AI39" i="22"/>
  <c r="AH39" i="22"/>
  <c r="AG39" i="22"/>
  <c r="AF39" i="22"/>
  <c r="P39" i="22"/>
  <c r="O39" i="22"/>
  <c r="N39" i="22"/>
  <c r="M39" i="22"/>
  <c r="G39" i="22"/>
  <c r="F39" i="22"/>
  <c r="A39" i="22"/>
  <c r="AS38" i="22"/>
  <c r="AN38" i="22"/>
  <c r="AM38" i="22"/>
  <c r="AI38" i="22"/>
  <c r="AH38" i="22"/>
  <c r="AG38" i="22"/>
  <c r="AF38" i="22"/>
  <c r="P38" i="22"/>
  <c r="O38" i="22"/>
  <c r="N38" i="22"/>
  <c r="M38" i="22"/>
  <c r="G38" i="22"/>
  <c r="F38" i="22"/>
  <c r="A38" i="22"/>
  <c r="AN37" i="22"/>
  <c r="AM37" i="22"/>
  <c r="AI37" i="22"/>
  <c r="AH37" i="22"/>
  <c r="AG37" i="22"/>
  <c r="AF37" i="22"/>
  <c r="P37" i="22"/>
  <c r="O37" i="22"/>
  <c r="N37" i="22"/>
  <c r="M37" i="22"/>
  <c r="G37" i="22"/>
  <c r="F37" i="22"/>
  <c r="A37" i="22"/>
  <c r="AS36" i="22"/>
  <c r="AN36" i="22"/>
  <c r="AM36" i="22"/>
  <c r="AI36" i="22"/>
  <c r="AH36" i="22"/>
  <c r="AG36" i="22"/>
  <c r="AF36" i="22"/>
  <c r="P36" i="22"/>
  <c r="O36" i="22"/>
  <c r="N36" i="22"/>
  <c r="M36" i="22"/>
  <c r="G36" i="22"/>
  <c r="F36" i="22"/>
  <c r="A36" i="22"/>
  <c r="AS35" i="22"/>
  <c r="AN35" i="22"/>
  <c r="AM35" i="22"/>
  <c r="AI35" i="22"/>
  <c r="AH35" i="22"/>
  <c r="AG35" i="22"/>
  <c r="AF35" i="22"/>
  <c r="P35" i="22"/>
  <c r="O35" i="22"/>
  <c r="N35" i="22"/>
  <c r="M35" i="22"/>
  <c r="G35" i="22"/>
  <c r="F35" i="22"/>
  <c r="A35" i="22"/>
  <c r="AS34" i="22"/>
  <c r="AN34" i="22"/>
  <c r="AM34" i="22"/>
  <c r="AI34" i="22"/>
  <c r="AH34" i="22"/>
  <c r="AG34" i="22"/>
  <c r="AF34" i="22"/>
  <c r="P34" i="22"/>
  <c r="O34" i="22"/>
  <c r="N34" i="22"/>
  <c r="M34" i="22"/>
  <c r="F34" i="22"/>
  <c r="A34" i="22"/>
  <c r="AS33" i="22"/>
  <c r="AN33" i="22"/>
  <c r="AM33" i="22"/>
  <c r="AI33" i="22"/>
  <c r="AH33" i="22"/>
  <c r="AG33" i="22"/>
  <c r="AF33" i="22"/>
  <c r="P33" i="22"/>
  <c r="O33" i="22"/>
  <c r="N33" i="22"/>
  <c r="M33" i="22"/>
  <c r="G33" i="22"/>
  <c r="F33" i="22"/>
  <c r="A33" i="22"/>
  <c r="AS32" i="22"/>
  <c r="AN32" i="22"/>
  <c r="AM32" i="22"/>
  <c r="AI32" i="22"/>
  <c r="AH32" i="22"/>
  <c r="AG32" i="22"/>
  <c r="AF32" i="22"/>
  <c r="P32" i="22"/>
  <c r="O32" i="22"/>
  <c r="N32" i="22"/>
  <c r="M32" i="22"/>
  <c r="G32" i="22"/>
  <c r="F32" i="22"/>
  <c r="A32" i="22"/>
  <c r="AS31" i="22"/>
  <c r="AN31" i="22"/>
  <c r="AM31" i="22"/>
  <c r="AI31" i="22"/>
  <c r="AH31" i="22"/>
  <c r="AG31" i="22"/>
  <c r="AF31" i="22"/>
  <c r="P31" i="22"/>
  <c r="O31" i="22"/>
  <c r="N31" i="22"/>
  <c r="M31" i="22"/>
  <c r="G31" i="22"/>
  <c r="F31" i="22"/>
  <c r="A31" i="22"/>
  <c r="AS30" i="22"/>
  <c r="AN30" i="22"/>
  <c r="AM30" i="22"/>
  <c r="AI30" i="22"/>
  <c r="AH30" i="22"/>
  <c r="AG30" i="22"/>
  <c r="AF30" i="22"/>
  <c r="P30" i="22"/>
  <c r="O30" i="22"/>
  <c r="N30" i="22"/>
  <c r="M30" i="22"/>
  <c r="G30" i="22"/>
  <c r="F30" i="22"/>
  <c r="A30" i="22"/>
  <c r="AS29" i="22"/>
  <c r="AN29" i="22"/>
  <c r="AM29" i="22"/>
  <c r="AI29" i="22"/>
  <c r="AH29" i="22"/>
  <c r="AG29" i="22"/>
  <c r="AF29" i="22"/>
  <c r="P29" i="22"/>
  <c r="O29" i="22"/>
  <c r="N29" i="22"/>
  <c r="M29" i="22"/>
  <c r="G29" i="22"/>
  <c r="F29" i="22"/>
  <c r="A29" i="22"/>
  <c r="AS28" i="22"/>
  <c r="AN28" i="22"/>
  <c r="AM28" i="22"/>
  <c r="AI28" i="22"/>
  <c r="AH28" i="22"/>
  <c r="AG28" i="22"/>
  <c r="AF28" i="22"/>
  <c r="P28" i="22"/>
  <c r="O28" i="22"/>
  <c r="N28" i="22"/>
  <c r="M28" i="22"/>
  <c r="G28" i="22"/>
  <c r="F28" i="22"/>
  <c r="A28" i="22"/>
  <c r="AS27" i="22"/>
  <c r="AN27" i="22"/>
  <c r="AM27" i="22"/>
  <c r="AI27" i="22"/>
  <c r="AH27" i="22"/>
  <c r="AG27" i="22"/>
  <c r="AF27" i="22"/>
  <c r="P27" i="22"/>
  <c r="O27" i="22"/>
  <c r="N27" i="22"/>
  <c r="M27" i="22"/>
  <c r="G27" i="22"/>
  <c r="F27" i="22"/>
  <c r="A27" i="22"/>
  <c r="AS26" i="22"/>
  <c r="AN26" i="22"/>
  <c r="AM26" i="22"/>
  <c r="AI26" i="22"/>
  <c r="AH26" i="22"/>
  <c r="AG26" i="22"/>
  <c r="AF26" i="22"/>
  <c r="P26" i="22"/>
  <c r="O26" i="22"/>
  <c r="N26" i="22"/>
  <c r="M26" i="22"/>
  <c r="G26" i="22"/>
  <c r="F26" i="22"/>
  <c r="A26" i="22"/>
  <c r="AS25" i="22"/>
  <c r="AN25" i="22"/>
  <c r="AM25" i="22"/>
  <c r="AI25" i="22"/>
  <c r="AH25" i="22"/>
  <c r="AG25" i="22"/>
  <c r="AF25" i="22"/>
  <c r="P25" i="22"/>
  <c r="O25" i="22"/>
  <c r="N25" i="22"/>
  <c r="M25" i="22"/>
  <c r="G25" i="22"/>
  <c r="F25" i="22"/>
  <c r="A25" i="22"/>
  <c r="AS24" i="22"/>
  <c r="AN24" i="22"/>
  <c r="AM24" i="22"/>
  <c r="AI24" i="22"/>
  <c r="AH24" i="22"/>
  <c r="AG24" i="22"/>
  <c r="AF24" i="22"/>
  <c r="P24" i="22"/>
  <c r="Q24" i="22" s="1"/>
  <c r="R24" i="22" s="1"/>
  <c r="O24" i="22"/>
  <c r="N24" i="22"/>
  <c r="M24" i="22"/>
  <c r="G24" i="22"/>
  <c r="F24" i="22"/>
  <c r="A24" i="22"/>
  <c r="AS23" i="22"/>
  <c r="AN23" i="22"/>
  <c r="AM23" i="22"/>
  <c r="AI23" i="22"/>
  <c r="AH23" i="22"/>
  <c r="AG23" i="22"/>
  <c r="AF23" i="22"/>
  <c r="P23" i="22"/>
  <c r="O23" i="22"/>
  <c r="N23" i="22"/>
  <c r="M23" i="22"/>
  <c r="G23" i="22"/>
  <c r="F23" i="22"/>
  <c r="A23" i="22"/>
  <c r="AS22" i="22"/>
  <c r="AN22" i="22"/>
  <c r="AM22" i="22"/>
  <c r="AI22" i="22"/>
  <c r="AH22" i="22"/>
  <c r="AG22" i="22"/>
  <c r="AF22" i="22"/>
  <c r="P22" i="22"/>
  <c r="O22" i="22"/>
  <c r="N22" i="22"/>
  <c r="M22" i="22"/>
  <c r="G22" i="22"/>
  <c r="F22" i="22"/>
  <c r="A22" i="22"/>
  <c r="AS21" i="22"/>
  <c r="AN21" i="22"/>
  <c r="AM21" i="22"/>
  <c r="AI21" i="22"/>
  <c r="AH21" i="22"/>
  <c r="AG21" i="22"/>
  <c r="AF21" i="22"/>
  <c r="P21" i="22"/>
  <c r="O21" i="22"/>
  <c r="N21" i="22"/>
  <c r="M21" i="22"/>
  <c r="G21" i="22"/>
  <c r="F21" i="22"/>
  <c r="A21" i="22"/>
  <c r="AS20" i="22"/>
  <c r="AN20" i="22"/>
  <c r="AM20" i="22"/>
  <c r="AI20" i="22"/>
  <c r="AH20" i="22"/>
  <c r="AG20" i="22"/>
  <c r="AF20" i="22"/>
  <c r="P20" i="22"/>
  <c r="O20" i="22"/>
  <c r="N20" i="22"/>
  <c r="M20" i="22"/>
  <c r="G20" i="22"/>
  <c r="F20" i="22"/>
  <c r="A20" i="22"/>
  <c r="AS19" i="22"/>
  <c r="AN19" i="22"/>
  <c r="AM19" i="22"/>
  <c r="AI19" i="22"/>
  <c r="AH19" i="22"/>
  <c r="AG19" i="22"/>
  <c r="AF19" i="22"/>
  <c r="P19" i="22"/>
  <c r="O19" i="22"/>
  <c r="N19" i="22"/>
  <c r="M19" i="22"/>
  <c r="G19" i="22"/>
  <c r="F19" i="22"/>
  <c r="A19" i="22"/>
  <c r="AS18" i="22"/>
  <c r="AN18" i="22"/>
  <c r="AM18" i="22"/>
  <c r="AI18" i="22"/>
  <c r="AH18" i="22"/>
  <c r="AG18" i="22"/>
  <c r="AF18" i="22"/>
  <c r="P18" i="22"/>
  <c r="O18" i="22"/>
  <c r="N18" i="22"/>
  <c r="M18" i="22"/>
  <c r="G18" i="22"/>
  <c r="F18" i="22"/>
  <c r="A18" i="22"/>
  <c r="AS17" i="22"/>
  <c r="AN17" i="22"/>
  <c r="AM17" i="22"/>
  <c r="AI17" i="22"/>
  <c r="AH17" i="22"/>
  <c r="AG17" i="22"/>
  <c r="AF17" i="22"/>
  <c r="P17" i="22"/>
  <c r="O17" i="22"/>
  <c r="N17" i="22"/>
  <c r="M17" i="22"/>
  <c r="G17" i="22"/>
  <c r="F17" i="22"/>
  <c r="A17" i="22"/>
  <c r="AS16" i="22"/>
  <c r="AN16" i="22"/>
  <c r="AM16" i="22"/>
  <c r="AI16" i="22"/>
  <c r="AH16" i="22"/>
  <c r="AG16" i="22"/>
  <c r="AF16" i="22"/>
  <c r="P16" i="22"/>
  <c r="O16" i="22"/>
  <c r="N16" i="22"/>
  <c r="M16" i="22"/>
  <c r="G16" i="22"/>
  <c r="F16" i="22"/>
  <c r="A16" i="22"/>
  <c r="AS15" i="22"/>
  <c r="AN15" i="22"/>
  <c r="AM15" i="22"/>
  <c r="AI15" i="22"/>
  <c r="AH15" i="22"/>
  <c r="AG15" i="22"/>
  <c r="AF15" i="22"/>
  <c r="P15" i="22"/>
  <c r="O15" i="22"/>
  <c r="N15" i="22"/>
  <c r="M15" i="22"/>
  <c r="G15" i="22"/>
  <c r="F15" i="22"/>
  <c r="A15" i="22"/>
  <c r="AS14" i="22"/>
  <c r="AN14" i="22"/>
  <c r="AM14" i="22"/>
  <c r="AI14" i="22"/>
  <c r="AH14" i="22"/>
  <c r="AG14" i="22"/>
  <c r="AF14" i="22"/>
  <c r="P14" i="22"/>
  <c r="O14" i="22"/>
  <c r="N14" i="22"/>
  <c r="M14" i="22"/>
  <c r="G14" i="22"/>
  <c r="F14" i="22"/>
  <c r="A14" i="22"/>
  <c r="AS13" i="22"/>
  <c r="AN13" i="22"/>
  <c r="AM13" i="22"/>
  <c r="AI13" i="22"/>
  <c r="AH13" i="22"/>
  <c r="AG13" i="22"/>
  <c r="AF13" i="22"/>
  <c r="P13" i="22"/>
  <c r="O13" i="22"/>
  <c r="N13" i="22"/>
  <c r="M13" i="22"/>
  <c r="G13" i="22"/>
  <c r="F13" i="22"/>
  <c r="A13" i="22"/>
  <c r="AS12" i="22"/>
  <c r="AN12" i="22"/>
  <c r="AM12" i="22"/>
  <c r="AI12" i="22"/>
  <c r="AH12" i="22"/>
  <c r="AG12" i="22"/>
  <c r="AF12" i="22"/>
  <c r="P12" i="22"/>
  <c r="O12" i="22"/>
  <c r="N12" i="22"/>
  <c r="M12" i="22"/>
  <c r="G12" i="22"/>
  <c r="F12" i="22"/>
  <c r="A12" i="22"/>
  <c r="AS11" i="22"/>
  <c r="AN11" i="22"/>
  <c r="AM11" i="22"/>
  <c r="AI11" i="22"/>
  <c r="AH11" i="22"/>
  <c r="AG11" i="22"/>
  <c r="AF11" i="22"/>
  <c r="P11" i="22"/>
  <c r="O11" i="22"/>
  <c r="N11" i="22"/>
  <c r="M11" i="22"/>
  <c r="G11" i="22"/>
  <c r="F11" i="22"/>
  <c r="AS10" i="22"/>
  <c r="AN10" i="22"/>
  <c r="AM10" i="22"/>
  <c r="AI10" i="22"/>
  <c r="AH10" i="22"/>
  <c r="AG10" i="22"/>
  <c r="AF10" i="22"/>
  <c r="P10" i="22"/>
  <c r="O10" i="22"/>
  <c r="N10" i="22"/>
  <c r="M10" i="22"/>
  <c r="G10" i="22"/>
  <c r="F10" i="22"/>
  <c r="AS9" i="22"/>
  <c r="AN9" i="22"/>
  <c r="AM9" i="22"/>
  <c r="AI9" i="22"/>
  <c r="AH9" i="22"/>
  <c r="AG9" i="22"/>
  <c r="AF9" i="22"/>
  <c r="P9" i="22"/>
  <c r="O9" i="22"/>
  <c r="N9" i="22"/>
  <c r="M9" i="22"/>
  <c r="G9" i="22"/>
  <c r="F9" i="22"/>
  <c r="AS8" i="22"/>
  <c r="AN8" i="22"/>
  <c r="AM8" i="22"/>
  <c r="AI8" i="22"/>
  <c r="AH8" i="22"/>
  <c r="AG8" i="22"/>
  <c r="AF8" i="22"/>
  <c r="P8" i="22"/>
  <c r="O8" i="22"/>
  <c r="N8" i="22"/>
  <c r="M8" i="22"/>
  <c r="G8" i="22"/>
  <c r="F8" i="22"/>
  <c r="AS7" i="22"/>
  <c r="AN7" i="22"/>
  <c r="AM7" i="22"/>
  <c r="AI7" i="22"/>
  <c r="AH7" i="22"/>
  <c r="AG7" i="22"/>
  <c r="AF7" i="22"/>
  <c r="P7" i="22"/>
  <c r="O7" i="22"/>
  <c r="N7" i="22"/>
  <c r="M7" i="22"/>
  <c r="G7" i="22"/>
  <c r="F7" i="22"/>
  <c r="AS6" i="22"/>
  <c r="AN6" i="22"/>
  <c r="AM6" i="22"/>
  <c r="AI6" i="22"/>
  <c r="AH6" i="22"/>
  <c r="AG6" i="22"/>
  <c r="AF6" i="22"/>
  <c r="P6" i="22"/>
  <c r="O6" i="22"/>
  <c r="N6" i="22"/>
  <c r="M6" i="22"/>
  <c r="G6" i="22"/>
  <c r="F6" i="22"/>
  <c r="AS5" i="22"/>
  <c r="AN5" i="22"/>
  <c r="AM5" i="22"/>
  <c r="AI5" i="22"/>
  <c r="AH5" i="22"/>
  <c r="AG5" i="22"/>
  <c r="AF5" i="22"/>
  <c r="P5" i="22"/>
  <c r="O5" i="22"/>
  <c r="N5" i="22"/>
  <c r="M5" i="22"/>
  <c r="G5" i="22"/>
  <c r="F5" i="22"/>
  <c r="AS4" i="22"/>
  <c r="AN4" i="22"/>
  <c r="AM4" i="22"/>
  <c r="AI4" i="22"/>
  <c r="AH4" i="22"/>
  <c r="AG4" i="22"/>
  <c r="AF4" i="22"/>
  <c r="P4" i="22"/>
  <c r="O4" i="22"/>
  <c r="N4" i="22"/>
  <c r="M4" i="22"/>
  <c r="Q4" i="22" s="1"/>
  <c r="R4" i="22" s="1"/>
  <c r="G4" i="22"/>
  <c r="F4" i="22"/>
  <c r="A11" i="22"/>
  <c r="A10" i="22"/>
  <c r="A9" i="22"/>
  <c r="A8" i="22"/>
  <c r="A7" i="22"/>
  <c r="A6" i="22"/>
  <c r="A5" i="22"/>
  <c r="A4" i="22"/>
  <c r="AS3" i="22"/>
  <c r="G3" i="22"/>
  <c r="F3" i="22"/>
  <c r="A3" i="22"/>
  <c r="Q76" i="1"/>
  <c r="P76" i="1"/>
  <c r="N76" i="1"/>
  <c r="Q75" i="1"/>
  <c r="P75" i="1"/>
  <c r="N75" i="1"/>
  <c r="AR86" i="1"/>
  <c r="AR65" i="1"/>
  <c r="AR64" i="1"/>
  <c r="AR63" i="1"/>
  <c r="AR52" i="1"/>
  <c r="AR51" i="1"/>
  <c r="AR50" i="1"/>
  <c r="AR49" i="1"/>
  <c r="AR48" i="1"/>
  <c r="AR47" i="1"/>
  <c r="AR46" i="1"/>
  <c r="AR42" i="1"/>
  <c r="AR34" i="1"/>
  <c r="AR32" i="1"/>
  <c r="AR28" i="1"/>
  <c r="AR15" i="1"/>
  <c r="AR13" i="1"/>
  <c r="AR11" i="1"/>
  <c r="AR8" i="1"/>
  <c r="AR6" i="1"/>
  <c r="AR70" i="1"/>
  <c r="Q70" i="1"/>
  <c r="P70" i="1"/>
  <c r="O70" i="1"/>
  <c r="N70" i="1"/>
  <c r="AR69" i="1"/>
  <c r="Q69" i="1"/>
  <c r="P69" i="1"/>
  <c r="O69" i="1"/>
  <c r="N69" i="1"/>
  <c r="AP67" i="1"/>
  <c r="AO67" i="1"/>
  <c r="AP66" i="1"/>
  <c r="AO66" i="1"/>
  <c r="AP65" i="1"/>
  <c r="AO65" i="1"/>
  <c r="AP64" i="1"/>
  <c r="AO64" i="1"/>
  <c r="AP63" i="1"/>
  <c r="AO63" i="1"/>
  <c r="AP62" i="1"/>
  <c r="AO62" i="1"/>
  <c r="AP53" i="1"/>
  <c r="AO53" i="1"/>
  <c r="AP52" i="1"/>
  <c r="AO52" i="1"/>
  <c r="AP51" i="1"/>
  <c r="AO51" i="1"/>
  <c r="AP50" i="1"/>
  <c r="AO50" i="1"/>
  <c r="AP49" i="1"/>
  <c r="AO49" i="1"/>
  <c r="AP48" i="1"/>
  <c r="AO48" i="1"/>
  <c r="AP47" i="1"/>
  <c r="AO47" i="1"/>
  <c r="AP46" i="1"/>
  <c r="AO46" i="1"/>
  <c r="AP44" i="1"/>
  <c r="AO44" i="1"/>
  <c r="AP43" i="1"/>
  <c r="AO43" i="1"/>
  <c r="AP42" i="1"/>
  <c r="AO42" i="1"/>
  <c r="AP41" i="1"/>
  <c r="AO41" i="1"/>
  <c r="AP37" i="1"/>
  <c r="AO37" i="1"/>
  <c r="AP36" i="1"/>
  <c r="AO36" i="1"/>
  <c r="AP35" i="1"/>
  <c r="AO35" i="1"/>
  <c r="AP34" i="1"/>
  <c r="AO34" i="1"/>
  <c r="AP33" i="1"/>
  <c r="AO33" i="1"/>
  <c r="AP32" i="1"/>
  <c r="AO32" i="1"/>
  <c r="AP31" i="1"/>
  <c r="AO31" i="1"/>
  <c r="AP30" i="1"/>
  <c r="AO30" i="1"/>
  <c r="AP29" i="1"/>
  <c r="AO29" i="1"/>
  <c r="AP28" i="1"/>
  <c r="AO28" i="1"/>
  <c r="AP27" i="1"/>
  <c r="AO27" i="1"/>
  <c r="AP20" i="1"/>
  <c r="AO20" i="1"/>
  <c r="AP19" i="1"/>
  <c r="AO19" i="1"/>
  <c r="AP18" i="1"/>
  <c r="AO18" i="1"/>
  <c r="AP17" i="1"/>
  <c r="AO17" i="1"/>
  <c r="AP16" i="1"/>
  <c r="AO16" i="1"/>
  <c r="AP15" i="1"/>
  <c r="AO15" i="1"/>
  <c r="AP14" i="1"/>
  <c r="AO14" i="1"/>
  <c r="AP13" i="1"/>
  <c r="AO13" i="1"/>
  <c r="AP12" i="1"/>
  <c r="AO12" i="1"/>
  <c r="AP11" i="1"/>
  <c r="AO11" i="1"/>
  <c r="AP8" i="1"/>
  <c r="AO8" i="1"/>
  <c r="AP7" i="1"/>
  <c r="AO7" i="1"/>
  <c r="AP6" i="1"/>
  <c r="AO6" i="1"/>
  <c r="AP4" i="1"/>
  <c r="AO4" i="1"/>
  <c r="AK43" i="1"/>
  <c r="AJ43" i="1"/>
  <c r="AK34" i="1"/>
  <c r="AJ34" i="1"/>
  <c r="AI34" i="1"/>
  <c r="AH34" i="1"/>
  <c r="Q34" i="1"/>
  <c r="P34" i="1"/>
  <c r="O34" i="1"/>
  <c r="N34" i="1"/>
  <c r="AK66" i="1"/>
  <c r="AJ66" i="1"/>
  <c r="AK65" i="1"/>
  <c r="AJ65" i="1"/>
  <c r="AK64" i="1"/>
  <c r="AJ64" i="1"/>
  <c r="AK63" i="1"/>
  <c r="AJ63" i="1"/>
  <c r="AK62" i="1"/>
  <c r="AJ62" i="1"/>
  <c r="AK53" i="1"/>
  <c r="AJ53" i="1"/>
  <c r="AK52" i="1"/>
  <c r="AJ52" i="1"/>
  <c r="AK51" i="1"/>
  <c r="AJ51" i="1"/>
  <c r="AK50" i="1"/>
  <c r="AJ50" i="1"/>
  <c r="AK49" i="1"/>
  <c r="AJ49" i="1"/>
  <c r="AK48" i="1"/>
  <c r="AJ48" i="1"/>
  <c r="AK47" i="1"/>
  <c r="AJ47" i="1"/>
  <c r="AK46" i="1"/>
  <c r="AJ46" i="1"/>
  <c r="AK44" i="1"/>
  <c r="AJ44" i="1"/>
  <c r="AK42" i="1"/>
  <c r="AJ42" i="1"/>
  <c r="AK41" i="1"/>
  <c r="AJ41" i="1"/>
  <c r="AK37" i="1"/>
  <c r="AJ37" i="1"/>
  <c r="AK36" i="1"/>
  <c r="AJ36" i="1"/>
  <c r="AK35" i="1"/>
  <c r="AJ35" i="1"/>
  <c r="AK33" i="1"/>
  <c r="AJ33" i="1"/>
  <c r="AK32" i="1"/>
  <c r="AJ32" i="1"/>
  <c r="AK31" i="1"/>
  <c r="AJ31" i="1"/>
  <c r="AK30" i="1"/>
  <c r="AJ30" i="1"/>
  <c r="AK29" i="1"/>
  <c r="AJ29" i="1"/>
  <c r="AK28" i="1"/>
  <c r="AJ28" i="1"/>
  <c r="AK27" i="1"/>
  <c r="AJ27" i="1"/>
  <c r="AK20" i="1"/>
  <c r="AJ20" i="1"/>
  <c r="AK19" i="1"/>
  <c r="AJ19" i="1"/>
  <c r="AK18" i="1"/>
  <c r="AJ18" i="1"/>
  <c r="AK17" i="1"/>
  <c r="AJ17" i="1"/>
  <c r="AK16" i="1"/>
  <c r="AJ16" i="1"/>
  <c r="AK15" i="1"/>
  <c r="AJ15" i="1"/>
  <c r="AK14" i="1"/>
  <c r="AJ14" i="1"/>
  <c r="AK13" i="1"/>
  <c r="AJ13" i="1"/>
  <c r="AK12" i="1"/>
  <c r="AJ12" i="1"/>
  <c r="AK11" i="1"/>
  <c r="AJ11" i="1"/>
  <c r="AK8" i="1"/>
  <c r="AJ8" i="1"/>
  <c r="AR88" i="1"/>
  <c r="AR87" i="1"/>
  <c r="AR85" i="1"/>
  <c r="AR67" i="1"/>
  <c r="AH66" i="1"/>
  <c r="AR66" i="1" s="1"/>
  <c r="AH65" i="1"/>
  <c r="AH64" i="1"/>
  <c r="AH63" i="1"/>
  <c r="AH62" i="1"/>
  <c r="AR62" i="1" s="1"/>
  <c r="AH53" i="1"/>
  <c r="AR53" i="1" s="1"/>
  <c r="AH52" i="1"/>
  <c r="AH51" i="1"/>
  <c r="AH50" i="1"/>
  <c r="AH49" i="1"/>
  <c r="AH48" i="1"/>
  <c r="AH47" i="1"/>
  <c r="AH46" i="1"/>
  <c r="AI66" i="1"/>
  <c r="AI65" i="1"/>
  <c r="AI64" i="1"/>
  <c r="AI63" i="1"/>
  <c r="AI62" i="1"/>
  <c r="AI53" i="1"/>
  <c r="AI52" i="1"/>
  <c r="AI51" i="1"/>
  <c r="AI50" i="1"/>
  <c r="AI49" i="1"/>
  <c r="AI48" i="1"/>
  <c r="AI47" i="1"/>
  <c r="AI46" i="1"/>
  <c r="AI44" i="1"/>
  <c r="AI43" i="1"/>
  <c r="AI42" i="1"/>
  <c r="AI41" i="1"/>
  <c r="AI37" i="1"/>
  <c r="AI36" i="1"/>
  <c r="AI35" i="1"/>
  <c r="AI33" i="1"/>
  <c r="AI32" i="1"/>
  <c r="AI31" i="1"/>
  <c r="AI30" i="1"/>
  <c r="AI29" i="1"/>
  <c r="AI28" i="1"/>
  <c r="AI27" i="1"/>
  <c r="AI20" i="1"/>
  <c r="AI19" i="1"/>
  <c r="AI18" i="1"/>
  <c r="AI17" i="1"/>
  <c r="AI16" i="1"/>
  <c r="AI15" i="1"/>
  <c r="AI14" i="1"/>
  <c r="AI13" i="1"/>
  <c r="AI12" i="1"/>
  <c r="AI11" i="1"/>
  <c r="AI8" i="1"/>
  <c r="AH44" i="1"/>
  <c r="AR44" i="1" s="1"/>
  <c r="AH43" i="1"/>
  <c r="AR43" i="1" s="1"/>
  <c r="AH42" i="1"/>
  <c r="AH41" i="1"/>
  <c r="AR41" i="1" s="1"/>
  <c r="AH37" i="1"/>
  <c r="AR37" i="1" s="1"/>
  <c r="AH36" i="1"/>
  <c r="AH35" i="1"/>
  <c r="AR35" i="1" s="1"/>
  <c r="AH33" i="1"/>
  <c r="AR33" i="1" s="1"/>
  <c r="AH32" i="1"/>
  <c r="AH31" i="1"/>
  <c r="AH30" i="1"/>
  <c r="AR30" i="1" s="1"/>
  <c r="AH29" i="1"/>
  <c r="AR29" i="1"/>
  <c r="AH28" i="1"/>
  <c r="AH27" i="1"/>
  <c r="AR27" i="1" s="1"/>
  <c r="AH20" i="1"/>
  <c r="AR20" i="1" s="1"/>
  <c r="AH19" i="1"/>
  <c r="AR19" i="1" s="1"/>
  <c r="AH18" i="1"/>
  <c r="AR18" i="1" s="1"/>
  <c r="AH17" i="1"/>
  <c r="AR17" i="1" s="1"/>
  <c r="AH16" i="1"/>
  <c r="AR16" i="1" s="1"/>
  <c r="AH15" i="1"/>
  <c r="AH14" i="1"/>
  <c r="AR14" i="1" s="1"/>
  <c r="AH13" i="1"/>
  <c r="AH12" i="1"/>
  <c r="AH11" i="1"/>
  <c r="AH8" i="1"/>
  <c r="Q36" i="1"/>
  <c r="P36" i="1"/>
  <c r="O36" i="1"/>
  <c r="N36" i="1"/>
  <c r="Q35" i="1"/>
  <c r="P35" i="1"/>
  <c r="O35" i="1"/>
  <c r="N35" i="1"/>
  <c r="Q43" i="1"/>
  <c r="P43" i="1"/>
  <c r="O43" i="1"/>
  <c r="N43" i="1"/>
  <c r="Q46" i="1"/>
  <c r="P46" i="1"/>
  <c r="O46" i="1"/>
  <c r="N46" i="1"/>
  <c r="N67" i="1"/>
  <c r="O67" i="1"/>
  <c r="P67" i="1"/>
  <c r="Q67" i="1"/>
  <c r="Q44" i="1"/>
  <c r="P44" i="1"/>
  <c r="O44" i="1"/>
  <c r="N44" i="1"/>
  <c r="Q88" i="1"/>
  <c r="P88" i="1"/>
  <c r="O88" i="1"/>
  <c r="Q87" i="1"/>
  <c r="P87" i="1"/>
  <c r="O87" i="1"/>
  <c r="Q86" i="1"/>
  <c r="P86" i="1"/>
  <c r="O86" i="1"/>
  <c r="Q85" i="1"/>
  <c r="P85" i="1"/>
  <c r="O85" i="1"/>
  <c r="Q66" i="1"/>
  <c r="P66" i="1"/>
  <c r="O66" i="1"/>
  <c r="Q65" i="1"/>
  <c r="P65" i="1"/>
  <c r="O65" i="1"/>
  <c r="Q64" i="1"/>
  <c r="P64" i="1"/>
  <c r="O64" i="1"/>
  <c r="Q63" i="1"/>
  <c r="P63" i="1"/>
  <c r="O63" i="1"/>
  <c r="Q62" i="1"/>
  <c r="P62" i="1"/>
  <c r="O62" i="1"/>
  <c r="Q53" i="1"/>
  <c r="P53" i="1"/>
  <c r="O53" i="1"/>
  <c r="Q52" i="1"/>
  <c r="P52" i="1"/>
  <c r="O52" i="1"/>
  <c r="Q51" i="1"/>
  <c r="P51" i="1"/>
  <c r="O51" i="1"/>
  <c r="Q50" i="1"/>
  <c r="P50" i="1"/>
  <c r="O50" i="1"/>
  <c r="Q49" i="1"/>
  <c r="P49" i="1"/>
  <c r="O49" i="1"/>
  <c r="Q48" i="1"/>
  <c r="P48" i="1"/>
  <c r="O48" i="1"/>
  <c r="Q47" i="1"/>
  <c r="P47" i="1"/>
  <c r="O47" i="1"/>
  <c r="Q42" i="1"/>
  <c r="P42" i="1"/>
  <c r="O42" i="1"/>
  <c r="Q41" i="1"/>
  <c r="P41" i="1"/>
  <c r="O41" i="1"/>
  <c r="Q37" i="1"/>
  <c r="P37" i="1"/>
  <c r="O37" i="1"/>
  <c r="Q33" i="1"/>
  <c r="P33" i="1"/>
  <c r="O33" i="1"/>
  <c r="Q32" i="1"/>
  <c r="P32" i="1"/>
  <c r="O32" i="1"/>
  <c r="Q31" i="1"/>
  <c r="P31" i="1"/>
  <c r="O31" i="1"/>
  <c r="Q30" i="1"/>
  <c r="P30" i="1"/>
  <c r="O30" i="1"/>
  <c r="Q29" i="1"/>
  <c r="P29" i="1"/>
  <c r="O29" i="1"/>
  <c r="Q28" i="1"/>
  <c r="P28" i="1"/>
  <c r="O28" i="1"/>
  <c r="Q27" i="1"/>
  <c r="P27" i="1"/>
  <c r="O27" i="1"/>
  <c r="Q20" i="1"/>
  <c r="P20" i="1"/>
  <c r="O20" i="1"/>
  <c r="Q19" i="1"/>
  <c r="P19" i="1"/>
  <c r="O19" i="1"/>
  <c r="Q18" i="1"/>
  <c r="P18" i="1"/>
  <c r="O18" i="1"/>
  <c r="Q17" i="1"/>
  <c r="P17" i="1"/>
  <c r="O17" i="1"/>
  <c r="Q16" i="1"/>
  <c r="P16" i="1"/>
  <c r="O16" i="1"/>
  <c r="Q15" i="1"/>
  <c r="P15" i="1"/>
  <c r="O15" i="1"/>
  <c r="Q14" i="1"/>
  <c r="P14" i="1"/>
  <c r="O14" i="1"/>
  <c r="Q13" i="1"/>
  <c r="P13" i="1"/>
  <c r="O13" i="1"/>
  <c r="Q12" i="1"/>
  <c r="P12" i="1"/>
  <c r="O12" i="1"/>
  <c r="Q11" i="1"/>
  <c r="P11" i="1"/>
  <c r="O11" i="1"/>
  <c r="Q8" i="1"/>
  <c r="P8" i="1"/>
  <c r="O8" i="1"/>
  <c r="Q7" i="1"/>
  <c r="P7" i="1"/>
  <c r="O7" i="1"/>
  <c r="N88" i="1"/>
  <c r="N87" i="1"/>
  <c r="N86" i="1"/>
  <c r="N85" i="1"/>
  <c r="N66" i="1"/>
  <c r="N65" i="1"/>
  <c r="N64" i="1"/>
  <c r="N63" i="1"/>
  <c r="N62" i="1"/>
  <c r="N53" i="1"/>
  <c r="N52" i="1"/>
  <c r="N51" i="1"/>
  <c r="N50" i="1"/>
  <c r="N49" i="1"/>
  <c r="N48" i="1"/>
  <c r="N47" i="1"/>
  <c r="N42" i="1"/>
  <c r="N41" i="1"/>
  <c r="N37" i="1"/>
  <c r="N33" i="1"/>
  <c r="N32" i="1"/>
  <c r="N31" i="1"/>
  <c r="N30" i="1"/>
  <c r="N29" i="1"/>
  <c r="N28" i="1"/>
  <c r="N27" i="1"/>
  <c r="N20" i="1"/>
  <c r="N19" i="1"/>
  <c r="N18" i="1"/>
  <c r="N17" i="1"/>
  <c r="N16" i="1"/>
  <c r="N15" i="1"/>
  <c r="N14" i="1"/>
  <c r="N13" i="1"/>
  <c r="N12" i="1"/>
  <c r="N11" i="1"/>
  <c r="N8" i="1"/>
  <c r="N7" i="1"/>
  <c r="AO3" i="1"/>
  <c r="AK7" i="1"/>
  <c r="AJ7" i="1"/>
  <c r="AI7" i="1"/>
  <c r="AH7" i="1"/>
  <c r="AR7" i="1" s="1"/>
  <c r="AK6" i="1"/>
  <c r="AJ6" i="1"/>
  <c r="AI6" i="1"/>
  <c r="AH6" i="1"/>
  <c r="AK5" i="1"/>
  <c r="AJ5" i="1"/>
  <c r="AI5" i="1"/>
  <c r="AH5" i="1"/>
  <c r="AR5" i="1" s="1"/>
  <c r="AK4" i="1"/>
  <c r="AJ4" i="1"/>
  <c r="AI4" i="1"/>
  <c r="AH4" i="1"/>
  <c r="AR4" i="1" s="1"/>
  <c r="Q6" i="1"/>
  <c r="P6" i="1"/>
  <c r="O6" i="1"/>
  <c r="N6" i="1"/>
  <c r="Q5" i="1"/>
  <c r="P5" i="1"/>
  <c r="O5" i="1"/>
  <c r="N5" i="1"/>
  <c r="Q4" i="1"/>
  <c r="P4" i="1"/>
  <c r="O4" i="1"/>
  <c r="N4" i="1"/>
  <c r="AP3" i="1"/>
  <c r="AK3" i="1"/>
  <c r="AJ3" i="1"/>
  <c r="AI3" i="1"/>
  <c r="AH3" i="1"/>
  <c r="P3" i="1"/>
  <c r="O3" i="1"/>
  <c r="N3" i="1"/>
  <c r="AN65" i="22"/>
  <c r="AM65" i="22"/>
  <c r="AI65" i="22"/>
  <c r="AH65" i="22"/>
  <c r="AG65" i="22"/>
  <c r="AF65" i="22"/>
  <c r="P65" i="22"/>
  <c r="O65" i="22"/>
  <c r="N65" i="22"/>
  <c r="M65" i="22"/>
  <c r="AN64" i="22"/>
  <c r="AM64" i="22"/>
  <c r="AI64" i="22"/>
  <c r="AH64" i="22"/>
  <c r="AG64" i="22"/>
  <c r="AF64" i="22"/>
  <c r="P64" i="22"/>
  <c r="O64" i="22"/>
  <c r="N64" i="22"/>
  <c r="M64" i="22"/>
  <c r="AN63" i="22"/>
  <c r="AM63" i="22"/>
  <c r="AI63" i="22"/>
  <c r="AH63" i="22"/>
  <c r="AG63" i="22"/>
  <c r="AF63" i="22"/>
  <c r="P63" i="22"/>
  <c r="O63" i="22"/>
  <c r="N63" i="22"/>
  <c r="M63" i="22"/>
  <c r="AN62" i="22"/>
  <c r="AM62" i="22"/>
  <c r="AI62" i="22"/>
  <c r="AH62" i="22"/>
  <c r="AG62" i="22"/>
  <c r="AF62" i="22"/>
  <c r="P62" i="22"/>
  <c r="O62" i="22"/>
  <c r="N62" i="22"/>
  <c r="M62" i="22"/>
  <c r="AN61" i="22"/>
  <c r="AM61" i="22"/>
  <c r="AI61" i="22"/>
  <c r="AH61" i="22"/>
  <c r="AG61" i="22"/>
  <c r="AF61" i="22"/>
  <c r="P61" i="22"/>
  <c r="O61" i="22"/>
  <c r="N61" i="22"/>
  <c r="M61" i="22"/>
  <c r="AN60" i="22"/>
  <c r="AM60" i="22"/>
  <c r="AI60" i="22"/>
  <c r="AH60" i="22"/>
  <c r="AG60" i="22"/>
  <c r="AF60" i="22"/>
  <c r="P60" i="22"/>
  <c r="O60" i="22"/>
  <c r="N60" i="22"/>
  <c r="M60" i="22"/>
  <c r="AN3" i="22"/>
  <c r="AM3" i="22"/>
  <c r="AI3" i="22"/>
  <c r="AH3" i="22"/>
  <c r="AG3" i="22"/>
  <c r="AF3" i="22"/>
  <c r="P3" i="22"/>
  <c r="O3" i="22"/>
  <c r="N3" i="22"/>
  <c r="M3" i="22"/>
  <c r="P2" i="5"/>
  <c r="C16" i="24"/>
  <c r="C37" i="24"/>
  <c r="C35" i="24"/>
  <c r="C53" i="24"/>
  <c r="H17" i="19"/>
  <c r="C6" i="24"/>
  <c r="C34" i="24"/>
  <c r="C36" i="24"/>
  <c r="C14" i="24"/>
  <c r="C48" i="24"/>
  <c r="G21" i="19"/>
  <c r="C31" i="24"/>
  <c r="C4" i="24"/>
  <c r="C44" i="24"/>
  <c r="C51" i="24"/>
  <c r="F7" i="19"/>
  <c r="J16" i="19"/>
  <c r="C22" i="24"/>
  <c r="C17" i="24"/>
  <c r="J17" i="19"/>
  <c r="C11" i="24"/>
  <c r="C15" i="24"/>
  <c r="C5" i="24"/>
  <c r="C41" i="24"/>
  <c r="C8" i="24"/>
  <c r="J18" i="19"/>
  <c r="H11" i="19"/>
  <c r="C24" i="24"/>
  <c r="C19" i="24"/>
  <c r="C20" i="24"/>
  <c r="E7" i="19"/>
  <c r="D9" i="19"/>
  <c r="C9" i="24"/>
  <c r="C45" i="24"/>
  <c r="C33" i="24"/>
  <c r="C28" i="24"/>
  <c r="C10" i="24"/>
  <c r="C46" i="24"/>
  <c r="C29" i="24"/>
  <c r="C39" i="24"/>
  <c r="H18" i="19"/>
  <c r="C52" i="24"/>
  <c r="C13" i="24"/>
  <c r="D7" i="19"/>
  <c r="C38" i="24"/>
  <c r="G7" i="19"/>
  <c r="C25" i="24"/>
  <c r="C30" i="24"/>
  <c r="H16" i="19"/>
  <c r="C32" i="24"/>
  <c r="C7" i="24"/>
  <c r="H10" i="19"/>
  <c r="C40" i="24"/>
  <c r="C50" i="24"/>
  <c r="H8" i="19"/>
  <c r="C26" i="24"/>
  <c r="C18" i="24"/>
  <c r="AJ29" i="22" l="1"/>
  <c r="AK29" i="22" s="1"/>
  <c r="AJ49" i="22"/>
  <c r="AK49" i="22" s="1"/>
  <c r="Q36" i="22"/>
  <c r="R36" i="22" s="1"/>
  <c r="AJ63" i="22"/>
  <c r="AK63" i="22" s="1"/>
  <c r="AJ3" i="22"/>
  <c r="AK3" i="22" s="1"/>
  <c r="AJ4" i="22"/>
  <c r="AK4" i="22" s="1"/>
  <c r="AJ7" i="22"/>
  <c r="AK7" i="22" s="1"/>
  <c r="Q8" i="22"/>
  <c r="R8" i="22" s="1"/>
  <c r="AJ9" i="22"/>
  <c r="AK9" i="22" s="1"/>
  <c r="AJ10" i="22"/>
  <c r="AK10" i="22" s="1"/>
  <c r="Q11" i="22"/>
  <c r="R11" i="22" s="1"/>
  <c r="AJ12" i="22"/>
  <c r="AK12" i="22" s="1"/>
  <c r="AJ13" i="22"/>
  <c r="AK13" i="22" s="1"/>
  <c r="Q14" i="22"/>
  <c r="R14" i="22" s="1"/>
  <c r="Q15" i="22"/>
  <c r="R15" i="22" s="1"/>
  <c r="AJ16" i="22"/>
  <c r="AK16" i="22" s="1"/>
  <c r="AJ17" i="22"/>
  <c r="AK17" i="22" s="1"/>
  <c r="Q18" i="22"/>
  <c r="R18" i="22" s="1"/>
  <c r="Q19" i="22"/>
  <c r="R19" i="22" s="1"/>
  <c r="AJ20" i="22"/>
  <c r="AK20" i="22" s="1"/>
  <c r="AJ21" i="22"/>
  <c r="AK21" i="22" s="1"/>
  <c r="Q22" i="22"/>
  <c r="R22" i="22" s="1"/>
  <c r="Q23" i="22"/>
  <c r="R23" i="22" s="1"/>
  <c r="AJ24" i="22"/>
  <c r="AK24" i="22" s="1"/>
  <c r="AJ25" i="22"/>
  <c r="AK25" i="22" s="1"/>
  <c r="Q26" i="22"/>
  <c r="R26" i="22" s="1"/>
  <c r="Q27" i="22"/>
  <c r="R27" i="22" s="1"/>
  <c r="AJ28" i="22"/>
  <c r="AK28" i="22" s="1"/>
  <c r="Q30" i="22"/>
  <c r="R30" i="22" s="1"/>
  <c r="Q31" i="22"/>
  <c r="R31" i="22" s="1"/>
  <c r="AJ32" i="22"/>
  <c r="AK32" i="22" s="1"/>
  <c r="AJ33" i="22"/>
  <c r="AK33" i="22" s="1"/>
  <c r="Q34" i="22"/>
  <c r="R34" i="22" s="1"/>
  <c r="AJ36" i="22"/>
  <c r="AK36" i="22" s="1"/>
  <c r="Q38" i="22"/>
  <c r="R38" i="22" s="1"/>
  <c r="AJ39" i="22"/>
  <c r="AK39" i="22" s="1"/>
  <c r="AJ40" i="22"/>
  <c r="AK40" i="22" s="1"/>
  <c r="Q42" i="22"/>
  <c r="R42" i="22" s="1"/>
  <c r="AJ43" i="22"/>
  <c r="AK43" i="22" s="1"/>
  <c r="AJ44" i="22"/>
  <c r="AK44" i="22" s="1"/>
  <c r="Q45" i="22"/>
  <c r="R45" i="22" s="1"/>
  <c r="Q46" i="22"/>
  <c r="R46" i="22" s="1"/>
  <c r="AJ47" i="22"/>
  <c r="AK47" i="22" s="1"/>
  <c r="AJ48" i="22"/>
  <c r="AK48" i="22" s="1"/>
  <c r="Q49" i="22"/>
  <c r="R49" i="22" s="1"/>
  <c r="Q50" i="22"/>
  <c r="R50" i="22" s="1"/>
  <c r="AJ51" i="22"/>
  <c r="AK51" i="22" s="1"/>
  <c r="AJ52" i="22"/>
  <c r="AK52" i="22" s="1"/>
  <c r="Q53" i="22"/>
  <c r="R53" i="22" s="1"/>
  <c r="Q54" i="22"/>
  <c r="R54" i="22" s="1"/>
  <c r="AJ55" i="22"/>
  <c r="AK55" i="22" s="1"/>
  <c r="AJ56" i="22"/>
  <c r="AK56" i="22" s="1"/>
  <c r="Q57" i="22"/>
  <c r="R57" i="22" s="1"/>
  <c r="Q58" i="22"/>
  <c r="R58" i="22" s="1"/>
  <c r="Q63" i="22"/>
  <c r="R63" i="22" s="1"/>
  <c r="Q12" i="22"/>
  <c r="R12" i="22" s="1"/>
  <c r="Q16" i="22"/>
  <c r="R16" i="22" s="1"/>
  <c r="Q3" i="22"/>
  <c r="R3" i="22" s="1"/>
  <c r="AJ64" i="22"/>
  <c r="AK64" i="22" s="1"/>
  <c r="AJ60" i="22"/>
  <c r="AK60" i="22" s="1"/>
  <c r="AJ59" i="22"/>
  <c r="AK59" i="22" s="1"/>
  <c r="Q10" i="22"/>
  <c r="R10" i="22" s="1"/>
  <c r="Q13" i="22"/>
  <c r="R13" i="22" s="1"/>
  <c r="Q17" i="22"/>
  <c r="R17" i="22" s="1"/>
  <c r="Q35" i="22"/>
  <c r="R35" i="22" s="1"/>
  <c r="AJ37" i="22"/>
  <c r="AK37" i="22" s="1"/>
  <c r="Q40" i="22"/>
  <c r="R40" i="22" s="1"/>
  <c r="AJ41" i="22"/>
  <c r="AK41" i="22" s="1"/>
  <c r="AJ57" i="22"/>
  <c r="AK57" i="22" s="1"/>
  <c r="AJ58" i="22"/>
  <c r="AK58" i="22" s="1"/>
  <c r="AJ61" i="22"/>
  <c r="AK61" i="22" s="1"/>
  <c r="AJ65" i="22"/>
  <c r="AK65" i="22" s="1"/>
  <c r="Q6" i="22"/>
  <c r="R6" i="22" s="1"/>
  <c r="AJ62" i="22"/>
  <c r="AK62" i="22" s="1"/>
  <c r="Q5" i="22"/>
  <c r="R5" i="22" s="1"/>
  <c r="Q60" i="22"/>
  <c r="R60" i="22" s="1"/>
  <c r="Q61" i="22"/>
  <c r="R61" i="22" s="1"/>
  <c r="Q64" i="22"/>
  <c r="R64" i="22" s="1"/>
  <c r="Q65" i="22"/>
  <c r="R65" i="22" s="1"/>
  <c r="Q62" i="22"/>
  <c r="R62" i="22" s="1"/>
  <c r="AJ5" i="22"/>
  <c r="AK5" i="22" s="1"/>
  <c r="AJ6" i="22"/>
  <c r="AK6" i="22" s="1"/>
  <c r="Q7" i="22"/>
  <c r="R7" i="22" s="1"/>
  <c r="AJ8" i="22"/>
  <c r="AK8" i="22" s="1"/>
  <c r="Q9" i="22"/>
  <c r="R9" i="22" s="1"/>
  <c r="AJ11" i="22"/>
  <c r="AK11" i="22" s="1"/>
  <c r="AJ14" i="22"/>
  <c r="AK14" i="22" s="1"/>
  <c r="AJ15" i="22"/>
  <c r="AK15" i="22" s="1"/>
  <c r="AJ18" i="22"/>
  <c r="AK18" i="22" s="1"/>
  <c r="AJ19" i="22"/>
  <c r="AK19" i="22" s="1"/>
  <c r="Q20" i="22"/>
  <c r="R20" i="22" s="1"/>
  <c r="Q21" i="22"/>
  <c r="R21" i="22" s="1"/>
  <c r="AJ22" i="22"/>
  <c r="AK22" i="22" s="1"/>
  <c r="AJ23" i="22"/>
  <c r="AK23" i="22" s="1"/>
  <c r="Q25" i="22"/>
  <c r="R25" i="22" s="1"/>
  <c r="AJ26" i="22"/>
  <c r="AK26" i="22" s="1"/>
  <c r="AJ27" i="22"/>
  <c r="AK27" i="22" s="1"/>
  <c r="Q28" i="22"/>
  <c r="R28" i="22" s="1"/>
  <c r="Q29" i="22"/>
  <c r="R29" i="22" s="1"/>
  <c r="AJ30" i="22"/>
  <c r="AK30" i="22" s="1"/>
  <c r="AJ31" i="22"/>
  <c r="AK31" i="22" s="1"/>
  <c r="Q32" i="22"/>
  <c r="R32" i="22" s="1"/>
  <c r="Q33" i="22"/>
  <c r="R33" i="22" s="1"/>
  <c r="AJ34" i="22"/>
  <c r="AK34" i="22" s="1"/>
  <c r="AJ35" i="22"/>
  <c r="AK35" i="22" s="1"/>
  <c r="Q37" i="22"/>
  <c r="R37" i="22" s="1"/>
  <c r="AJ38" i="22"/>
  <c r="AK38" i="22" s="1"/>
  <c r="Q39" i="22"/>
  <c r="R39" i="22" s="1"/>
  <c r="AJ42" i="22"/>
  <c r="AK42" i="22" s="1"/>
  <c r="Q43" i="22"/>
  <c r="R43" i="22" s="1"/>
  <c r="Q44" i="22"/>
  <c r="R44" i="22" s="1"/>
  <c r="AJ46" i="22"/>
  <c r="AK46" i="22" s="1"/>
  <c r="Q47" i="22"/>
  <c r="R47" i="22" s="1"/>
  <c r="Q48" i="22"/>
  <c r="R48" i="22" s="1"/>
  <c r="AJ50" i="22"/>
  <c r="AK50" i="22" s="1"/>
  <c r="Q51" i="22"/>
  <c r="R51" i="22" s="1"/>
  <c r="Q52" i="22"/>
  <c r="R52" i="22" s="1"/>
  <c r="AJ53" i="22"/>
  <c r="AK53" i="22" s="1"/>
  <c r="AJ54" i="22"/>
  <c r="AK54" i="22" s="1"/>
  <c r="Q55" i="22"/>
  <c r="R55" i="22" s="1"/>
  <c r="Q56" i="22"/>
  <c r="R56" i="22" s="1"/>
  <c r="Q59" i="22"/>
  <c r="R59" i="22" s="1"/>
  <c r="AL56" i="1"/>
  <c r="AL52" i="1"/>
  <c r="AL86" i="1"/>
  <c r="AM86" i="1" s="1"/>
  <c r="R76" i="1"/>
  <c r="T76" i="1" s="1"/>
  <c r="R7" i="1"/>
  <c r="T7" i="1" s="1"/>
  <c r="R31" i="1"/>
  <c r="T31" i="1" s="1"/>
  <c r="R33" i="1"/>
  <c r="T33" i="1" s="1"/>
  <c r="R65" i="1"/>
  <c r="T65" i="1" s="1"/>
  <c r="AL62" i="1"/>
  <c r="AL48" i="1"/>
  <c r="AL64" i="1"/>
  <c r="AL5" i="1"/>
  <c r="AM5" i="1" s="1"/>
  <c r="AS5" i="1" s="1"/>
  <c r="AL7" i="1"/>
  <c r="R16" i="1"/>
  <c r="T16" i="1" s="1"/>
  <c r="R30" i="1"/>
  <c r="T30" i="1" s="1"/>
  <c r="R48" i="1"/>
  <c r="T48" i="1" s="1"/>
  <c r="R64" i="1"/>
  <c r="T64" i="1" s="1"/>
  <c r="AL28" i="1"/>
  <c r="AL37" i="1"/>
  <c r="AL49" i="1"/>
  <c r="AL65" i="1"/>
  <c r="AL47" i="1"/>
  <c r="AR56" i="1"/>
  <c r="R77" i="1"/>
  <c r="T77" i="1" s="1"/>
  <c r="R78" i="1"/>
  <c r="T78" i="1" s="1"/>
  <c r="AL6" i="1"/>
  <c r="R11" i="1"/>
  <c r="T11" i="1" s="1"/>
  <c r="R19" i="1"/>
  <c r="T19" i="1" s="1"/>
  <c r="R28" i="1"/>
  <c r="T28" i="1" s="1"/>
  <c r="R42" i="1"/>
  <c r="T42" i="1" s="1"/>
  <c r="R62" i="1"/>
  <c r="T62" i="1" s="1"/>
  <c r="AL16" i="1"/>
  <c r="AL78" i="1"/>
  <c r="AM78" i="1" s="1"/>
  <c r="AL31" i="1"/>
  <c r="AL85" i="1"/>
  <c r="AM85" i="1" s="1"/>
  <c r="AL11" i="1"/>
  <c r="R17" i="1"/>
  <c r="T17" i="1" s="1"/>
  <c r="R49" i="1"/>
  <c r="T49" i="1" s="1"/>
  <c r="R46" i="1"/>
  <c r="T46" i="1" s="1"/>
  <c r="AL15" i="1"/>
  <c r="AM15" i="1" s="1"/>
  <c r="AL29" i="1"/>
  <c r="R4" i="1"/>
  <c r="T4" i="1" s="1"/>
  <c r="R6" i="1"/>
  <c r="T6" i="1" s="1"/>
  <c r="R53" i="1"/>
  <c r="T53" i="1" s="1"/>
  <c r="AR31" i="1"/>
  <c r="AL3" i="1"/>
  <c r="AM3" i="1" s="1"/>
  <c r="AL41" i="1"/>
  <c r="R14" i="1"/>
  <c r="T14" i="1" s="1"/>
  <c r="AL30" i="1"/>
  <c r="AL42" i="1"/>
  <c r="AL51" i="1"/>
  <c r="AL69" i="1"/>
  <c r="AL70" i="1"/>
  <c r="R75" i="1"/>
  <c r="T75" i="1" s="1"/>
  <c r="T45" i="20"/>
  <c r="R43" i="1"/>
  <c r="T43" i="1" s="1"/>
  <c r="R36" i="1"/>
  <c r="T36" i="1" s="1"/>
  <c r="R34" i="1"/>
  <c r="T34" i="1" s="1"/>
  <c r="R20" i="1"/>
  <c r="T20" i="1" s="1"/>
  <c r="AL83" i="1"/>
  <c r="AM83" i="1" s="1"/>
  <c r="AL57" i="1"/>
  <c r="T46" i="20"/>
  <c r="R15" i="1"/>
  <c r="T15" i="1" s="1"/>
  <c r="R29" i="1"/>
  <c r="T29" i="1" s="1"/>
  <c r="R47" i="1"/>
  <c r="T47" i="1" s="1"/>
  <c r="R63" i="1"/>
  <c r="T63" i="1" s="1"/>
  <c r="AL19" i="1"/>
  <c r="AL55" i="1"/>
  <c r="R3" i="1"/>
  <c r="T3" i="1" s="1"/>
  <c r="R32" i="1"/>
  <c r="T32" i="1" s="1"/>
  <c r="R50" i="1"/>
  <c r="T50" i="1" s="1"/>
  <c r="R44" i="1"/>
  <c r="T44" i="1" s="1"/>
  <c r="AL20" i="1"/>
  <c r="AL88" i="1"/>
  <c r="AL34" i="1"/>
  <c r="R12" i="1"/>
  <c r="T12" i="1" s="1"/>
  <c r="R37" i="1"/>
  <c r="T37" i="1" s="1"/>
  <c r="R52" i="1"/>
  <c r="T52" i="1" s="1"/>
  <c r="R86" i="1"/>
  <c r="T86" i="1" s="1"/>
  <c r="R13" i="1"/>
  <c r="T13" i="1" s="1"/>
  <c r="R27" i="1"/>
  <c r="T27" i="1" s="1"/>
  <c r="R41" i="1"/>
  <c r="T41" i="1" s="1"/>
  <c r="AL36" i="1"/>
  <c r="R51" i="1"/>
  <c r="T51" i="1" s="1"/>
  <c r="R85" i="1"/>
  <c r="T85" i="1" s="1"/>
  <c r="AL4" i="1"/>
  <c r="AM4" i="1" s="1"/>
  <c r="AS4" i="1" s="1"/>
  <c r="R67" i="1"/>
  <c r="T67" i="1" s="1"/>
  <c r="AL59" i="1"/>
  <c r="R35" i="1"/>
  <c r="T35" i="1" s="1"/>
  <c r="AL63" i="1"/>
  <c r="AL54" i="1"/>
  <c r="R66" i="1"/>
  <c r="T66" i="1" s="1"/>
  <c r="R87" i="1"/>
  <c r="T87" i="1" s="1"/>
  <c r="AL43" i="1"/>
  <c r="R18" i="1"/>
  <c r="T18" i="1" s="1"/>
  <c r="AL12" i="1"/>
  <c r="AM12" i="1" s="1"/>
  <c r="AL13" i="1"/>
  <c r="AM13" i="1" s="1"/>
  <c r="AL27" i="1"/>
  <c r="AL44" i="1"/>
  <c r="AL53" i="1"/>
  <c r="R5" i="1"/>
  <c r="T5" i="1" s="1"/>
  <c r="R9" i="1"/>
  <c r="T9" i="1" s="1"/>
  <c r="R8" i="1"/>
  <c r="T8" i="1" s="1"/>
  <c r="AL8" i="1"/>
  <c r="AL18" i="1"/>
  <c r="AL32" i="1"/>
  <c r="AL46" i="1"/>
  <c r="AL50" i="1"/>
  <c r="AL87" i="1"/>
  <c r="AM87" i="1" s="1"/>
  <c r="R88" i="1"/>
  <c r="AR3" i="1"/>
  <c r="AL35" i="1"/>
  <c r="AL67" i="1"/>
  <c r="AL14" i="1"/>
  <c r="AR36" i="1"/>
  <c r="AR54" i="1"/>
  <c r="AL9" i="1"/>
  <c r="AL17" i="1"/>
  <c r="R69" i="1"/>
  <c r="T69" i="1" s="1"/>
  <c r="AL75" i="1"/>
  <c r="AM75" i="1" s="1"/>
  <c r="AL82" i="1"/>
  <c r="AM82" i="1" s="1"/>
  <c r="AL77" i="1"/>
  <c r="AM77" i="1" s="1"/>
  <c r="AL66" i="1"/>
  <c r="AL33" i="1"/>
  <c r="R70" i="1"/>
  <c r="T70" i="1" s="1"/>
  <c r="AR59" i="1"/>
  <c r="AR12" i="1"/>
  <c r="AR57" i="1"/>
  <c r="AL76" i="1"/>
  <c r="AM76" i="1" s="1"/>
  <c r="AL58" i="1"/>
  <c r="C2" i="24"/>
  <c r="C3" i="24"/>
  <c r="C12" i="24"/>
  <c r="H9" i="19"/>
  <c r="C21" i="24"/>
  <c r="C42" i="24"/>
  <c r="H15" i="19"/>
  <c r="D14" i="19"/>
  <c r="D23" i="19"/>
  <c r="H7" i="19"/>
  <c r="C47" i="24"/>
  <c r="C27" i="24" l="1"/>
  <c r="AM88" i="1"/>
  <c r="T88" i="1"/>
  <c r="AM47" i="1"/>
  <c r="AS47" i="1" s="1"/>
  <c r="AM57" i="1"/>
  <c r="AS57" i="1" s="1"/>
  <c r="AM70" i="1"/>
  <c r="AS70" i="1" s="1"/>
  <c r="AM65" i="1"/>
  <c r="AS65" i="1" s="1"/>
  <c r="AM7" i="1"/>
  <c r="AS7" i="1" s="1"/>
  <c r="AM17" i="1"/>
  <c r="AS17" i="1" s="1"/>
  <c r="AM9" i="1"/>
  <c r="AS9" i="1" s="1"/>
  <c r="AM33" i="1"/>
  <c r="AS33" i="1" s="1"/>
  <c r="AM50" i="1"/>
  <c r="AS50" i="1" s="1"/>
  <c r="AM53" i="1"/>
  <c r="AS53" i="1" s="1"/>
  <c r="AM55" i="1"/>
  <c r="AS55" i="1" s="1"/>
  <c r="AM69" i="1"/>
  <c r="AS69" i="1" s="1"/>
  <c r="AM11" i="1"/>
  <c r="AS11" i="1" s="1"/>
  <c r="AM49" i="1"/>
  <c r="AS49" i="1" s="1"/>
  <c r="AM66" i="1"/>
  <c r="AS66" i="1" s="1"/>
  <c r="AM46" i="1"/>
  <c r="AS46" i="1" s="1"/>
  <c r="AM44" i="1"/>
  <c r="AS44" i="1" s="1"/>
  <c r="AM54" i="1"/>
  <c r="AS54" i="1" s="1"/>
  <c r="AM36" i="1"/>
  <c r="AS36" i="1" s="1"/>
  <c r="AM34" i="1"/>
  <c r="AS34" i="1" s="1"/>
  <c r="AM19" i="1"/>
  <c r="AS19" i="1" s="1"/>
  <c r="AM51" i="1"/>
  <c r="AS51" i="1" s="1"/>
  <c r="AM37" i="1"/>
  <c r="AS37" i="1" s="1"/>
  <c r="AM64" i="1"/>
  <c r="AS64" i="1" s="1"/>
  <c r="AM63" i="1"/>
  <c r="AS63" i="1" s="1"/>
  <c r="AM42" i="1"/>
  <c r="AS42" i="1" s="1"/>
  <c r="AM31" i="1"/>
  <c r="AS31" i="1" s="1"/>
  <c r="AM6" i="1"/>
  <c r="AS6" i="1" s="1"/>
  <c r="AM28" i="1"/>
  <c r="AS28" i="1" s="1"/>
  <c r="AM48" i="1"/>
  <c r="AS48" i="1" s="1"/>
  <c r="AM52" i="1"/>
  <c r="AS52" i="1" s="1"/>
  <c r="AM58" i="1"/>
  <c r="AS58" i="1" s="1"/>
  <c r="AM32" i="1"/>
  <c r="AS32" i="1" s="1"/>
  <c r="AM18" i="1"/>
  <c r="AS18" i="1" s="1"/>
  <c r="AM20" i="1"/>
  <c r="AS20" i="1" s="1"/>
  <c r="AM29" i="1"/>
  <c r="AS29" i="1" s="1"/>
  <c r="AM62" i="1"/>
  <c r="AS62" i="1" s="1"/>
  <c r="AM56" i="1"/>
  <c r="AS56" i="1" s="1"/>
  <c r="AM43" i="1"/>
  <c r="AS43" i="1" s="1"/>
  <c r="AM14" i="1"/>
  <c r="AS14" i="1" s="1"/>
  <c r="AM27" i="1"/>
  <c r="AS27" i="1" s="1"/>
  <c r="AM67" i="1"/>
  <c r="AS67" i="1" s="1"/>
  <c r="AM30" i="1"/>
  <c r="AS30" i="1" s="1"/>
  <c r="AM35" i="1"/>
  <c r="AS35" i="1" s="1"/>
  <c r="AM8" i="1"/>
  <c r="AS8" i="1" s="1"/>
  <c r="AM59" i="1"/>
  <c r="AS59" i="1" s="1"/>
  <c r="AM16" i="1"/>
  <c r="AS16" i="1" s="1"/>
  <c r="AM41" i="1"/>
  <c r="AS41" i="1" s="1"/>
  <c r="AS12" i="1"/>
  <c r="AS15" i="1"/>
  <c r="C7" i="20"/>
  <c r="C5" i="20"/>
  <c r="C4" i="20"/>
  <c r="C6" i="20"/>
  <c r="AS3" i="1"/>
  <c r="C3" i="20"/>
  <c r="AS83" i="1"/>
  <c r="AS85" i="1"/>
  <c r="AS86" i="1"/>
  <c r="AS87" i="1"/>
  <c r="AS77" i="1"/>
  <c r="AS88" i="1"/>
  <c r="AS78" i="1"/>
  <c r="AS76" i="1"/>
  <c r="AS82" i="1"/>
  <c r="AS75" i="1"/>
  <c r="U41" i="20"/>
  <c r="V41" i="20"/>
  <c r="T41" i="20"/>
  <c r="W41" i="20"/>
  <c r="C49" i="24"/>
  <c r="C43" i="24"/>
  <c r="C23" i="24"/>
  <c r="H14" i="19"/>
  <c r="V38" i="20" l="1"/>
  <c r="U38" i="20"/>
  <c r="T38" i="20"/>
  <c r="W38" i="20"/>
  <c r="D3" i="20"/>
  <c r="D6" i="20"/>
  <c r="D5" i="20"/>
  <c r="D4" i="20"/>
  <c r="V40" i="20"/>
  <c r="T40" i="20"/>
  <c r="U40" i="20"/>
  <c r="W40" i="20"/>
  <c r="V39" i="20"/>
  <c r="T39" i="20"/>
  <c r="W39" i="20"/>
  <c r="U39" i="20"/>
  <c r="AS13" i="1"/>
  <c r="D8"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U109" authorId="0" shapeId="0" xr:uid="{00000000-0006-0000-0000-000001000000}">
      <text>
        <r>
          <rPr>
            <sz val="10"/>
            <color rgb="FF000000"/>
            <rFont val="Arial"/>
            <family val="2"/>
          </rPr>
          <t>Having a large number of spare staves is also a mitigation for this item
	-Leo Greiner
yes, this is a good point
	-Ming Liu</t>
        </r>
      </text>
    </comment>
  </commentList>
</comments>
</file>

<file path=xl/sharedStrings.xml><?xml version="1.0" encoding="utf-8"?>
<sst xmlns="http://schemas.openxmlformats.org/spreadsheetml/2006/main" count="2810" uniqueCount="709">
  <si>
    <t>Risk Title</t>
  </si>
  <si>
    <t>Negligible</t>
  </si>
  <si>
    <t>Low</t>
  </si>
  <si>
    <t>Moderate</t>
  </si>
  <si>
    <t>Residual Technical Impact</t>
  </si>
  <si>
    <t>High</t>
  </si>
  <si>
    <t>Risk Handling Plan (Mitigations)</t>
  </si>
  <si>
    <t>Residual Risk (Post- Mitigation Assessment)</t>
  </si>
  <si>
    <t>Residual Schedule Impact</t>
  </si>
  <si>
    <t>Primary Risk (Unmitigated Risk Assessment)</t>
  </si>
  <si>
    <t>Rare (≤1%)</t>
  </si>
  <si>
    <t>Unlikely (≤10%)</t>
  </si>
  <si>
    <t>Possible (≤50%)</t>
  </si>
  <si>
    <t>Very Likely (&gt;50%)</t>
  </si>
  <si>
    <t>Risk Identification</t>
  </si>
  <si>
    <t>Lab</t>
  </si>
  <si>
    <t>Sequence</t>
  </si>
  <si>
    <t>Overall Impact Score</t>
  </si>
  <si>
    <t>Management Assessment: Overall Impact</t>
  </si>
  <si>
    <t>System</t>
  </si>
  <si>
    <t>Risk ID Number</t>
  </si>
  <si>
    <t>Owner</t>
  </si>
  <si>
    <t>Notes</t>
  </si>
  <si>
    <t>Cost Impact Estimate ($K)</t>
  </si>
  <si>
    <t>Low Schedule Impact (Mos)</t>
  </si>
  <si>
    <t>Likely Schedule Impact (Mos)</t>
  </si>
  <si>
    <t>High Schedule Impact (Mos)</t>
  </si>
  <si>
    <t>Low Cost Impact ($K)</t>
  </si>
  <si>
    <t>Likely Cost Impact ($K)</t>
  </si>
  <si>
    <t>High Cost Impact ($K)</t>
  </si>
  <si>
    <t>Risk Handling Schedule
(Triggers, Milestones, Due Dates)</t>
  </si>
  <si>
    <t>Probability Score (1-4)</t>
  </si>
  <si>
    <t>Cost Score (1-4)</t>
  </si>
  <si>
    <t>Schedule Score (1-4)</t>
  </si>
  <si>
    <t>Technical Score (1-4)</t>
  </si>
  <si>
    <t>Overall Impact Score (Calculated)</t>
  </si>
  <si>
    <t>Overall Impact Score
(Residual)</t>
  </si>
  <si>
    <t>IF/THEN</t>
  </si>
  <si>
    <t>`</t>
  </si>
  <si>
    <t>Cost of Mitigations  ($K) (Notes OK)</t>
  </si>
  <si>
    <t>Residual Risk Likelihood of Impact (%)</t>
  </si>
  <si>
    <t>Schedule Impact</t>
  </si>
  <si>
    <t>Technical Impact</t>
  </si>
  <si>
    <t>Value</t>
  </si>
  <si>
    <t>Score</t>
  </si>
  <si>
    <t>Likelihood of Impact (%)</t>
  </si>
  <si>
    <t>Cost Threshold ($K)</t>
  </si>
  <si>
    <t>Modifier</t>
  </si>
  <si>
    <t>&lt;=</t>
  </si>
  <si>
    <t>&gt;</t>
  </si>
  <si>
    <t>Handling Methods</t>
  </si>
  <si>
    <t>Accept</t>
  </si>
  <si>
    <t>Avoid</t>
  </si>
  <si>
    <t>Mitigate</t>
  </si>
  <si>
    <t>Transfer</t>
  </si>
  <si>
    <t>Risk ID</t>
  </si>
  <si>
    <t>Title</t>
  </si>
  <si>
    <t>Residual Impact</t>
  </si>
  <si>
    <t>Risk Statement (If/Then):</t>
  </si>
  <si>
    <t>Likelihood:</t>
  </si>
  <si>
    <t>Cost Impact:</t>
  </si>
  <si>
    <t>Schedule Impact:</t>
  </si>
  <si>
    <t>Technical Impact:</t>
  </si>
  <si>
    <t>Risk Handling (Mitigations):</t>
  </si>
  <si>
    <t>Cost Impacts ($K)</t>
  </si>
  <si>
    <t>Expected Value:</t>
  </si>
  <si>
    <t>Average EV:</t>
  </si>
  <si>
    <t xml:space="preserve">Low Cost: </t>
  </si>
  <si>
    <t>Likely Cost:</t>
  </si>
  <si>
    <t>High Cost:</t>
  </si>
  <si>
    <t>Risk Handling Schedule ( Triggers, Milesones, Due Dates):</t>
  </si>
  <si>
    <t>Project L3 or L4 WBS</t>
  </si>
  <si>
    <t xml:space="preserve">Choose Row:    </t>
  </si>
  <si>
    <t>Risk Handling Method</t>
  </si>
  <si>
    <t>What does it mean? (Info Only)</t>
  </si>
  <si>
    <t>Active Planning to Reduce Odds/Impact</t>
  </si>
  <si>
    <t xml:space="preserve">If risk happens, Impact will happen, No plan to reduce. </t>
  </si>
  <si>
    <t>3rd Party bears impact of risk - WARNING: MOU or similar document in place!</t>
  </si>
  <si>
    <t>Project Plan is changed; Risk CAN'T occur, and is retired or deleted.</t>
  </si>
  <si>
    <t>Schedule Impact (Months)</t>
  </si>
  <si>
    <t xml:space="preserve">Low: </t>
  </si>
  <si>
    <t>Likely:</t>
  </si>
  <si>
    <t>High:</t>
  </si>
  <si>
    <t>Basis of Impact Estimates (Cost &amp; Sched.):</t>
  </si>
  <si>
    <t>Basis of Impact Estimates
 How were cost and schedule ranges ( Columns Z through AE) developed?</t>
  </si>
  <si>
    <t>Risk Manager Review Questions</t>
  </si>
  <si>
    <t>Risk Manager Quantitative Model Notes</t>
  </si>
  <si>
    <t>Retired Risk Notes 
Date, Risks Realized, etc…</t>
  </si>
  <si>
    <t>Impact</t>
  </si>
  <si>
    <t>Pre-Mitigation</t>
  </si>
  <si>
    <t>Post-Mitigation</t>
  </si>
  <si>
    <t>Expected Value
($K)</t>
  </si>
  <si>
    <t>Average Expected Value
($K)</t>
  </si>
  <si>
    <t xml:space="preserve"> Risk Burndown Notes</t>
  </si>
  <si>
    <t>Burndown Start Year (YY)</t>
  </si>
  <si>
    <t>Retired Risks</t>
  </si>
  <si>
    <t>Management Assessment: Overall Impact
(Over-Ride)</t>
  </si>
  <si>
    <t>Matrix Code
Likelihood</t>
  </si>
  <si>
    <t>Matrix Code
Severity</t>
  </si>
  <si>
    <t>Severity of Impact
----------------------
Probability</t>
  </si>
  <si>
    <t>Very Likely</t>
  </si>
  <si>
    <t>Possible</t>
  </si>
  <si>
    <t>Unlikely</t>
  </si>
  <si>
    <t>Rare</t>
  </si>
  <si>
    <t xml:space="preserve">Expected Value Total: </t>
  </si>
  <si>
    <t xml:space="preserve">Averate Expected Value Total: </t>
  </si>
  <si>
    <t>BNL</t>
  </si>
  <si>
    <t>Management</t>
  </si>
  <si>
    <t>Ed O'Brien</t>
  </si>
  <si>
    <t>Departure of Key Personnel</t>
  </si>
  <si>
    <t>Safety incident</t>
  </si>
  <si>
    <t>If someone critical to the Project informs of his intention to leave sPHENIX, then a replacement needs to be found.</t>
  </si>
  <si>
    <t>Carefully plan all work in accordance with BNL SBMS. Include safety reviews and safety review recommendations implementation in sPHENIX resource loaded schedule.</t>
  </si>
  <si>
    <t>Funding profile stretches</t>
  </si>
  <si>
    <t>University Contributed Labor for sPHENIX</t>
  </si>
  <si>
    <t>Informing DOE-ONP about scale and duration of efforts planned by all the various universities on sPHENIX. Recruitment of other sPHENIX collaborating institutions if a given University cannot continue. Maintain contact with other NP/HEP groups capable of such work if a paid contract must be placed.  Cost and schedule impacts will be reduced as individual work activities are completed.</t>
  </si>
  <si>
    <t>Work closely with the funding agency so any funding profile changes can be evaluated as early as possible and sPHENIX Project schedule optimally adjusted to match the new funding profile. Since the Project is internally funded through redirect, the mitigation also comes through good communication within BNL management to ensure success.</t>
  </si>
  <si>
    <t>Closely work with sPHENIX collaboration and BNL management to identify and hire a replacement.</t>
  </si>
  <si>
    <t>T: Funds not available on time</t>
  </si>
  <si>
    <t>T: Loss of a University contributing labor to the sPHENIX project</t>
  </si>
  <si>
    <t>Infrastructure support delayed</t>
  </si>
  <si>
    <t>If an Infrastructure/Installation Milestone is delayed, then Project activities dependent on Infrastructure milestone are delayed</t>
  </si>
  <si>
    <t>If Planned Early Completion moves out past Baseline Early Completion milestone, then Project L1 Milestone 'Early Project Completion' is not achieved</t>
  </si>
  <si>
    <t>Schedule Delay</t>
  </si>
  <si>
    <t>Performance failure of v2 prototype</t>
  </si>
  <si>
    <t>sPH_TPC_001</t>
  </si>
  <si>
    <t>TPC</t>
  </si>
  <si>
    <t>Tom Hemmick</t>
  </si>
  <si>
    <t>sPH_TPC_002</t>
  </si>
  <si>
    <t>If the v2 prototype fails, then there will need to be a v3 prototype added to the cycle.</t>
  </si>
  <si>
    <t>Cost savings due to skipping the v2 step. No schedule impact since the v2 field cage is not on the critical path.</t>
  </si>
  <si>
    <t>Success of v1 field cage prototype</t>
  </si>
  <si>
    <t>sPH_TPC_003</t>
  </si>
  <si>
    <t>sPH_TPC_004</t>
  </si>
  <si>
    <t>Failure or delay of CERN production</t>
  </si>
  <si>
    <t>If factories wait upon GEM foil delivery and suffer schedule shifts, then the factory production of modules is critical path and will directly affect schedule.</t>
  </si>
  <si>
    <t>SAMPA Chip 80 nsec development</t>
  </si>
  <si>
    <t>If SAMPA chip modification to include 80 nsec option (by eliminating 320 nsec option) fails to work effectively, then the TPC will have to default to using the 160 nsec option which may effect rate capability, but not affect performance of the TPC using moderate rates.</t>
  </si>
  <si>
    <t>Wayne State Students Unavailable (R1 Modules)</t>
  </si>
  <si>
    <t>sPH_TPC_005</t>
  </si>
  <si>
    <t>sPH_TPC_006</t>
  </si>
  <si>
    <t>Vanderbilt Students Unavailable (R2 Modules)</t>
  </si>
  <si>
    <t>sPH_TPC_007</t>
  </si>
  <si>
    <t>sPH_TPC_008</t>
  </si>
  <si>
    <t>Temple Students Unavailable (R3a Modules)</t>
  </si>
  <si>
    <t>Weizmann Students Unavailable (R3b Modules)</t>
  </si>
  <si>
    <t>If student labor unavailable at Weizmann University GEM factory, then this factory would need 1 technician for the 6 month duration of the module production.</t>
  </si>
  <si>
    <t>If student labor unavailable at Temple University GEM factory, then this factory would need 1 technician for the 6 month duration of the module production.</t>
  </si>
  <si>
    <t>If student labor unavailable at Vanderbilt University GEM factory, then this factory would need 1 technician for the 6 month duration of the module production.</t>
  </si>
  <si>
    <t>If student labor unavailable at  Wayne State University GEM factory, then this factory would need 1 technician for the 6 month duration of the module production.</t>
  </si>
  <si>
    <t>SUNY Stony Brook Staff and/or Students Not Available (TPC)</t>
  </si>
  <si>
    <t>sPH_TPC_009</t>
  </si>
  <si>
    <t>If detector-scientist, engineering and/or student labor unavailable to prepare prototype and production TPC field cage, TPC mechanics, HV and gas system and to contribute to TPC laser and DAM, and to perform final TPC assembly and testing, then new staff would need to be hired at SUNY Stony Brook, leading to schedule delay, or a technician would have to be hired to replace student labor, leading to cost and schedule delay.</t>
  </si>
  <si>
    <t>Currency fluctuation on TPC GEMs contract with CERN</t>
  </si>
  <si>
    <t>If US to Swiss Franc exchange rate goes up, then cost to produce TPC GEMs at CERN goes up.</t>
  </si>
  <si>
    <t>sPH_TPC_010</t>
  </si>
  <si>
    <t>sPH_EMCal_001</t>
  </si>
  <si>
    <t>sPH_EMCal_002</t>
  </si>
  <si>
    <t>sPH_EMCal_003</t>
  </si>
  <si>
    <t>EMCal</t>
  </si>
  <si>
    <t>Craig Woody</t>
  </si>
  <si>
    <t xml:space="preserve">RLS activity or next WBS </t>
  </si>
  <si>
    <t>Loss of SciFi supplier</t>
  </si>
  <si>
    <t>Loss of primary production site for blocks (University of Illinois Urbana Champaign)</t>
  </si>
  <si>
    <t>sPH_EMCal_004</t>
  </si>
  <si>
    <t>sPH_EMCal_005</t>
  </si>
  <si>
    <t>sPH_EMCal_006</t>
  </si>
  <si>
    <t>Delay of EMCal block production at UIUC due to component supplies or technical issues</t>
  </si>
  <si>
    <t>Delay of EMCal module production or sector assembly rate due to component supplies or technical issues</t>
  </si>
  <si>
    <t>Loss of scintillating tile provider (Uniplast)</t>
  </si>
  <si>
    <t>EMCal Preproduction sectors do not meet production specs</t>
  </si>
  <si>
    <t>sPH_EMCal_007</t>
  </si>
  <si>
    <t>sPH_EMCal_008</t>
  </si>
  <si>
    <t>Loss of Epoxy supplier</t>
  </si>
  <si>
    <t>sPH_HCal_001</t>
  </si>
  <si>
    <t>John Lajoie</t>
  </si>
  <si>
    <t>If Uniplast is unable to engage in or complete the production contract, then schedule delay in the procurement of the scintillating tiles, along with correspond delays in inner and outer HCAL assembly.</t>
  </si>
  <si>
    <t>Some pre-production scintillating tiles do not meet production specifications.</t>
  </si>
  <si>
    <t>HCal</t>
  </si>
  <si>
    <t>sPH_HCal_002</t>
  </si>
  <si>
    <t>If testing of pre-production outer HCAL scintillating tiles indicates that some fraction do not meet specifications, then then this may cause a delay in the full production to make up the loss.</t>
  </si>
  <si>
    <t>sPH_CalEl_001</t>
  </si>
  <si>
    <t>CalEl</t>
  </si>
  <si>
    <t>Eric Mannel</t>
  </si>
  <si>
    <t>sPH_CalEl_002</t>
  </si>
  <si>
    <t>sPH_CalEl_003</t>
  </si>
  <si>
    <t>sPH_CalEl_004</t>
  </si>
  <si>
    <t>sPH_CalEl_005</t>
  </si>
  <si>
    <t>sPH_CalEl_006</t>
  </si>
  <si>
    <t>sPH_CalEl_007</t>
  </si>
  <si>
    <t>If student labor unavailable for SiPM testing and/or Calorimeter FEE board testing, then</t>
  </si>
  <si>
    <t>If SiPM Delivery not placed on schedule, vendor delay, or collab. institution unable to meet production schedule, then  there will be a delay in assembly of HCal and EMCal SiPM daughter boards and a potential delay in HCal and EMCal module assembly.</t>
  </si>
  <si>
    <t>Delay in SiPM Delivery</t>
  </si>
  <si>
    <t>Delay in testing of SiPMs</t>
  </si>
  <si>
    <t>Delay in Assembly of HCal Daughter boards, Preamps, Interface boards, LED Drivers</t>
  </si>
  <si>
    <t>Delay in assembly of EMCal Daughter boards, Preamps or Interface boards</t>
  </si>
  <si>
    <t>Foreign Procurement of SiPMs</t>
  </si>
  <si>
    <t>Hamamatsu declines to bid/Alternative vendor</t>
  </si>
  <si>
    <t>U. Michigan Staff and/or Students Unavailable (Cal FEE/SiPM)</t>
  </si>
  <si>
    <t>If Procurement of components for EMCal and issuing of orders are late, then this will delay EMCal module assembly and testing</t>
  </si>
  <si>
    <t>If Procurement of components for HCal and issuing of orders are late, then this will delay HCal module assembly and testing</t>
  </si>
  <si>
    <t>If Change in procurement costs/delivery schedule, then SiPM procurement cost goes up.</t>
  </si>
  <si>
    <t>DAQ Prototype does not meet specifications</t>
  </si>
  <si>
    <t>Global Lvl1 expert not available</t>
  </si>
  <si>
    <t>Timing System technology still not finalized</t>
  </si>
  <si>
    <t>Local LVL1 implementation runs into obstacles</t>
  </si>
  <si>
    <t>TPC produces higher data rate than we can store</t>
  </si>
  <si>
    <t>U Colorado Staff and/or Students unavailable (LL1 Trigger)</t>
  </si>
  <si>
    <t>If tests with the various prototype stages reveal problems, then DAQ prototype throughput and performance is below specifications</t>
  </si>
  <si>
    <t>If legacy systems using the obsolete GLink protocol need to be changed, then conversion/adaptation from GLINK problematic, or envisioned replacement board cannot be used</t>
  </si>
  <si>
    <t>If simulations reveal the failure of an envisioned algorithm, then performance of LLVL1 algorithms inadequate. Trigger latency too high.</t>
  </si>
  <si>
    <t>If the TPC or other subsystem cannot meet the envisioned data reduction specifications, then data volume, especially from the TPC, is too high</t>
  </si>
  <si>
    <t>If engineering labor unavailable to write and test trigger firmware and/or assemble and test LL1 trigger system, then new professional staff would need to be hired at U. Colorado, leading to schedule delay, or an outside professional would have to be hired by U. Colorado to complete the work on time, leading to cost and schedule impact</t>
  </si>
  <si>
    <t>DAQ&amp;Trigger</t>
  </si>
  <si>
    <t>Martin Purschke</t>
  </si>
  <si>
    <t>sPH_DAQ&amp;Tr_001</t>
  </si>
  <si>
    <t>sPH_DAQ&amp;Tr_002</t>
  </si>
  <si>
    <t>sPH_DAQ&amp;Tr_003</t>
  </si>
  <si>
    <t>sPH_DAQ&amp;Tr_004</t>
  </si>
  <si>
    <t>sPH_DAQ&amp;Tr_005</t>
  </si>
  <si>
    <t>sPH_DAQ&amp;Tr_006</t>
  </si>
  <si>
    <t>CA-D engineers are not available for timely design efforts</t>
  </si>
  <si>
    <t>Infrastructure</t>
  </si>
  <si>
    <t>sPH_Infrastructure_01</t>
  </si>
  <si>
    <t>sPH_Infrastructure_02</t>
  </si>
  <si>
    <t>sPH_Integration_Installation_01</t>
  </si>
  <si>
    <t>sPH_Integration_Installation_02</t>
  </si>
  <si>
    <t>Subsystem not ready for installation</t>
  </si>
  <si>
    <t>Labor not available for installation</t>
  </si>
  <si>
    <t>If CA-D engineers are not available for timely design efforts, then there would be cascading delays to production, assembly and installation</t>
  </si>
  <si>
    <t>Cradle and/or Pole Tips Fabrication delayed</t>
  </si>
  <si>
    <t>If fabrication is delayed, then Cradle and/or Pole Tips are not available on time to commence assembly and installation</t>
  </si>
  <si>
    <t>If a subsystem on a Critical Path is not delivered on time for scheduled installation, then there will be delays in construction/installation of sPHENIX</t>
  </si>
  <si>
    <t>If Labor is not available for timely installation, then there will be delays in construction/installation of sPHENIX</t>
  </si>
  <si>
    <t>Reserve contingency throughout project for covering schedule delay.</t>
  </si>
  <si>
    <t>Develop a detailed resource loaded schedule with key milestones for Infrastructure support and closely monitor this schedule for risk triggers.</t>
  </si>
  <si>
    <t>We will add a design cycle of a smaller device than the full sized field cage if the v1 prototype fails. We will proceed on v2 only after success of the small version.</t>
  </si>
  <si>
    <t>This is an opportunity so no mitigation is required.</t>
  </si>
  <si>
    <t>We will monitor carefully the success of CERN foil production and will hire a technician who will exclusively work on producing GEM foils for our Project. If delays still occur, we will seek a second vendor.</t>
  </si>
  <si>
    <t>An additional design cycle shall be added.</t>
  </si>
  <si>
    <t>Accept this risk since nothing can be done to mitigate it.</t>
  </si>
  <si>
    <t>Identify activities with student labor 3 month before start to make sure students are available and committed to finish their work. Identify potential technician to hire if student labor becomes unavailable.</t>
  </si>
  <si>
    <t>SUNY Stony Brook recruitment of professional and student staff as part of ongoing contract. Maintain contact with other NP/HEP groups with appropriately-skilled detector-scientists. Maintain contact with technicians if one must be hired on short notice to hold schedule in absence of students.  Cost and schedule impacts will be reduced as individual work activities are completed.</t>
  </si>
  <si>
    <t xml:space="preserve">If there is a failure of the primary supplier of W powder (Tungsten Heavy Powder) to sign a contract and deliver the powder for the final block production at an affordable price, then </t>
  </si>
  <si>
    <t>We have identified another supplier (Starck) that we feel can deliver powder that can meet our specs at roughly 2/3 the THP price. Preliminary tests of samples of their powder appear to have adequate density. Further tests are being planned to build and test a number blocks (~10) using their powder and measure their performance.</t>
  </si>
  <si>
    <t>There are only two vendors capable of supplying fibers that will meet our specs, Saint-Gobain and Kuraray. We have built and tested blocks made with fibers from both vendors. If the Saint-Gobain cannot deliver the fiber for the price they quoted and on the time scale we require, we would have to purchase the fiber from Kuraray and pay the higher price. The production of sectors 0-12 will test whether Saint-Gobain can deliver the fiber on time and within budget.</t>
  </si>
  <si>
    <t>Several Chinese institutions have recently joined sPHENIX which have expressed interest in contributing to the EMCAL project and have the capability to produce the blocks. There will be a meeting in China in April 2018 to discuss this.</t>
  </si>
  <si>
    <t>Add shifts or additional production when supplies are available or technical issues are resolved. Schedule early purchase &amp; delivery of W powder, fibers, screens, epoxy . Monthly labor rate at UIUC is $7500/sector.</t>
  </si>
  <si>
    <t>Add shifts or additional production when supplies are available or technical issues are resolved. Store partially assembled sectors until they can be completed. Use planned sector storage time as float. Rate for hiring a job shopper is ~$30/hour. However, If we cannot find all the primary labor for the module and sector factories from the BNL labor pool, we would need to hire new technicians for roughly one year. This would be result in an additional cost of ~ $100K/technician/year.</t>
  </si>
  <si>
    <t>It is likely that during the assembly of the first sectors we will need to tune and modify our fixtures and procedures. By pre-assembling, before epoxying parts together we can minimize any irreversible errors. Some re-working and testing will likely be required as part of the production. If additional blocks are needed, they can be added to the end of the block production run.</t>
  </si>
  <si>
    <t>Add an additional UIUC TECH3 to the fiber filling team (205h x $76/h x .75 = $24k) and to the block production team(50h/sector x 51 sectors x $76/h x 0.75 = $145k</t>
  </si>
  <si>
    <t>An alternative epoxy would need to be tested to be sure that it infuses the tungsten powder and doesn't affect the fiber light output. $6k for 1 week of technician time plus cost of epoxy samples and test materials.</t>
  </si>
  <si>
    <t>If current vendor stops producing the epoxy we have chosen, or we lose the manufacturer/vendor, or experience delivery delays, then we would have to find an alternative product, either from the same manufacturer or from another manufacturer, resulting in a schedule delay.</t>
  </si>
  <si>
    <t>If EMCal Block production is not on schedule, then there will be a delay in EMCal schedule and increased cost.</t>
  </si>
  <si>
    <t>If Preproduction EMCal sectors fail testing, then EMCal Sector components need replacements or/and assembly steps need rework.</t>
  </si>
  <si>
    <t>If EMCal module production/assembly rate is not on schedule, then there will be a delay in EMCal schedule.</t>
  </si>
  <si>
    <t>If EMCal Block production rate is not on schedule, then there will be a delay in EMCal schedule.</t>
  </si>
  <si>
    <t>If UIUC decides to not fabricate the absorber blocks, then there will be a delay in EMCal schedule and a significant increase in labor resources required to build the blocks at BNL or another collaborating institution, unless the outside institution provides the labor as an in-kind contribution to sPHENIX.</t>
  </si>
  <si>
    <t>If there is a failure of fiber vendor to sign a contract or deliver fiber on time, then that will cause a delay in the schedule and result in higher cost for the fiber</t>
  </si>
  <si>
    <t>sPH_HCal_003</t>
  </si>
  <si>
    <t>Explore alternate scintillator vendors (FNAL, Eljen). Detailed risk analysis here: https://docdb.sphenix.bnl.gov/cgi-bin/private/ShowDocument?docid=111</t>
  </si>
  <si>
    <t>Test scintillating tiles at supplier as part of production, and again upon receipt at BNL. This will catch any problems as quickly as possible so they can be remediated quickly as part of the pre-production.</t>
  </si>
  <si>
    <t>Prioritize Physics goals to decide which triggers to run or procure more hardware</t>
  </si>
  <si>
    <t>U. Colorado recruitment of engineering and postdoctoral staff as part of ongoing contract. Maintain contact with other NP/HEP groups capable of such work if a paid contract must be placed.  Cost and schedule impacts will be reduced as individual work activities are completed.</t>
  </si>
  <si>
    <t>Invest in more local storage, change compression algorithms</t>
  </si>
  <si>
    <t>Select different card, identify a different BNL engineer</t>
  </si>
  <si>
    <t>Meet with experts to down select technology; select different card and/or re-engineer fiber interface</t>
  </si>
  <si>
    <t>T: Someone critical to the Project informs of his intention to leave sPHENIX
Dec 2018 Don Lynch retires
Jan 2019 Paul Giannotti retires</t>
  </si>
  <si>
    <t xml:space="preserve">T: Safety incident resulting in serious injury and 'Stop Work' protocol occurs at BNL
</t>
  </si>
  <si>
    <t>S195200</t>
  </si>
  <si>
    <t>If OPC SiPM order is not placed on schedule or vendor is unable to meet production schedule, then there will be a delay in assembly of HCal and EMCal SiPM daughter boards and a potential delay in HCal and EMCal module assembly.</t>
  </si>
  <si>
    <t>If TEC SiPM order is not placed on schedule or vendor is unable to meet production schedule, then there will be a delay in assembly of HCal and EMCal SiPM daughter boards and a potential delay in HCal and EMCal module assembly.</t>
  </si>
  <si>
    <t>sPH_CalEl_001_a</t>
  </si>
  <si>
    <t>Acquire more or more expensive PCs</t>
  </si>
  <si>
    <t>S258900</t>
  </si>
  <si>
    <t>sPH_HCal_004</t>
  </si>
  <si>
    <t>We assume that there is a 10% chance of a month delay beyond 'Early Project Completion' milestone. The probability went down from 30% because of the project's success with prototypes.  In case of such a delay we estimate the 'standing army' cost for the BNL contributed labor and supplies is 25, 872 per month. Estimated Resources: Scientist Managing 50%</t>
  </si>
  <si>
    <t>S101022</t>
  </si>
  <si>
    <t>Low cost, schedule impact:
Very minor error was found for the full SAMPA chip. In this
case, the design change can be done in 1-week or so.
Mandatory time for design adjustment in negotiation with
the chip company is estimated as 1 month, followed by
the chip production time of 3-months. $125K for chip
production and $22K for 1-month design workforce
 Activities to be recycled:
S139600 (1 month out of this)
S140200,S140300,S140400 ($125K out of this) 
Likely cost, schedule impact:
Some minor errors were found for the full SAMPA chip.
In this case, the design change may take 1-month.
Mandatory time for design adjustment in negotiation with
the chip company is estimated as 1 month, followed by
the chip production time of 3-months. $125K for chip
production and $45K for 2-month design workforce.
  Activities to be recycled:
S138900 (1 month out of this)
S139600 (1 month out of this)
S140200,S140300,S140400 ($125K out of this)
High cost, schedule impact:
Major issues were found already at prototype chip which is
before the full SAMPA chip. In this case, we should try to
find the solution to the issues by prototype test (additional
1-month), implement in the full SAMPA chip design and go
for the full SAMPA chip production. If the full SAMPA chip
was not successful, we have to go for another thorough design cycle (2-month).
Mandatory time for design adjustment in negotiation with
the chip company is estimated as 1 month, followed by
the chip production time of 3-months. $125K for chip
production and $90K for 4-month design workforce.
Activities to be recycled:
S138600 (1 month out of this)
S138900 (2 month out of this)
S139600 (1 month out of this)
S140200,S140300,S140400 ($125K out of this)</t>
  </si>
  <si>
    <t>Retired on Jan 31 2019
Risk did not realize.
Contract placed Sep 18  2018 (PO  )</t>
  </si>
  <si>
    <t>Best: ISU takes over
Likely: add new OHCal University
Worst: absorb the effort into BNL. 1300 h from Student to TECH3 PO M</t>
  </si>
  <si>
    <t>Best: move effort to another 'TPC' University
Likely: add new University to the TPC group
Worst: absorb the effort into BNL. 160 h from student to TECH3 PO M (4.7 stud/day)</t>
  </si>
  <si>
    <t>sPH_EMCal_009</t>
  </si>
  <si>
    <t xml:space="preserve">Best: move effort to another University
Likely: add new University
Worst: absorb the effort into BNL. 135h*52  to TECH3 PO M (includes escalation) </t>
  </si>
  <si>
    <t>sPH_EMCal_010</t>
  </si>
  <si>
    <t>Best: move effort to another University
Likely: add new University
Worst: absorb the effort into BNL. 15,333 h to TECH3 PO M (includes escalation)</t>
  </si>
  <si>
    <t>If UIUC students are not available for fiber assemblies, then there will be a delay in EMCal schedule and increased cost.</t>
  </si>
  <si>
    <t>If UIUC students are not available for block fabrication, then there will be a delay in EMCal schedule and increased cost.</t>
  </si>
  <si>
    <t>Schedule delay will not have a cost impact because the project has 14 mo of float.</t>
  </si>
  <si>
    <t>Best case: move effort to another University,
Likely: add new University.
Worst: absorb the effort into BNL: 15,333 h to TECH3 PO M (includes escalation)</t>
  </si>
  <si>
    <t>sPH_EMCal_011</t>
  </si>
  <si>
    <t>If UIUC students are not available for sector assembly, then there will be a delay in EMCal schedule and increased cost.</t>
  </si>
  <si>
    <t>112100</t>
  </si>
  <si>
    <t>If student labor is unavailable for HCal scintillating tile or HCal sector assembly and testing, then a technician would need to be hired to replace students.</t>
  </si>
  <si>
    <t>139000</t>
  </si>
  <si>
    <t>125500</t>
  </si>
  <si>
    <t>129500</t>
  </si>
  <si>
    <t>133700</t>
  </si>
  <si>
    <t>134000</t>
  </si>
  <si>
    <t>112900</t>
  </si>
  <si>
    <t>208100</t>
  </si>
  <si>
    <t>208400</t>
  </si>
  <si>
    <t>210000</t>
  </si>
  <si>
    <t>178100</t>
  </si>
  <si>
    <t>196500</t>
  </si>
  <si>
    <t>174700</t>
  </si>
  <si>
    <t>101022</t>
  </si>
  <si>
    <t>101010</t>
  </si>
  <si>
    <t>230200</t>
  </si>
  <si>
    <t>If funds are not available on time then procurements will be delayed, resulting in schedule delays and possibly cost increase.</t>
  </si>
  <si>
    <t>If safety incident resulting in serious injury and 'Stop Work' protocol initiated at BNL happens, then schedule delay may occur.</t>
  </si>
  <si>
    <t>Details documented here:
 https://docdb.sphenix.bnl.gov/cgi-bin/private/ShowDocument?docid=111</t>
  </si>
  <si>
    <t>Mar 12 2019: Residual risk probability reduced from 10% to 7% on the basis of placing a contract at GSU.</t>
  </si>
  <si>
    <t>Get a list of students in late Spring 2020</t>
  </si>
  <si>
    <t>Get a list of students in Summer 2019.</t>
  </si>
  <si>
    <t>Get a list of students in late Spring 2019</t>
  </si>
  <si>
    <t>Get a list of students in February 2020</t>
  </si>
  <si>
    <t>If sPHENIX loses University contributing labor, then there will be a loss of progress on the specific detector to which the university was contributing labor and need to replace this effort either by recruiting another university to the tasks or hiring the needed skill sets.</t>
  </si>
  <si>
    <t xml:space="preserve">UIUC students not available for EMCal Fiber Assemblies
</t>
  </si>
  <si>
    <t>Get a list of participating students from collaboration institutions at least 3 months before activity begins.</t>
  </si>
  <si>
    <t xml:space="preserve">UIUC students not available for EMCal Final Block Fabrication 
</t>
  </si>
  <si>
    <t>Georgia State U Staff and/or Students Not Available for HCal scin. tiles testing</t>
  </si>
  <si>
    <t>Georgia State U Staff and/or Students Not Available for HCal sector assembly and testing</t>
  </si>
  <si>
    <t>Integration Installation</t>
  </si>
  <si>
    <t>Get a list of Wayne State students in December 2019</t>
  </si>
  <si>
    <t>Get a list of Vanderbilt students in December 2019</t>
  </si>
  <si>
    <t>Get a list of Temple students in December 2019</t>
  </si>
  <si>
    <t>Get a list of Weizmann students in December 2019</t>
  </si>
  <si>
    <t>Get a list of Stony Brook students in December 2019</t>
  </si>
  <si>
    <t xml:space="preserve">Retired on Feb 20 2019. Successful preproduction contract and more than one supplier identified. </t>
  </si>
  <si>
    <t>Retired Jan 31 2019. Nine new risks (one per each participating University) replace this one.
CAMs will own the respective University labor related risks.</t>
  </si>
  <si>
    <t>Retired Jan 31 2019. sPHENIX MIE does not include installation, so the installation-related risks will be tracked in sPHENIX Support.</t>
  </si>
  <si>
    <t xml:space="preserve">Retired Jan 31 2019. This risk is retired since Field Cage v2 prototype production is in the RLS. </t>
  </si>
  <si>
    <t>MinBias</t>
  </si>
  <si>
    <t>Mickey Chiu</t>
  </si>
  <si>
    <t>Failure of D/S Board Prototype</t>
  </si>
  <si>
    <t>If the D/S Board does not meet specifications, then we need to redesign to more conservative design</t>
  </si>
  <si>
    <t>Nevis Labor not available</t>
  </si>
  <si>
    <t>If Nevis labor is not available, then there will be schedule delays.</t>
  </si>
  <si>
    <t>After PD-2 approval monitor cost contingency using the baseline change control and schedule contingency using the RLS in P6. Reassess residual risk parameters monthly and approve any changes by the RMB.</t>
  </si>
  <si>
    <t>Impact estimates were approved on Jan 31 2019 based on most recent project experience with fillig out vacancies. Cost impact is considered zero because of the savings during personnel replacement search.</t>
  </si>
  <si>
    <t xml:space="preserve">Cost Impact was assessed for FY20 and FY21 spend profile (using the preliminary baseline), assuming one (likely) or two (worst) quarter funding delay. Further assumption was that delayed procurements would result in 10% cost increase.   </t>
  </si>
  <si>
    <t>Loss of Students for Sector testing</t>
  </si>
  <si>
    <t>sPH_SC_Magnet_001</t>
  </si>
  <si>
    <t>SC Magnet</t>
  </si>
  <si>
    <t>Roberto Than</t>
  </si>
  <si>
    <t>Delay in sPHENIX support platform construction</t>
  </si>
  <si>
    <t>If a delay in sPHENIX support platform construction occurs, then the installation of cryogenic components on platform can't start</t>
  </si>
  <si>
    <t>Monitor platform construction and see if some construction can begin without platform</t>
  </si>
  <si>
    <t>sPH_SC_Magnet_002</t>
  </si>
  <si>
    <t>Magnet temperature sensors too far to read</t>
  </si>
  <si>
    <t>If one is unable to read existing magnet temperature sensors in the service building over 400 feet away, then the sensors are not read or monitored by the cryogenic control system</t>
  </si>
  <si>
    <t>An instrumentation rack will need to be added to the sPHENIX platform to read the sensors. Alternatively, different equipment may be needed with added cost.</t>
  </si>
  <si>
    <t>Retired Apr 3 2019.</t>
  </si>
  <si>
    <t>Jan 17 2019: prob. went from 55% to 10%. Justification: We have obtained one original CLTS （Cryogenic Linear Temperature Sensor) from BaBar/Ansaldo card which changed resistance to 4 to 20 mA.  We have tested it and it worked.  We have then made copies of this card for as many channels as we need.</t>
  </si>
  <si>
    <t>Retired Dec 17 2018. Full simulations of all trigger algorithms are now complete.    Specific implementations in the firmware and latencies need to be measured.   There are two rounds of prototype modules and firmware in the P6 schedule including specifically called out reviews after each stage.    Handling any timing and algorithm issues is already accounted for in the official schedule. </t>
  </si>
  <si>
    <t>Retired Dec 17 2018. Engineering for board design and initial firmware is handled at Nevis Laboratories.   For longer term maintenance and algorithm updates in firmware, the U. Colorado group will have postdoctoral research scientists and graduate students for the task.    The schedule includes time for transitioning between such scientists and students, and faculty at the U. Colorado will provide necessary continuity.</t>
  </si>
  <si>
    <t>Retired on Mar 22 2019.</t>
  </si>
  <si>
    <t>Carriage and Structural Components</t>
  </si>
  <si>
    <t>J. Mills</t>
  </si>
  <si>
    <t>If raw steel prices rise due to market changes then the budget for this subsystem will need to go up.</t>
  </si>
  <si>
    <t>Closely monitoring market trends in hopes of anticipating any major changes.  May procure components earlier if possible.</t>
  </si>
  <si>
    <t>Existing Detector Support Rails Require Replacement</t>
  </si>
  <si>
    <t>If the support rails are deemed unacceptable then the rails will need full replacement increasing this subsystem cost.</t>
  </si>
  <si>
    <t>Will need to replace rails.</t>
  </si>
  <si>
    <t>sPH_Carriage_Cradle_001</t>
  </si>
  <si>
    <t>sPH_Carriage_Cradle_002</t>
  </si>
  <si>
    <t>Steel Prices rise beyond EU</t>
  </si>
  <si>
    <t>Retired Dec 17 2018. We have already procured the GL1 and GTM units that we believe are the final ones.</t>
  </si>
  <si>
    <t>Retired Jan 31 2019. Risk did not realize. The design is ready.</t>
  </si>
  <si>
    <t>Residual Total</t>
  </si>
  <si>
    <t>Best case: encasing existing rails in concrete.
Likely: using available solid plates and machining them.
Worst: fully replacing tracks and support beams.</t>
  </si>
  <si>
    <t>Retired Mar 28 2019. Risk did not realize. The support platform is in a different WBS and therefore the schedule will be monitored by a different L2 manager.</t>
  </si>
  <si>
    <t>Retired Mar 28 2019.  Justification: We have obtained one original CLTS （Cryogenic Linear Temperature Sensor) from BaBar/Ansaldo card which changed resistance to 4 to 20 mA.  We have tested it and it worked.  We have then made copies of this card for as many channels as we need.</t>
  </si>
  <si>
    <t>sPH_CalEl_008</t>
  </si>
  <si>
    <t>1.05.02.02</t>
  </si>
  <si>
    <t>EMCal electronics component prices go up</t>
  </si>
  <si>
    <t>sPH_CalEl_009</t>
  </si>
  <si>
    <t>sPH_CalEl_010</t>
  </si>
  <si>
    <t>1.05.02.04</t>
  </si>
  <si>
    <t>EMCal electronics components procurement is late</t>
  </si>
  <si>
    <t>HCal electronics component prices go up</t>
  </si>
  <si>
    <t>sPH_CalEl_011</t>
  </si>
  <si>
    <t>sPH_CalEl_012</t>
  </si>
  <si>
    <t>sPH_CalEl_013</t>
  </si>
  <si>
    <t>Digitizer component prices go up</t>
  </si>
  <si>
    <t>Digitizer components procurement is late</t>
  </si>
  <si>
    <t>sPH_SC_Magnet_003</t>
  </si>
  <si>
    <t>sPH_SC_Magnet_004</t>
  </si>
  <si>
    <t>Major Vendor Failure</t>
  </si>
  <si>
    <t>1.06.02.04</t>
  </si>
  <si>
    <t>sPH_Infrastructure</t>
  </si>
  <si>
    <t>R. Pisani/J. Mills</t>
  </si>
  <si>
    <t>Failure of a major piece of facility equipment</t>
  </si>
  <si>
    <t>If there is a single component failure then replacement or repair of component will be necessary.</t>
  </si>
  <si>
    <t>Vendor Delay in fabrication (Cryogenic )</t>
  </si>
  <si>
    <t>Parts availability or fabrication (Quench Detector)</t>
  </si>
  <si>
    <t>Carl Schultheiss</t>
  </si>
  <si>
    <t>Key</t>
  </si>
  <si>
    <t>B</t>
  </si>
  <si>
    <t>C</t>
  </si>
  <si>
    <t>M</t>
  </si>
  <si>
    <t>N</t>
  </si>
  <si>
    <t>T</t>
  </si>
  <si>
    <t>E</t>
  </si>
  <si>
    <t>I</t>
  </si>
  <si>
    <t>U</t>
  </si>
  <si>
    <t>S</t>
  </si>
  <si>
    <t>L</t>
  </si>
  <si>
    <t>H</t>
  </si>
  <si>
    <t>D</t>
  </si>
  <si>
    <t>F</t>
  </si>
  <si>
    <t>G</t>
  </si>
  <si>
    <t>J</t>
  </si>
  <si>
    <t>K</t>
  </si>
  <si>
    <t>O</t>
  </si>
  <si>
    <t>P</t>
  </si>
  <si>
    <t>Q</t>
  </si>
  <si>
    <t>R</t>
  </si>
  <si>
    <t>V</t>
  </si>
  <si>
    <t>X</t>
  </si>
  <si>
    <t>Y</t>
  </si>
  <si>
    <t>Z</t>
  </si>
  <si>
    <t>AA</t>
  </si>
  <si>
    <t>AB</t>
  </si>
  <si>
    <t>AC</t>
  </si>
  <si>
    <t>AD</t>
  </si>
  <si>
    <t>AE</t>
  </si>
  <si>
    <t>AF</t>
  </si>
  <si>
    <t>AG</t>
  </si>
  <si>
    <t>AH</t>
  </si>
  <si>
    <t>AI</t>
  </si>
  <si>
    <t>AJ</t>
  </si>
  <si>
    <t>AK</t>
  </si>
  <si>
    <t>AL</t>
  </si>
  <si>
    <t>AM</t>
  </si>
  <si>
    <t>AN</t>
  </si>
  <si>
    <t>AO</t>
  </si>
  <si>
    <t>AP</t>
  </si>
  <si>
    <t>AQ</t>
  </si>
  <si>
    <t>AR</t>
  </si>
  <si>
    <t>AT</t>
  </si>
  <si>
    <t>AS</t>
  </si>
  <si>
    <t>AU</t>
  </si>
  <si>
    <t>AV</t>
  </si>
  <si>
    <t>W</t>
  </si>
  <si>
    <t>AW</t>
  </si>
  <si>
    <t>Col</t>
  </si>
  <si>
    <t>Field</t>
  </si>
  <si>
    <t>Risks!</t>
  </si>
  <si>
    <t xml:space="preserve">Item - </t>
  </si>
  <si>
    <t>Stave Delivery Delay</t>
  </si>
  <si>
    <t>RU Delivery Delay</t>
  </si>
  <si>
    <t>FELIX delivery Delay</t>
  </si>
  <si>
    <t>Samtec Cable R&amp;D</t>
  </si>
  <si>
    <t>Samtec Cable Delivery</t>
  </si>
  <si>
    <t>Custom Power Cable Unavailable</t>
  </si>
  <si>
    <t>Power System Radiation</t>
  </si>
  <si>
    <t>lower yield in purchased electronics boards</t>
  </si>
  <si>
    <t>Carbon Structure Cost</t>
  </si>
  <si>
    <t>Carbon Structure Delivery Delay</t>
  </si>
  <si>
    <t xml:space="preserve">Spiderwheel Design </t>
  </si>
  <si>
    <t>Inner Support Material</t>
  </si>
  <si>
    <t>Half-Barrel Assembly</t>
  </si>
  <si>
    <t>Installation</t>
  </si>
  <si>
    <t>MVTX</t>
  </si>
  <si>
    <t>M. Liu</t>
  </si>
  <si>
    <t>If RUs not delivered on schedule then commissioning is delayed</t>
  </si>
  <si>
    <t>If FELIX boards not delivered on schedule then commissioning is delayed</t>
  </si>
  <si>
    <t>If 10m 30AWG data cables noise levels too high then Move to 28AWG or higher</t>
  </si>
  <si>
    <t>If cables not delivered on schedule then installation is delayed until cables can be connected at inner patch panel</t>
  </si>
  <si>
    <t>If Unable to procure custom ALICE ITS cable from CERN production then Seek outside vendor</t>
  </si>
  <si>
    <t>If Non rad-hard power supplies not suitable then get more expensive rad-hard CAEN PS</t>
  </si>
  <si>
    <t>If Carbon structure design can't be produced at estimated cost by LBNL then Seek outside vendor</t>
  </si>
  <si>
    <t>If Carbon structure design can't be delivered on schedule by LBNL due to other obligations then Seek outside vendor</t>
  </si>
  <si>
    <t>If Cable routing not possible through spiderwheel structures then Develop strut design or finalize original conical structure with greater cost uncertainty</t>
  </si>
  <si>
    <t>If Simulations indicate aluminum causes too much background then modify design to use carbon fiber where necessary</t>
  </si>
  <si>
    <t>If Damage or other delay in assembly process then installation is delayed</t>
  </si>
  <si>
    <t>If Damage or other delay in installation process then installation and commissioning is delayed</t>
  </si>
  <si>
    <t>If Beampipe aluminum section cannot be extended or welding cannot be done precisely enough to allow clamshell outside of bore then Installation scheme and design must be modified to clamshell within the TPC bore</t>
  </si>
  <si>
    <t>If currency fluctuations add cost to foreign procurements such as CAEN power system then costs will increase</t>
  </si>
  <si>
    <t>Wirebonds not encapsulated</t>
  </si>
  <si>
    <t>3.2.3</t>
  </si>
  <si>
    <t>If Staves not delivered on schedule then assembly delayed</t>
  </si>
  <si>
    <t xml:space="preserve">Currency fluctuations </t>
  </si>
  <si>
    <t>If The estimated effort to fully modify and integrate the control, configuration and readout environments to work in the SPHENIX environment take more effort and possible hardware than anticipated  then possible cost increases if additional hardware is required. Additional effort in the software and firmware adaptation</t>
  </si>
  <si>
    <t>If wire bonds could be damaged by external  contamination or hard object then Broken wire bonds, loss of chips</t>
  </si>
  <si>
    <t>Developed alternate insertion schemes with OSI.  Discuss with C-AD to get advance warning.  Seek quotes for new beampipe.</t>
  </si>
  <si>
    <t>Practice (dry run) installation with dummy or sacrificial parts.  Installation scheme designed with non-administrative device safety in mind. Significant number of spare staves can replace any damaged ones.</t>
  </si>
  <si>
    <t>Most parts of concern are planar and can be produced with CF if necessary.  These elements are a small component of total CF cost.</t>
  </si>
  <si>
    <t>Conical design is essentially complete but would be produced by outside vendors to stay on cost.  Strut design would need further development</t>
  </si>
  <si>
    <t>Producing low-cost prototypes from outside vendors to validate other options</t>
  </si>
  <si>
    <t>Purchase additional radiation hard power modules from CAEN.  Already procured control unit is needed in this scenario.  `Harsh environment' tolerant crate already exists at LANL and can be used.</t>
  </si>
  <si>
    <t>Early R&amp;D, ITS already uses 32 AWG custom cable at 8m.</t>
  </si>
  <si>
    <t xml:space="preserve">Reserve contingency to cover possible fluctuations </t>
  </si>
  <si>
    <t xml:space="preserve">Reserve contingency to cover possible additional boards. early procurement and testing to mitigate schedule impacts. </t>
  </si>
  <si>
    <t>Stay in contact with other vendors.</t>
  </si>
  <si>
    <t>Participate in stave production to be aware of possible delays.  Assembly schedule could be compressed with additional manpower.</t>
  </si>
  <si>
    <t>Large float in schedule before RUs are critical path</t>
  </si>
  <si>
    <t>Large float in schedule before FELIX boards are critical path.</t>
  </si>
  <si>
    <t>Large float in schedule before cabling of assembled detector is critical path</t>
  </si>
  <si>
    <t>Early involvement in ITS cable production to maximize advance notice</t>
  </si>
  <si>
    <t>Retired Risk Notes 
Date, Risks Realized, etc.…</t>
  </si>
  <si>
    <t>Cost and schedule impact are based on the RLS where V2 Field Cage prototype step would be unnecessary in case of V1 success.</t>
  </si>
  <si>
    <t>Retired on Jan 31 2019. Currency fluctuations can go both ways and there is no reason to expect that Swiss franc will go up against the US dollar in near future.</t>
  </si>
  <si>
    <t>CAD to inspect existing hi-risk components planned for use in sPHENIX in FY'19/FY'20.  Maintenance/repair will be performed prior to start of operations/commissioning.</t>
  </si>
  <si>
    <t>If lower yields in the procurement of RDO boards, power boards, Felix boards, etc. can require procurement of additional boards and extend testing then costs will increase, schedule can be impacted as more boards are ordered and tested</t>
  </si>
  <si>
    <t>Personnel trained in ALICE ITS assembly to reduce risk.  Practice assembly with dummy or sacrificial parts first.</t>
  </si>
  <si>
    <t xml:space="preserve">Early efforts with prototypes of full chain of complete system to test full needed functionality to mitigate schedule concerns. a moderate increase in contingency to cover any additional needed hardware for integrate. </t>
  </si>
  <si>
    <t>Use triple bonds, dedicated transportation plates</t>
  </si>
  <si>
    <t xml:space="preserve">Custom INTT Extension cable </t>
  </si>
  <si>
    <t>Stave carbon fiber composite.</t>
  </si>
  <si>
    <t>sPH_INTT_001</t>
  </si>
  <si>
    <t>3.01</t>
  </si>
  <si>
    <t>INTT</t>
  </si>
  <si>
    <t>R. Nouicer</t>
  </si>
  <si>
    <t xml:space="preserve">If LBNL is late procuring staves, then INTT stave production at LBNL is delayed. </t>
  </si>
  <si>
    <t xml:space="preserve">If TAIYO-KOSAKUSHO company is unable to produce a 7 layer extension cable with a length of 1.2 m, then we need to use another cable vendor or switch to another type of cable. </t>
  </si>
  <si>
    <t>Use baseline schedule to monitor subsystem progress. Notify PM when installation activity float becomes less than 40 days.</t>
  </si>
  <si>
    <t>Sign MOU with CAD.</t>
  </si>
  <si>
    <t xml:space="preserve">Increase communication with LBNL and schedule stave production ahead  of time. Work with alternative vendor, Nippon Graphite Fiber co. in Japan  </t>
  </si>
  <si>
    <t>Re-design and fabricate another type of cable such FPC cable.</t>
  </si>
  <si>
    <t>3.2.2</t>
  </si>
  <si>
    <t>3.1.5</t>
  </si>
  <si>
    <t>Integration of slow controls, configuration and software/firmware into SPHENIX environment</t>
  </si>
  <si>
    <t>EMV
K$</t>
  </si>
  <si>
    <t>Clam shell insertiion redesign</t>
  </si>
  <si>
    <t>Retired</t>
  </si>
  <si>
    <t>End Wheel Redesign</t>
  </si>
  <si>
    <t>Review current design, reserve contingency.</t>
  </si>
  <si>
    <t>Mgmt_001</t>
  </si>
  <si>
    <t>Mgmt_002</t>
  </si>
  <si>
    <t>Mgmt_003</t>
  </si>
  <si>
    <t>Mgmt_004</t>
  </si>
  <si>
    <t>Mgmt_005</t>
  </si>
  <si>
    <t>Mgmt_006</t>
  </si>
  <si>
    <t>Mgmt_007</t>
  </si>
  <si>
    <t>MinBias_001</t>
  </si>
  <si>
    <t>MVTX_001</t>
  </si>
  <si>
    <t>MVTX_002</t>
  </si>
  <si>
    <t>MVTX_003</t>
  </si>
  <si>
    <t>MVTX_004</t>
  </si>
  <si>
    <t>MVTX_005</t>
  </si>
  <si>
    <t>MVTX_006</t>
  </si>
  <si>
    <t>MVTX_007</t>
  </si>
  <si>
    <t>MVTX_008</t>
  </si>
  <si>
    <t>MVTX_009</t>
  </si>
  <si>
    <t>MVTX_010</t>
  </si>
  <si>
    <t>MVTX_011</t>
  </si>
  <si>
    <t>MVTX_012</t>
  </si>
  <si>
    <t>MVTX_013</t>
  </si>
  <si>
    <t>MVTX_014</t>
  </si>
  <si>
    <t>MVTX_015</t>
  </si>
  <si>
    <t>MVTX_016</t>
  </si>
  <si>
    <t>MVTX_017</t>
  </si>
  <si>
    <t>MVTX_018</t>
  </si>
  <si>
    <t>MVTX_019</t>
  </si>
  <si>
    <t>R. Feder</t>
  </si>
  <si>
    <t>sPH_SC_Magnet_005</t>
  </si>
  <si>
    <t>Kin Yip</t>
  </si>
  <si>
    <t xml:space="preserve">Plan work according to BNL, CAD safety procedures; hold reviews. </t>
  </si>
  <si>
    <t>sPH_SC_Magnet_006</t>
  </si>
  <si>
    <t>Full field test too short</t>
  </si>
  <si>
    <t>Tungsten powder cost go up</t>
  </si>
  <si>
    <t>Key equipment failure</t>
  </si>
  <si>
    <t>Component damage</t>
  </si>
  <si>
    <t>Component rework</t>
  </si>
  <si>
    <t>sPH_Integration_Installation_03</t>
  </si>
  <si>
    <t>sPH_Integration_Installation_04</t>
  </si>
  <si>
    <t>sPH_Integration_Installation_05</t>
  </si>
  <si>
    <t>sPH_Integration_Installation_06</t>
  </si>
  <si>
    <t>J. Vasquez</t>
  </si>
  <si>
    <t>(Pole tips: 110) + (Carriage Cradle+rings: 130) = 240 (tona). Weight X $/pound = $600,000. EU 40% = $240,000 15% of $840,000 = $126,000</t>
  </si>
  <si>
    <t xml:space="preserve">The rehab and extension of the current sPHENIX beam pipe is unsuccessful </t>
  </si>
  <si>
    <t>If current beampipe needs modifications, then there will be additional cost and schedule delays.</t>
  </si>
  <si>
    <t>sPH_Integration_Installation_07</t>
  </si>
  <si>
    <r>
      <t xml:space="preserve">Best case: Put in the spare STAR pipe so we can </t>
    </r>
    <r>
      <rPr>
        <i/>
        <u/>
        <sz val="11"/>
        <color rgb="FF000000"/>
        <rFont val="Calibri"/>
        <family val="2"/>
        <scheme val="minor"/>
      </rPr>
      <t>start sPHENIX on time</t>
    </r>
    <r>
      <rPr>
        <sz val="11"/>
        <color rgb="FF000000"/>
        <rFont val="Calibri"/>
        <family val="2"/>
        <scheme val="minor"/>
      </rPr>
      <t xml:space="preserve"> without MVTX while we get a new beam pipe in parallel (not sure this is worthwhile). Helps with schedule impact and smears cost impact out down the road.
Likely: Rehab and extend START pipe so that MVTX can be installed. Allows for full sPHENIX performance but has higher cost and schedule impact up front
Worst: Get quotes now for the STAR pipe rehab and rework and/or creation of a brand new beam pipe so that we can hit the ground running if we realize this risk. Will help with schedule impact.</t>
    </r>
  </si>
  <si>
    <t>Retired on Apr 27 2020.  Based upon results measured over multiple chips, we have declared the chip as having met or surpassed our requirements.</t>
  </si>
  <si>
    <t xml:space="preserve">                                                                           Residual Risk (Post- Mitigation Assessment)</t>
  </si>
  <si>
    <t>Mgmt_008</t>
  </si>
  <si>
    <t>COVID-19 delays</t>
  </si>
  <si>
    <t>sPH_TPC_011</t>
  </si>
  <si>
    <t>sPH_TPC_012</t>
  </si>
  <si>
    <t>Labor and M&amp;S estimates low and more of each is needed to stay on schedule</t>
  </si>
  <si>
    <t>sPH_CalEl_014</t>
  </si>
  <si>
    <t>EMCal, Hcal signal/power cables cost more</t>
  </si>
  <si>
    <t>MinBias_002</t>
  </si>
  <si>
    <t>Delay of GEM production</t>
  </si>
  <si>
    <t>Retired. All delays are assigned to WBS 1.2-1.7</t>
  </si>
  <si>
    <t>Retired based on production status.</t>
  </si>
  <si>
    <t>Retired.</t>
  </si>
  <si>
    <t>sPH_EMCal_012</t>
  </si>
  <si>
    <t>Tech labor for EMCal Sectors</t>
  </si>
  <si>
    <t>Retired December 2020.</t>
  </si>
  <si>
    <t>Opportunity realized. Retired December 2020.</t>
  </si>
  <si>
    <t>sPH_SC_Magnet_005a</t>
  </si>
  <si>
    <t>Magnet Transport Worst Case</t>
  </si>
  <si>
    <t>Magnet Transport Likely case</t>
  </si>
  <si>
    <t>Insufficient Laser Power for Diffuse Illumination</t>
  </si>
  <si>
    <t>Realized, PCR017 Nov 2021</t>
  </si>
  <si>
    <t>$200K, $60K higher that estimated</t>
  </si>
  <si>
    <t>$100K, $20K higher that estimated</t>
  </si>
  <si>
    <t>$460K, $160K higher than estimated</t>
  </si>
  <si>
    <t>$800K, exactly the estimate</t>
  </si>
  <si>
    <t xml:space="preserve">Inner HCal Support Rings </t>
  </si>
  <si>
    <t>Reduce technical and schedule risk for the inner HCal support rings by adding all needed design features for these rings. This is addressed by revising the design features for these rings to their detailed manufacturing drawings.</t>
  </si>
  <si>
    <t>Name</t>
  </si>
  <si>
    <t>Description</t>
  </si>
  <si>
    <t>Cost Impact, Direct $</t>
  </si>
  <si>
    <t>If EMCal electronics components are late, then there will be schedule delays up to 6 mo</t>
  </si>
  <si>
    <t>HCal electronics components procurement is late</t>
  </si>
  <si>
    <t>If HCal electronics components are late, then there will be schedule delays up to 6 mo</t>
  </si>
  <si>
    <t>If digitizer components cost more, then there will be additional costs</t>
  </si>
  <si>
    <t>If Hcal electronics component prices go up, then there will be additional costs</t>
  </si>
  <si>
    <t>If EMCal electronics component prices go up, then there will be additional costs</t>
  </si>
  <si>
    <t>If student labor unavailable for SiPM testing and/or Calorimeter FEE board testing, then technicians will be hired</t>
  </si>
  <si>
    <t xml:space="preserve">If Hamamatsu declines to bid, then we will find a different vendor </t>
  </si>
  <si>
    <t>If we lose engineering expertise due to employees leaving, then adaptation of PHENIX GL1 runs into obstacles.</t>
  </si>
  <si>
    <t>Realized</t>
  </si>
  <si>
    <t>yes</t>
  </si>
  <si>
    <t>no</t>
  </si>
  <si>
    <t>Retired after a contract was placed</t>
  </si>
  <si>
    <t>Retired based on Total Float in P6</t>
  </si>
  <si>
    <t>Retired Jan 31 2019 Risk did not realize. Order with Hamamatsu has been placed.</t>
  </si>
  <si>
    <t>Retired on Jan 31 2019 Risk did not realize. Contract placed Sep 18  2018</t>
  </si>
  <si>
    <t>Retired on Jan 31 2019 Risk did not realize. Contract placed Sep 18  2018 (PO  )</t>
  </si>
  <si>
    <t>Retired Jan 31 2019 Risk did not realize. Order with Hamamatsu has been placed, foreign vendor uncertainty no longer applies.</t>
  </si>
  <si>
    <t>Retired after MOUs with CAD were signed</t>
  </si>
  <si>
    <t>Retired after the Baseline approval. Labor needs will be tracked via RCT (Resource Comparison Tool).</t>
  </si>
  <si>
    <t>Retired. Paid TECH labor is in the RLS.</t>
  </si>
  <si>
    <t>Retired on Jan 31 2019 Risk did not realize. UIUC placed 2 contracts with Starck in April 2018 and Oct 2019, got both delivered.</t>
  </si>
  <si>
    <t>Retired on Jan 31 2019 Risk did not realize. Contract placed Jan 22 2019 (PO 359217)</t>
  </si>
  <si>
    <t>Risk Realized. PCR021</t>
  </si>
  <si>
    <t>Retired March 2021. Hcal Sector assembly is complete.</t>
  </si>
  <si>
    <t>sPH_2.X Mgmt_001</t>
  </si>
  <si>
    <t>Procurement Delays</t>
  </si>
  <si>
    <t>If procurements are delayed, then the Project will experience schedule delay and increase cost.</t>
  </si>
  <si>
    <t>Weekly meeting with procurement; maintain critical procurement list</t>
  </si>
  <si>
    <t>Latest Project experience</t>
  </si>
  <si>
    <t>New risk as of March 2021</t>
  </si>
  <si>
    <t>Open Risk</t>
  </si>
  <si>
    <t>sPH_2.X Mgmt_002</t>
  </si>
  <si>
    <t xml:space="preserve">Key Personnel Unavailable </t>
  </si>
  <si>
    <t>If key personnel are not available on schedule, then the Project will be delayed and cost more.</t>
  </si>
  <si>
    <t>Maintain key personnel look-ahead list</t>
  </si>
  <si>
    <t>sPH_2.X Mgmt_003</t>
  </si>
  <si>
    <t>COVID Delays</t>
  </si>
  <si>
    <t>If labor is not available due to COVID, then the Project will experience delays and cost more.</t>
  </si>
  <si>
    <t>Follow BNL COVID protocol</t>
  </si>
  <si>
    <t>sPH_2.X Mgmt_004</t>
  </si>
  <si>
    <t>Raising Commodity Prices</t>
  </si>
  <si>
    <t>If commodity prices go beyond the EU, then the Project will incur new costs.</t>
  </si>
  <si>
    <t>Accept, hold contingency</t>
  </si>
  <si>
    <t>Retired May 2021. GEM production is complete. Risk did not realize.</t>
  </si>
  <si>
    <t>Prob. Changed to 5% from 10% May 2021</t>
  </si>
  <si>
    <t>Prob. Changed to 10% from 20% May 2021</t>
  </si>
  <si>
    <t>Prob. Changed to 20% from 40% May 2021</t>
  </si>
  <si>
    <t>sPH_TPC_013</t>
  </si>
  <si>
    <t>sPH_CalEl_015</t>
  </si>
  <si>
    <t>sPH_DAQ&amp;Tr_007</t>
  </si>
  <si>
    <t>sPH_Hcal_005</t>
  </si>
  <si>
    <t>If a major vendor fails to deliver, a different vendor will be needed and that can increase the cost and delay the schedule.</t>
  </si>
  <si>
    <t>If the Project experiences COVID-19 delays, then additioanal labor will be needed and that will increase the cost.</t>
  </si>
  <si>
    <t xml:space="preserve">Work with BNL management and implement all COVID safety protocols. </t>
  </si>
  <si>
    <t>Cost was estimated based on TECH3 labor hours and rates. Schedule delays were estimated based on production EMCal and Hcal schedules.</t>
  </si>
  <si>
    <t>External cables delivery is delayed</t>
  </si>
  <si>
    <t>If cables  are late, then there will be schedule delays up to 6 mo</t>
  </si>
  <si>
    <t>All components for EMCal and HCal other than external cables have been delivered.  The risk has been replaced with sPH_CalEl_015</t>
  </si>
  <si>
    <t>Delay of Inner HCAL assembly due to technical or component supply issues</t>
  </si>
  <si>
    <t xml:space="preserve">If HCal components are not available on time, then the assembly of the inner HCAL barrel and installation into sPHENIX will be delayed. </t>
  </si>
  <si>
    <t xml:space="preserve">Carefully plan delivery and availability of all components. </t>
  </si>
  <si>
    <t>Schedule impact estimates made assuming delay in sector delivery (last 8) and time to machine and assemble.</t>
  </si>
  <si>
    <t>Estimates based on experience with other projects</t>
  </si>
  <si>
    <t>If UIUC students are not available for sector testing, then there will be a delay in EMCal schedule and increased cost.</t>
  </si>
  <si>
    <t>Work with the vendor, Columbia University</t>
  </si>
  <si>
    <t>If student labor unavailable for SiPM testing and/or Calorimeter FEE board testing, then schedule delays up to 6mo are possibel</t>
  </si>
  <si>
    <t>Work with BNL procurement, maintain Critical Procurement list for POB</t>
  </si>
  <si>
    <t>Work with participating University to monitor student availability</t>
  </si>
  <si>
    <t>Based on the BOE and remaining work</t>
  </si>
  <si>
    <t>Based on most recent experience</t>
  </si>
  <si>
    <t>Expert estimate</t>
  </si>
  <si>
    <t>EMCal Sector Assembly is late due to shortage of TECH labor</t>
  </si>
  <si>
    <t>TPC FEE assembly is late</t>
  </si>
  <si>
    <t>sPH_TPC_014</t>
  </si>
  <si>
    <t>TPC assembly is late</t>
  </si>
  <si>
    <t>DAQ DCM boards are late</t>
  </si>
  <si>
    <t>If Nevis contract is delayed, then board production will be late</t>
  </si>
  <si>
    <t>sPH_EMCal_013</t>
  </si>
  <si>
    <t>TECH Labor at UIUC for EMCal blocks</t>
  </si>
  <si>
    <t>If rate of machining blocks is low, we will need another machinist at UIUC</t>
  </si>
  <si>
    <t>sPH_EMCal_014</t>
  </si>
  <si>
    <t>If sector assembly rate is low, we will need more TECH labor</t>
  </si>
  <si>
    <t>Monitor sector assembly rate closely.</t>
  </si>
  <si>
    <t>Monitor block machining  rate closely.</t>
  </si>
  <si>
    <t>Realized, PCR017 Nov 2020.</t>
  </si>
  <si>
    <t>Based on latest experience</t>
  </si>
  <si>
    <t>sPH_TPC_015</t>
  </si>
  <si>
    <t>20-10%, schedule impat Is 0 because will use contingency</t>
  </si>
  <si>
    <t>TPC Lasers</t>
  </si>
  <si>
    <t>sPH_TPC_016</t>
  </si>
  <si>
    <t>TPC FPGA replacement</t>
  </si>
  <si>
    <t>If the project needs to change FPGA vendor, the purchase will cost more</t>
  </si>
  <si>
    <t>If fiberoptic cable has to be 18 m long, then more diffuse lasers will be needed.</t>
  </si>
  <si>
    <t>If TPC FEE assembly rate is lower than planned, then TPC FEE assembly could be behind schedule up to 3 mo.</t>
  </si>
  <si>
    <t>If TPC assembly rate is lower than planned, then TPC assembly could be behind schedule up to 3 mo.</t>
  </si>
  <si>
    <t xml:space="preserve">Check P6 progress schedule monthly </t>
  </si>
  <si>
    <t>Keep track of latest design.</t>
  </si>
  <si>
    <t>If the TPC laser power is not enough for diffuse illumination, then additional lasers will be needed and that means additional cost.</t>
  </si>
  <si>
    <t>Keep track of FPGA procurement.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</si>
</sst>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0.0%"/>
    <numFmt numFmtId="166" formatCode="_(&quot;$&quot;* #,##0_);_(&quot;$&quot;* \(#,##0\);_(&quot;$&quot;* &quot;-&quot;??_);_(@_)"/>
  </numFmts>
  <fonts count="35" x14ac:knownFonts="1">
    <font>
      <sz val="11"/>
      <color theme="1"/>
      <name val="Calibri"/>
      <family val="2"/>
      <scheme val="minor"/>
    </font>
    <font>
      <sz val="11"/>
      <color indexed="8"/>
      <name val="Calibri"/>
      <family val="2"/>
    </font>
    <font>
      <b/>
      <sz val="11"/>
      <color indexed="8"/>
      <name val="Calibri"/>
      <family val="2"/>
    </font>
    <font>
      <sz val="11"/>
      <name val="Calibri"/>
      <family val="2"/>
    </font>
    <font>
      <sz val="11"/>
      <color theme="1"/>
      <name val="Calibri"/>
      <family val="2"/>
      <scheme val="minor"/>
    </font>
    <font>
      <sz val="11"/>
      <name val="Calibri"/>
      <family val="2"/>
      <scheme val="minor"/>
    </font>
    <font>
      <b/>
      <sz val="11"/>
      <color theme="1"/>
      <name val="Calibri"/>
      <family val="2"/>
      <scheme val="minor"/>
    </font>
    <font>
      <b/>
      <sz val="11"/>
      <color rgb="FFFF0000"/>
      <name val="Calibri"/>
      <family val="2"/>
      <scheme val="minor"/>
    </font>
    <font>
      <sz val="10"/>
      <color theme="1"/>
      <name val="Calibri"/>
      <family val="2"/>
      <scheme val="minor"/>
    </font>
    <font>
      <b/>
      <sz val="11"/>
      <color theme="0"/>
      <name val="Calibri"/>
      <family val="2"/>
      <scheme val="minor"/>
    </font>
    <font>
      <b/>
      <sz val="8"/>
      <color theme="1"/>
      <name val="Calibri"/>
      <family val="2"/>
      <scheme val="minor"/>
    </font>
    <font>
      <b/>
      <sz val="12"/>
      <color theme="1"/>
      <name val="Calibri"/>
      <family val="2"/>
      <scheme val="minor"/>
    </font>
    <font>
      <sz val="10"/>
      <name val="Arial"/>
      <family val="2"/>
    </font>
    <font>
      <sz val="10"/>
      <color theme="1"/>
      <name val="Arial"/>
      <family val="2"/>
    </font>
    <font>
      <sz val="11"/>
      <color theme="1"/>
      <name val="Calibri"/>
      <family val="2"/>
    </font>
    <font>
      <b/>
      <sz val="11"/>
      <color theme="1"/>
      <name val="Calibri"/>
      <family val="2"/>
    </font>
    <font>
      <sz val="14"/>
      <color theme="1"/>
      <name val="Calibri"/>
      <family val="2"/>
      <scheme val="minor"/>
    </font>
    <font>
      <sz val="11"/>
      <color theme="0"/>
      <name val="Calibri"/>
      <family val="2"/>
      <scheme val="minor"/>
    </font>
    <font>
      <b/>
      <sz val="11"/>
      <color theme="0"/>
      <name val="Calibri"/>
      <family val="2"/>
    </font>
    <font>
      <b/>
      <sz val="11"/>
      <name val="Calibri"/>
      <family val="2"/>
    </font>
    <font>
      <b/>
      <i/>
      <sz val="11"/>
      <color theme="1"/>
      <name val="Calibri"/>
      <family val="2"/>
      <scheme val="minor"/>
    </font>
    <font>
      <i/>
      <sz val="11"/>
      <color theme="0"/>
      <name val="Calibri"/>
      <family val="2"/>
      <scheme val="minor"/>
    </font>
    <font>
      <b/>
      <i/>
      <sz val="11"/>
      <color theme="0"/>
      <name val="Calibri"/>
      <family val="2"/>
      <scheme val="minor"/>
    </font>
    <font>
      <sz val="11"/>
      <color rgb="FF000000"/>
      <name val="Calibri"/>
      <family val="2"/>
    </font>
    <font>
      <sz val="10"/>
      <color rgb="FF000000"/>
      <name val="Arial"/>
      <family val="2"/>
    </font>
    <font>
      <b/>
      <sz val="12"/>
      <name val="Calibri"/>
      <family val="2"/>
    </font>
    <font>
      <b/>
      <sz val="10"/>
      <color indexed="8"/>
      <name val="Arial"/>
      <family val="2"/>
    </font>
    <font>
      <sz val="11"/>
      <color rgb="FF000000"/>
      <name val="Calibri"/>
      <family val="2"/>
      <scheme val="minor"/>
    </font>
    <font>
      <i/>
      <u/>
      <sz val="11"/>
      <color rgb="FF000000"/>
      <name val="Calibri"/>
      <family val="2"/>
      <scheme val="minor"/>
    </font>
    <font>
      <sz val="10.5"/>
      <color rgb="FF2C363A"/>
      <name val="Arial"/>
      <family val="2"/>
    </font>
    <font>
      <sz val="10"/>
      <name val="Calibri"/>
      <family val="2"/>
      <scheme val="minor"/>
    </font>
    <font>
      <sz val="10"/>
      <name val="Calibri"/>
      <family val="2"/>
    </font>
    <font>
      <sz val="11"/>
      <name val="Arial"/>
      <family val="2"/>
    </font>
    <font>
      <sz val="11"/>
      <color theme="1"/>
      <name val="Arial"/>
      <family val="2"/>
    </font>
    <font>
      <sz val="11"/>
      <color rgb="FF2C363A"/>
      <name val="Calibri"/>
      <family val="2"/>
    </font>
  </fonts>
  <fills count="27">
    <fill>
      <patternFill patternType="none"/>
    </fill>
    <fill>
      <patternFill patternType="gray125"/>
    </fill>
    <fill>
      <patternFill patternType="solid">
        <fgColor rgb="FFFFCCCC"/>
        <bgColor indexed="64"/>
      </patternFill>
    </fill>
    <fill>
      <patternFill patternType="solid">
        <fgColor theme="5" tint="0.59996337778862885"/>
        <bgColor indexed="64"/>
      </patternFill>
    </fill>
    <fill>
      <patternFill patternType="solid">
        <fgColor rgb="FFFFFFCC"/>
        <bgColor indexed="64"/>
      </patternFill>
    </fill>
    <fill>
      <patternFill patternType="solid">
        <fgColor theme="9" tint="0.79998168889431442"/>
        <bgColor indexed="64"/>
      </patternFill>
    </fill>
    <fill>
      <patternFill patternType="solid">
        <fgColor theme="9" tint="0.59996337778862885"/>
        <bgColor indexed="64"/>
      </patternFill>
    </fill>
    <fill>
      <patternFill patternType="solid">
        <fgColor rgb="FFDDFFDD"/>
        <bgColor indexed="64"/>
      </patternFill>
    </fill>
    <fill>
      <patternFill patternType="solid">
        <fgColor theme="6" tint="0.59996337778862885"/>
        <bgColor indexed="64"/>
      </patternFill>
    </fill>
    <fill>
      <patternFill patternType="solid">
        <fgColor theme="3" tint="0.39994506668294322"/>
        <bgColor indexed="64"/>
      </patternFill>
    </fill>
    <fill>
      <patternFill patternType="solid">
        <fgColor theme="3" tint="0.59996337778862885"/>
        <bgColor indexed="64"/>
      </patternFill>
    </fill>
    <fill>
      <patternFill patternType="solid">
        <fgColor theme="2" tint="-0.499984740745262"/>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3" tint="0.39997558519241921"/>
        <bgColor indexed="64"/>
      </patternFill>
    </fill>
    <fill>
      <patternFill patternType="solid">
        <fgColor theme="6" tint="0.79998168889431442"/>
        <bgColor indexed="64"/>
      </patternFill>
    </fill>
    <fill>
      <patternFill patternType="solid">
        <fgColor rgb="FF00B0F0"/>
        <bgColor indexed="64"/>
      </patternFill>
    </fill>
  </fills>
  <borders count="85">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ck">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right style="medium">
        <color indexed="64"/>
      </right>
      <top style="medium">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medium">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ck">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ck">
        <color indexed="64"/>
      </top>
      <bottom style="thin">
        <color indexed="64"/>
      </bottom>
      <diagonal/>
    </border>
    <border>
      <left/>
      <right style="thick">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ck">
        <color indexed="64"/>
      </top>
      <bottom style="thin">
        <color indexed="64"/>
      </bottom>
      <diagonal/>
    </border>
    <border>
      <left style="medium">
        <color indexed="64"/>
      </left>
      <right/>
      <top style="thick">
        <color indexed="64"/>
      </top>
      <bottom/>
      <diagonal/>
    </border>
    <border>
      <left style="medium">
        <color indexed="64"/>
      </left>
      <right/>
      <top/>
      <bottom style="thick">
        <color indexed="64"/>
      </bottom>
      <diagonal/>
    </border>
    <border>
      <left/>
      <right/>
      <top style="thin">
        <color indexed="64"/>
      </top>
      <bottom style="thin">
        <color indexed="64"/>
      </bottom>
      <diagonal/>
    </border>
    <border>
      <left/>
      <right/>
      <top style="thin">
        <color indexed="64"/>
      </top>
      <bottom style="thick">
        <color indexed="64"/>
      </bottom>
      <diagonal/>
    </border>
    <border>
      <left/>
      <right/>
      <top style="thick">
        <color indexed="64"/>
      </top>
      <bottom style="thick">
        <color indexed="64"/>
      </bottom>
      <diagonal/>
    </border>
    <border>
      <left/>
      <right/>
      <top style="thick">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style="thick">
        <color indexed="64"/>
      </right>
      <top style="thick">
        <color indexed="64"/>
      </top>
      <bottom style="thick">
        <color indexed="64"/>
      </bottom>
      <diagonal/>
    </border>
    <border>
      <left/>
      <right style="thick">
        <color indexed="64"/>
      </right>
      <top/>
      <bottom style="medium">
        <color indexed="64"/>
      </bottom>
      <diagonal/>
    </border>
    <border>
      <left/>
      <right style="thick">
        <color indexed="64"/>
      </right>
      <top style="medium">
        <color indexed="64"/>
      </top>
      <bottom style="thin">
        <color indexed="64"/>
      </bottom>
      <diagonal/>
    </border>
    <border>
      <left style="medium">
        <color indexed="64"/>
      </left>
      <right/>
      <top style="thick">
        <color indexed="64"/>
      </top>
      <bottom style="thick">
        <color indexed="64"/>
      </bottom>
      <diagonal/>
    </border>
    <border>
      <left style="double">
        <color indexed="64"/>
      </left>
      <right/>
      <top style="thick">
        <color indexed="64"/>
      </top>
      <bottom/>
      <diagonal/>
    </border>
    <border>
      <left style="double">
        <color indexed="64"/>
      </left>
      <right/>
      <top/>
      <bottom/>
      <diagonal/>
    </border>
    <border>
      <left style="double">
        <color indexed="64"/>
      </left>
      <right/>
      <top style="thick">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thick">
        <color indexed="64"/>
      </bottom>
      <diagonal/>
    </border>
    <border>
      <left style="thick">
        <color auto="1"/>
      </left>
      <right style="thin">
        <color auto="1"/>
      </right>
      <top style="thin">
        <color indexed="64"/>
      </top>
      <bottom style="thin">
        <color auto="1"/>
      </bottom>
      <diagonal/>
    </border>
    <border>
      <left style="thin">
        <color auto="1"/>
      </left>
      <right style="thick">
        <color auto="1"/>
      </right>
      <top style="thin">
        <color indexed="64"/>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bottom style="thin">
        <color auto="1"/>
      </bottom>
      <diagonal/>
    </border>
    <border>
      <left style="thick">
        <color auto="1"/>
      </left>
      <right style="medium">
        <color auto="1"/>
      </right>
      <top style="thick">
        <color auto="1"/>
      </top>
      <bottom style="thick">
        <color auto="1"/>
      </bottom>
      <diagonal/>
    </border>
    <border>
      <left style="medium">
        <color auto="1"/>
      </left>
      <right style="medium">
        <color auto="1"/>
      </right>
      <top style="thick">
        <color auto="1"/>
      </top>
      <bottom style="thick">
        <color auto="1"/>
      </bottom>
      <diagonal/>
    </border>
    <border>
      <left style="thick">
        <color auto="1"/>
      </left>
      <right style="thick">
        <color auto="1"/>
      </right>
      <top style="thick">
        <color auto="1"/>
      </top>
      <bottom style="thick">
        <color auto="1"/>
      </bottom>
      <diagonal/>
    </border>
    <border>
      <left/>
      <right style="thin">
        <color indexed="64"/>
      </right>
      <top style="thick">
        <color indexed="64"/>
      </top>
      <bottom/>
      <diagonal/>
    </border>
    <border>
      <left style="thin">
        <color auto="1"/>
      </left>
      <right style="thick">
        <color auto="1"/>
      </right>
      <top style="thick">
        <color auto="1"/>
      </top>
      <bottom/>
      <diagonal/>
    </border>
    <border>
      <left style="thick">
        <color auto="1"/>
      </left>
      <right/>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top style="thin">
        <color indexed="64"/>
      </top>
      <bottom style="thin">
        <color auto="1"/>
      </bottom>
      <diagonal/>
    </border>
    <border>
      <left style="thick">
        <color auto="1"/>
      </left>
      <right/>
      <top style="thin">
        <color auto="1"/>
      </top>
      <bottom style="thick">
        <color auto="1"/>
      </bottom>
      <diagonal/>
    </border>
    <border>
      <left style="thick">
        <color auto="1"/>
      </left>
      <right style="thin">
        <color auto="1"/>
      </right>
      <top style="thin">
        <color auto="1"/>
      </top>
      <bottom/>
      <diagonal/>
    </border>
    <border>
      <left style="thin">
        <color indexed="64"/>
      </left>
      <right style="thick">
        <color indexed="64"/>
      </right>
      <top style="medium">
        <color indexed="64"/>
      </top>
      <bottom/>
      <diagonal/>
    </border>
    <border>
      <left style="thin">
        <color indexed="64"/>
      </left>
      <right style="thick">
        <color indexed="64"/>
      </right>
      <top/>
      <bottom style="medium">
        <color indexed="64"/>
      </bottom>
      <diagonal/>
    </border>
    <border>
      <left style="medium">
        <color indexed="64"/>
      </left>
      <right style="thick">
        <color indexed="64"/>
      </right>
      <top style="medium">
        <color indexed="64"/>
      </top>
      <bottom style="medium">
        <color indexed="64"/>
      </bottom>
      <diagonal/>
    </border>
    <border>
      <left/>
      <right/>
      <top style="medium">
        <color indexed="64"/>
      </top>
      <bottom/>
      <diagonal/>
    </border>
    <border>
      <left style="thick">
        <color indexed="64"/>
      </left>
      <right style="medium">
        <color indexed="64"/>
      </right>
      <top/>
      <bottom style="medium">
        <color indexed="64"/>
      </bottom>
      <diagonal/>
    </border>
  </borders>
  <cellStyleXfs count="17">
    <xf numFmtId="0" fontId="0" fillId="0" borderId="0"/>
    <xf numFmtId="43" fontId="1" fillId="0" borderId="0" applyFont="0" applyFill="0" applyBorder="0" applyAlignment="0" applyProtection="0"/>
    <xf numFmtId="0" fontId="4" fillId="2" borderId="1" applyNumberFormat="0" applyFont="0" applyBorder="0" applyAlignment="0" applyProtection="0">
      <alignment horizontal="left" vertical="top" wrapText="1"/>
    </xf>
    <xf numFmtId="0" fontId="4" fillId="2" borderId="1" applyNumberFormat="0" applyFont="0" applyBorder="0" applyAlignment="0" applyProtection="0">
      <alignment horizontal="left" vertical="top" wrapText="1"/>
    </xf>
    <xf numFmtId="0" fontId="4" fillId="3" borderId="2" applyNumberFormat="0" applyFont="0" applyBorder="0" applyAlignment="0" applyProtection="0"/>
    <xf numFmtId="0" fontId="4" fillId="4" borderId="3" applyNumberFormat="0" applyFont="0" applyBorder="0" applyAlignment="0" applyProtection="0">
      <alignment horizontal="left" vertical="top" wrapText="1"/>
    </xf>
    <xf numFmtId="0" fontId="4" fillId="4" borderId="3" applyNumberFormat="0" applyFont="0" applyBorder="0" applyAlignment="0" applyProtection="0">
      <alignment horizontal="left" vertical="top" wrapText="1"/>
    </xf>
    <xf numFmtId="0" fontId="4" fillId="4" borderId="0" applyNumberFormat="0" applyFont="0" applyBorder="0" applyAlignment="0" applyProtection="0"/>
    <xf numFmtId="0" fontId="4" fillId="5" borderId="1" applyNumberFormat="0" applyFont="0" applyBorder="0" applyAlignment="0" applyProtection="0">
      <alignment horizontal="left" vertical="top" wrapText="1"/>
    </xf>
    <xf numFmtId="0" fontId="4" fillId="5" borderId="1" applyNumberFormat="0" applyFont="0" applyBorder="0" applyAlignment="0" applyProtection="0">
      <alignment horizontal="left" vertical="top" wrapText="1"/>
    </xf>
    <xf numFmtId="0" fontId="1" fillId="6" borderId="2" applyNumberFormat="0" applyFont="0" applyBorder="0" applyAlignment="0" applyProtection="0">
      <alignment horizontal="left" vertical="top" wrapText="1"/>
    </xf>
    <xf numFmtId="0" fontId="4" fillId="7" borderId="2" applyNumberFormat="0" applyFont="0" applyBorder="0" applyAlignment="0" applyProtection="0">
      <alignment horizontal="left" vertical="top" wrapText="1"/>
    </xf>
    <xf numFmtId="0" fontId="4" fillId="7" borderId="2" applyNumberFormat="0" applyFont="0" applyBorder="0" applyAlignment="0" applyProtection="0">
      <alignment horizontal="left" vertical="top" wrapText="1"/>
    </xf>
    <xf numFmtId="0" fontId="1" fillId="8" borderId="4" applyNumberFormat="0" applyFont="0" applyBorder="0" applyAlignment="0" applyProtection="0">
      <alignment horizontal="left" vertical="top" wrapText="1"/>
    </xf>
    <xf numFmtId="9" fontId="1"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cellStyleXfs>
  <cellXfs count="371">
    <xf numFmtId="0" fontId="0" fillId="0" borderId="0" xfId="0"/>
    <xf numFmtId="0" fontId="2" fillId="0" borderId="0" xfId="0" applyFont="1" applyAlignment="1">
      <alignment horizontal="center" vertical="top" wrapText="1"/>
    </xf>
    <xf numFmtId="0" fontId="2" fillId="0" borderId="0" xfId="0" applyFont="1" applyFill="1" applyBorder="1" applyAlignment="1">
      <alignment horizontal="center" vertical="top" wrapText="1"/>
    </xf>
    <xf numFmtId="2" fontId="3" fillId="0" borderId="2"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top" wrapText="1"/>
    </xf>
    <xf numFmtId="0" fontId="3" fillId="0" borderId="2" xfId="0" applyNumberFormat="1" applyFont="1" applyFill="1" applyBorder="1" applyAlignment="1">
      <alignment horizontal="center" vertical="center" wrapText="1"/>
    </xf>
    <xf numFmtId="2" fontId="0" fillId="0" borderId="0" xfId="0" applyNumberFormat="1" applyAlignment="1">
      <alignment horizontal="left" vertical="top" wrapText="1"/>
    </xf>
    <xf numFmtId="0" fontId="0" fillId="0" borderId="0" xfId="0" applyAlignment="1">
      <alignment horizontal="left" vertical="top" wrapText="1"/>
    </xf>
    <xf numFmtId="0" fontId="5" fillId="0" borderId="2" xfId="0" applyFont="1" applyFill="1" applyBorder="1" applyAlignment="1">
      <alignment horizontal="center" vertical="center" wrapText="1"/>
    </xf>
    <xf numFmtId="0" fontId="0" fillId="0" borderId="0" xfId="0" applyFill="1" applyBorder="1" applyAlignment="1">
      <alignment horizontal="left" vertical="top" wrapText="1"/>
    </xf>
    <xf numFmtId="0" fontId="0" fillId="0" borderId="0" xfId="0" applyFill="1" applyAlignment="1">
      <alignment horizontal="left" vertical="top" wrapText="1"/>
    </xf>
    <xf numFmtId="0" fontId="5" fillId="0" borderId="2" xfId="0" applyNumberFormat="1" applyFont="1" applyFill="1" applyBorder="1" applyAlignment="1">
      <alignment horizontal="left" vertical="top" wrapText="1"/>
    </xf>
    <xf numFmtId="1"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top" wrapText="1"/>
    </xf>
    <xf numFmtId="0" fontId="0" fillId="0" borderId="2" xfId="0" applyBorder="1" applyAlignment="1">
      <alignment horizontal="center" vertical="center"/>
    </xf>
    <xf numFmtId="1" fontId="3"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9" fontId="3" fillId="0" borderId="7" xfId="0" applyNumberFormat="1" applyFont="1" applyFill="1" applyBorder="1" applyAlignment="1">
      <alignment horizontal="center" vertical="center" wrapText="1"/>
    </xf>
    <xf numFmtId="0" fontId="2" fillId="9" borderId="9" xfId="0" applyFont="1" applyFill="1" applyBorder="1" applyAlignment="1">
      <alignment horizontal="center" vertical="top" wrapText="1"/>
    </xf>
    <xf numFmtId="0" fontId="2" fillId="9" borderId="10" xfId="0" applyFont="1" applyFill="1" applyBorder="1" applyAlignment="1">
      <alignment horizontal="center" vertical="top" wrapText="1"/>
    </xf>
    <xf numFmtId="0" fontId="2" fillId="11" borderId="10" xfId="0" applyFont="1" applyFill="1" applyBorder="1" applyAlignment="1">
      <alignment horizontal="center" vertical="top" wrapText="1"/>
    </xf>
    <xf numFmtId="0" fontId="2" fillId="10" borderId="11" xfId="0" applyFont="1" applyFill="1" applyBorder="1" applyAlignment="1">
      <alignment horizontal="center" vertical="top" wrapText="1"/>
    </xf>
    <xf numFmtId="0" fontId="2" fillId="10" borderId="12" xfId="0" applyFont="1" applyFill="1" applyBorder="1" applyAlignment="1">
      <alignment horizontal="center" vertical="top" wrapText="1"/>
    </xf>
    <xf numFmtId="0" fontId="5" fillId="0" borderId="7"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0" fillId="0" borderId="13" xfId="0" applyBorder="1"/>
    <xf numFmtId="0" fontId="0" fillId="0" borderId="14" xfId="0" applyBorder="1"/>
    <xf numFmtId="0" fontId="0" fillId="0" borderId="0" xfId="0" applyBorder="1" applyAlignment="1">
      <alignment horizontal="center" vertical="center"/>
    </xf>
    <xf numFmtId="0" fontId="0" fillId="0" borderId="15" xfId="0" applyBorder="1" applyAlignment="1">
      <alignment horizontal="center" vertical="center"/>
    </xf>
    <xf numFmtId="0" fontId="0" fillId="12" borderId="18" xfId="0" applyFill="1" applyBorder="1"/>
    <xf numFmtId="0" fontId="0" fillId="12" borderId="19" xfId="0" applyFill="1" applyBorder="1" applyAlignment="1">
      <alignment horizontal="center" vertical="center"/>
    </xf>
    <xf numFmtId="0" fontId="0" fillId="13" borderId="18" xfId="0" applyFill="1" applyBorder="1"/>
    <xf numFmtId="0" fontId="0" fillId="13" borderId="20" xfId="0" applyFill="1" applyBorder="1" applyAlignment="1">
      <alignment horizontal="center" vertical="center"/>
    </xf>
    <xf numFmtId="0" fontId="0" fillId="12" borderId="20" xfId="0" applyFill="1" applyBorder="1" applyAlignment="1">
      <alignment horizontal="center" vertical="center"/>
    </xf>
    <xf numFmtId="0" fontId="0" fillId="0" borderId="21" xfId="0" applyBorder="1"/>
    <xf numFmtId="0" fontId="0" fillId="0" borderId="22" xfId="0" applyBorder="1"/>
    <xf numFmtId="0" fontId="0" fillId="12" borderId="23" xfId="0" applyFill="1" applyBorder="1"/>
    <xf numFmtId="0" fontId="0" fillId="14" borderId="16" xfId="0" applyFill="1" applyBorder="1" applyAlignment="1">
      <alignment horizontal="center" vertical="center"/>
    </xf>
    <xf numFmtId="0" fontId="0" fillId="14" borderId="17" xfId="0" applyFill="1" applyBorder="1" applyAlignment="1">
      <alignment horizontal="center" vertical="center"/>
    </xf>
    <xf numFmtId="0" fontId="0" fillId="0" borderId="2" xfId="0" applyBorder="1" applyAlignment="1" applyProtection="1">
      <alignment horizontal="center"/>
      <protection locked="0"/>
    </xf>
    <xf numFmtId="0" fontId="0" fillId="0" borderId="0" xfId="0" applyAlignment="1">
      <alignment horizontal="center" vertical="center"/>
    </xf>
    <xf numFmtId="0" fontId="0" fillId="0" borderId="0" xfId="0" applyAlignment="1">
      <alignment horizontal="left"/>
    </xf>
    <xf numFmtId="0" fontId="0" fillId="0" borderId="0" xfId="0" applyProtection="1"/>
    <xf numFmtId="0" fontId="0" fillId="0" borderId="0" xfId="0" applyAlignment="1" applyProtection="1">
      <alignment horizontal="left"/>
    </xf>
    <xf numFmtId="0" fontId="6" fillId="13" borderId="34" xfId="0" applyFont="1" applyFill="1" applyBorder="1" applyAlignment="1" applyProtection="1">
      <alignment horizontal="right" vertical="center"/>
    </xf>
    <xf numFmtId="1" fontId="6" fillId="13" borderId="37" xfId="0" applyNumberFormat="1" applyFont="1" applyFill="1" applyBorder="1" applyAlignment="1" applyProtection="1">
      <alignment horizontal="right" vertical="center"/>
    </xf>
    <xf numFmtId="0" fontId="6" fillId="13" borderId="37" xfId="0" applyFont="1" applyFill="1" applyBorder="1" applyAlignment="1" applyProtection="1">
      <alignment horizontal="right" vertical="center"/>
    </xf>
    <xf numFmtId="0" fontId="6" fillId="13" borderId="38" xfId="0" applyFont="1" applyFill="1" applyBorder="1" applyAlignment="1" applyProtection="1">
      <alignment horizontal="right" vertical="center"/>
    </xf>
    <xf numFmtId="1" fontId="6" fillId="13" borderId="38" xfId="0" applyNumberFormat="1" applyFont="1" applyFill="1" applyBorder="1" applyAlignment="1" applyProtection="1">
      <alignment horizontal="right" vertical="center"/>
    </xf>
    <xf numFmtId="0" fontId="0" fillId="0" borderId="0" xfId="0" applyBorder="1" applyAlignment="1">
      <alignment horizontal="right"/>
    </xf>
    <xf numFmtId="0" fontId="0" fillId="0" borderId="0" xfId="0" applyBorder="1" applyAlignment="1" applyProtection="1">
      <alignment horizontal="center"/>
      <protection locked="0"/>
    </xf>
    <xf numFmtId="164" fontId="3" fillId="0" borderId="2" xfId="0" applyNumberFormat="1" applyFont="1" applyFill="1" applyBorder="1" applyAlignment="1">
      <alignment horizontal="center" vertical="center" wrapText="1"/>
    </xf>
    <xf numFmtId="0" fontId="0" fillId="12" borderId="2" xfId="0" applyFill="1" applyBorder="1" applyAlignment="1">
      <alignment horizontal="right"/>
    </xf>
    <xf numFmtId="0" fontId="0" fillId="15" borderId="0" xfId="0" applyFill="1" applyBorder="1" applyAlignment="1">
      <alignment horizontal="center" vertical="center"/>
    </xf>
    <xf numFmtId="0" fontId="0" fillId="15" borderId="15" xfId="0" applyFill="1" applyBorder="1" applyAlignment="1">
      <alignment horizontal="center" vertical="center"/>
    </xf>
    <xf numFmtId="0" fontId="0" fillId="15" borderId="16" xfId="0" applyFill="1" applyBorder="1" applyAlignment="1">
      <alignment horizontal="center" vertical="center"/>
    </xf>
    <xf numFmtId="0" fontId="0" fillId="15" borderId="17" xfId="0" applyFill="1" applyBorder="1" applyAlignment="1">
      <alignment horizontal="center" vertical="center"/>
    </xf>
    <xf numFmtId="0" fontId="0" fillId="12" borderId="18" xfId="0" applyFill="1" applyBorder="1" applyAlignment="1"/>
    <xf numFmtId="0" fontId="0" fillId="12" borderId="20" xfId="0" applyFill="1" applyBorder="1" applyAlignment="1"/>
    <xf numFmtId="0" fontId="0" fillId="12" borderId="19" xfId="0" applyFill="1" applyBorder="1" applyAlignment="1"/>
    <xf numFmtId="1" fontId="0" fillId="0" borderId="45" xfId="0" applyNumberFormat="1" applyFill="1" applyBorder="1" applyAlignment="1" applyProtection="1">
      <alignment horizontal="center" vertical="center"/>
    </xf>
    <xf numFmtId="1" fontId="0" fillId="0" borderId="0" xfId="0" applyNumberFormat="1" applyBorder="1" applyAlignment="1" applyProtection="1">
      <alignment horizontal="center" vertical="center"/>
    </xf>
    <xf numFmtId="1" fontId="0" fillId="0" borderId="48" xfId="0" applyNumberFormat="1" applyBorder="1" applyAlignment="1" applyProtection="1">
      <alignment horizontal="center" vertical="center"/>
    </xf>
    <xf numFmtId="1" fontId="0" fillId="0" borderId="45" xfId="0" applyNumberFormat="1" applyBorder="1" applyAlignment="1" applyProtection="1">
      <alignment horizontal="center" vertical="center"/>
    </xf>
    <xf numFmtId="1" fontId="0" fillId="0" borderId="46" xfId="0" applyNumberFormat="1" applyBorder="1" applyAlignment="1" applyProtection="1">
      <alignment horizontal="center" vertical="center"/>
    </xf>
    <xf numFmtId="0" fontId="0" fillId="0" borderId="0" xfId="0" applyBorder="1" applyProtection="1"/>
    <xf numFmtId="0" fontId="0" fillId="0" borderId="42" xfId="0" applyBorder="1" applyAlignment="1" applyProtection="1">
      <alignment horizontal="center"/>
    </xf>
    <xf numFmtId="0" fontId="0" fillId="0" borderId="35" xfId="0" applyBorder="1" applyAlignment="1" applyProtection="1">
      <alignment horizontal="center"/>
    </xf>
    <xf numFmtId="0" fontId="0" fillId="0" borderId="39" xfId="0" applyBorder="1" applyAlignment="1" applyProtection="1">
      <alignment horizontal="center"/>
    </xf>
    <xf numFmtId="0" fontId="0" fillId="0" borderId="41" xfId="0" applyBorder="1" applyProtection="1"/>
    <xf numFmtId="1" fontId="0" fillId="0" borderId="47" xfId="0" applyNumberFormat="1" applyFill="1" applyBorder="1" applyAlignment="1" applyProtection="1">
      <alignment horizontal="center" vertical="center"/>
    </xf>
    <xf numFmtId="0" fontId="6" fillId="0" borderId="47" xfId="0" applyFont="1" applyFill="1" applyBorder="1" applyAlignment="1" applyProtection="1">
      <alignment horizontal="right" vertical="center"/>
    </xf>
    <xf numFmtId="0" fontId="0" fillId="0" borderId="41" xfId="0" applyBorder="1" applyAlignment="1" applyProtection="1">
      <alignment horizontal="center"/>
    </xf>
    <xf numFmtId="0" fontId="6" fillId="0" borderId="56" xfId="0" applyFont="1" applyFill="1" applyBorder="1" applyAlignment="1" applyProtection="1">
      <alignment horizontal="right" vertical="center"/>
    </xf>
    <xf numFmtId="0" fontId="6" fillId="13" borderId="59" xfId="0" applyFont="1" applyFill="1" applyBorder="1" applyAlignment="1" applyProtection="1">
      <alignment horizontal="right" vertical="center"/>
    </xf>
    <xf numFmtId="0" fontId="6" fillId="13" borderId="60" xfId="0" applyFont="1" applyFill="1" applyBorder="1" applyAlignment="1" applyProtection="1">
      <alignment horizontal="right" vertical="center"/>
    </xf>
    <xf numFmtId="0" fontId="6" fillId="13" borderId="61" xfId="0" applyFont="1" applyFill="1" applyBorder="1" applyAlignment="1" applyProtection="1">
      <alignment horizontal="right" vertical="center"/>
    </xf>
    <xf numFmtId="0" fontId="6" fillId="13" borderId="25" xfId="0" applyFont="1" applyFill="1" applyBorder="1" applyAlignment="1">
      <alignment horizontal="left" indent="1"/>
    </xf>
    <xf numFmtId="0" fontId="6" fillId="13" borderId="26" xfId="0" applyFont="1" applyFill="1" applyBorder="1" applyAlignment="1">
      <alignment horizontal="left" indent="1"/>
    </xf>
    <xf numFmtId="0" fontId="6" fillId="13" borderId="27" xfId="0" applyFont="1" applyFill="1" applyBorder="1" applyAlignment="1">
      <alignment horizontal="left" indent="1"/>
    </xf>
    <xf numFmtId="0" fontId="7" fillId="0" borderId="28" xfId="0" applyFont="1" applyBorder="1" applyAlignment="1">
      <alignment horizontal="left" vertical="top" wrapText="1" indent="1"/>
    </xf>
    <xf numFmtId="0" fontId="7" fillId="0" borderId="29" xfId="0" applyFont="1" applyBorder="1" applyAlignment="1">
      <alignment horizontal="left" vertical="top" wrapText="1" indent="1"/>
    </xf>
    <xf numFmtId="0" fontId="0" fillId="0" borderId="29" xfId="0" applyFont="1" applyBorder="1" applyAlignment="1">
      <alignment horizontal="left" vertical="top" wrapText="1" indent="1"/>
    </xf>
    <xf numFmtId="1" fontId="0" fillId="0" borderId="30" xfId="0" applyNumberFormat="1" applyBorder="1" applyAlignment="1">
      <alignment horizontal="left" vertical="top" indent="1"/>
    </xf>
    <xf numFmtId="2" fontId="3" fillId="0" borderId="2" xfId="0" applyNumberFormat="1" applyFont="1" applyFill="1" applyBorder="1" applyAlignment="1">
      <alignment horizontal="left" vertical="top" wrapText="1"/>
    </xf>
    <xf numFmtId="0" fontId="2" fillId="16" borderId="12" xfId="0" applyFont="1" applyFill="1" applyBorder="1" applyAlignment="1">
      <alignment horizontal="center" vertical="top" wrapText="1"/>
    </xf>
    <xf numFmtId="0" fontId="2" fillId="16" borderId="9" xfId="0" applyFont="1" applyFill="1" applyBorder="1" applyAlignment="1">
      <alignment horizontal="center" vertical="top" wrapText="1"/>
    </xf>
    <xf numFmtId="0" fontId="2" fillId="18" borderId="10" xfId="0" applyFont="1" applyFill="1" applyBorder="1" applyAlignment="1">
      <alignment horizontal="center" vertical="top" wrapText="1"/>
    </xf>
    <xf numFmtId="0" fontId="2" fillId="16" borderId="6" xfId="0" applyFont="1" applyFill="1" applyBorder="1" applyAlignment="1">
      <alignment horizontal="center" vertical="top" wrapText="1"/>
    </xf>
    <xf numFmtId="0" fontId="2" fillId="17" borderId="6" xfId="0" applyFont="1" applyFill="1" applyBorder="1" applyAlignment="1">
      <alignment horizontal="center" vertical="top" wrapText="1"/>
    </xf>
    <xf numFmtId="0" fontId="2" fillId="17" borderId="9" xfId="0" applyFont="1" applyFill="1" applyBorder="1" applyAlignment="1">
      <alignment horizontal="center" vertical="top" wrapText="1"/>
    </xf>
    <xf numFmtId="0" fontId="2" fillId="17" borderId="12" xfId="0" applyFont="1" applyFill="1" applyBorder="1" applyAlignment="1">
      <alignment horizontal="center" vertical="top" wrapText="1"/>
    </xf>
    <xf numFmtId="0" fontId="0" fillId="0" borderId="62" xfId="0" applyBorder="1"/>
    <xf numFmtId="0" fontId="0" fillId="0" borderId="67" xfId="0" applyBorder="1"/>
    <xf numFmtId="0" fontId="0" fillId="0" borderId="68" xfId="0" applyBorder="1"/>
    <xf numFmtId="0" fontId="0" fillId="0" borderId="69" xfId="0" applyBorder="1" applyAlignment="1">
      <alignment horizontal="center" vertical="center"/>
    </xf>
    <xf numFmtId="0" fontId="0" fillId="0" borderId="53" xfId="0" applyBorder="1" applyAlignment="1">
      <alignment horizontal="center" vertical="center"/>
    </xf>
    <xf numFmtId="0" fontId="2" fillId="10" borderId="8" xfId="0" applyFont="1" applyFill="1" applyBorder="1" applyAlignment="1">
      <alignment horizontal="center" vertical="top" wrapText="1"/>
    </xf>
    <xf numFmtId="0" fontId="2" fillId="10" borderId="6" xfId="0" applyFont="1" applyFill="1" applyBorder="1" applyAlignment="1">
      <alignment horizontal="center" vertical="top" wrapText="1"/>
    </xf>
    <xf numFmtId="0" fontId="2" fillId="9" borderId="6" xfId="0" applyFont="1" applyFill="1" applyBorder="1" applyAlignment="1">
      <alignment horizontal="center" vertical="top" wrapText="1"/>
    </xf>
    <xf numFmtId="0" fontId="0" fillId="12" borderId="2" xfId="0" applyFill="1" applyBorder="1" applyAlignment="1">
      <alignment wrapText="1"/>
    </xf>
    <xf numFmtId="0" fontId="10" fillId="0" borderId="70" xfId="0" applyFont="1" applyBorder="1" applyAlignment="1">
      <alignment horizontal="center" vertical="center" wrapText="1"/>
    </xf>
    <xf numFmtId="0" fontId="6" fillId="12" borderId="74" xfId="0" applyFont="1" applyFill="1" applyBorder="1" applyAlignment="1">
      <alignment horizontal="center" vertical="center"/>
    </xf>
    <xf numFmtId="0" fontId="9" fillId="14" borderId="75" xfId="0" applyFont="1" applyFill="1" applyBorder="1" applyAlignment="1">
      <alignment horizontal="center" vertical="center"/>
    </xf>
    <xf numFmtId="0" fontId="9" fillId="14" borderId="76" xfId="0" applyFont="1" applyFill="1" applyBorder="1" applyAlignment="1">
      <alignment horizontal="center" vertical="center"/>
    </xf>
    <xf numFmtId="0" fontId="6" fillId="12" borderId="62" xfId="0" applyFont="1" applyFill="1" applyBorder="1" applyAlignment="1">
      <alignment horizontal="center" vertical="center"/>
    </xf>
    <xf numFmtId="0" fontId="6" fillId="12" borderId="2" xfId="0" applyFont="1" applyFill="1" applyBorder="1" applyAlignment="1">
      <alignment horizontal="center" vertical="center"/>
    </xf>
    <xf numFmtId="0" fontId="9" fillId="14" borderId="63" xfId="0" applyFont="1" applyFill="1" applyBorder="1" applyAlignment="1">
      <alignment horizontal="center" vertical="center"/>
    </xf>
    <xf numFmtId="0" fontId="6" fillId="12" borderId="65" xfId="0" applyFont="1" applyFill="1" applyBorder="1" applyAlignment="1">
      <alignment horizontal="center" vertical="center"/>
    </xf>
    <xf numFmtId="0" fontId="6" fillId="12" borderId="66" xfId="0" applyFont="1" applyFill="1" applyBorder="1" applyAlignment="1">
      <alignment horizontal="center" vertical="center"/>
    </xf>
    <xf numFmtId="0" fontId="6" fillId="19" borderId="75" xfId="0" applyFont="1" applyFill="1" applyBorder="1" applyAlignment="1">
      <alignment horizontal="center" vertical="center"/>
    </xf>
    <xf numFmtId="0" fontId="6" fillId="19" borderId="2" xfId="0" applyFont="1" applyFill="1" applyBorder="1" applyAlignment="1">
      <alignment horizontal="center" vertical="center"/>
    </xf>
    <xf numFmtId="0" fontId="6" fillId="19" borderId="63" xfId="0" applyFont="1" applyFill="1" applyBorder="1" applyAlignment="1">
      <alignment horizontal="center" vertical="center"/>
    </xf>
    <xf numFmtId="0" fontId="6" fillId="13" borderId="62" xfId="0" applyFont="1" applyFill="1" applyBorder="1" applyAlignment="1">
      <alignment horizontal="center" vertical="center"/>
    </xf>
    <xf numFmtId="0" fontId="6" fillId="13" borderId="64" xfId="0" applyFont="1" applyFill="1" applyBorder="1" applyAlignment="1">
      <alignment horizontal="center" vertical="center"/>
    </xf>
    <xf numFmtId="0" fontId="6" fillId="13" borderId="65" xfId="0" applyFont="1" applyFill="1" applyBorder="1" applyAlignment="1">
      <alignment horizontal="center" vertical="center"/>
    </xf>
    <xf numFmtId="0" fontId="6" fillId="13" borderId="78" xfId="0" applyFont="1" applyFill="1" applyBorder="1" applyAlignment="1">
      <alignment horizontal="center" vertical="center"/>
    </xf>
    <xf numFmtId="0" fontId="6" fillId="13" borderId="71" xfId="0" applyFont="1" applyFill="1" applyBorder="1" applyAlignment="1">
      <alignment horizontal="center" vertical="center"/>
    </xf>
    <xf numFmtId="0" fontId="6" fillId="12" borderId="77" xfId="0" applyFont="1" applyFill="1" applyBorder="1" applyAlignment="1">
      <alignment horizontal="center" vertical="center"/>
    </xf>
    <xf numFmtId="0" fontId="6" fillId="12" borderId="26" xfId="0" applyFont="1" applyFill="1" applyBorder="1" applyAlignment="1">
      <alignment horizontal="center" vertical="center"/>
    </xf>
    <xf numFmtId="0" fontId="6" fillId="19" borderId="77" xfId="0" applyFont="1" applyFill="1" applyBorder="1" applyAlignment="1">
      <alignment horizontal="center" vertical="center"/>
    </xf>
    <xf numFmtId="0" fontId="6" fillId="19" borderId="26" xfId="0" applyFont="1" applyFill="1" applyBorder="1" applyAlignment="1">
      <alignment horizontal="center" vertical="center"/>
    </xf>
    <xf numFmtId="0" fontId="9" fillId="14" borderId="73" xfId="0" applyFont="1" applyFill="1" applyBorder="1" applyAlignment="1">
      <alignment horizontal="center" vertical="center"/>
    </xf>
    <xf numFmtId="0" fontId="9" fillId="14" borderId="72" xfId="0" applyFont="1" applyFill="1" applyBorder="1" applyAlignment="1">
      <alignment horizontal="center" vertical="center"/>
    </xf>
    <xf numFmtId="0" fontId="11" fillId="0" borderId="0" xfId="0" applyFont="1" applyAlignment="1">
      <alignment horizontal="right"/>
    </xf>
    <xf numFmtId="2" fontId="11" fillId="0" borderId="0" xfId="0" applyNumberFormat="1" applyFont="1"/>
    <xf numFmtId="1" fontId="3" fillId="20" borderId="2" xfId="0" applyNumberFormat="1" applyFont="1" applyFill="1" applyBorder="1" applyAlignment="1">
      <alignment horizontal="center" vertical="center" wrapText="1"/>
    </xf>
    <xf numFmtId="9" fontId="3" fillId="20" borderId="2" xfId="0" applyNumberFormat="1" applyFont="1" applyFill="1" applyBorder="1" applyAlignment="1">
      <alignment horizontal="center" vertical="center" wrapText="1"/>
    </xf>
    <xf numFmtId="0" fontId="0" fillId="0" borderId="2" xfId="0" applyBorder="1" applyAlignment="1">
      <alignment vertical="top" wrapText="1"/>
    </xf>
    <xf numFmtId="0" fontId="0" fillId="0" borderId="2" xfId="0" applyBorder="1" applyAlignment="1">
      <alignment horizontal="center" vertical="center" wrapText="1"/>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0" fillId="0" borderId="79" xfId="0" applyBorder="1"/>
    <xf numFmtId="0" fontId="0" fillId="0" borderId="5" xfId="0" applyFill="1" applyBorder="1"/>
    <xf numFmtId="0" fontId="0" fillId="0" borderId="0" xfId="0" applyFill="1" applyBorder="1" applyAlignment="1">
      <alignment wrapText="1"/>
    </xf>
    <xf numFmtId="0" fontId="16" fillId="0" borderId="0" xfId="0" applyFont="1"/>
    <xf numFmtId="0" fontId="2" fillId="11" borderId="10" xfId="0" applyFont="1" applyFill="1" applyBorder="1" applyAlignment="1">
      <alignment horizontal="left" vertical="top" wrapText="1"/>
    </xf>
    <xf numFmtId="0" fontId="2" fillId="18" borderId="10" xfId="0" applyFont="1" applyFill="1" applyBorder="1" applyAlignment="1">
      <alignment horizontal="left" vertical="top" wrapText="1"/>
    </xf>
    <xf numFmtId="0" fontId="15" fillId="11" borderId="10" xfId="0" applyFont="1" applyFill="1" applyBorder="1" applyAlignment="1">
      <alignment horizontal="left" vertical="top" wrapText="1"/>
    </xf>
    <xf numFmtId="0" fontId="2" fillId="9" borderId="9" xfId="0" applyFont="1" applyFill="1" applyBorder="1" applyAlignment="1">
      <alignment horizontal="left" vertical="top" wrapText="1"/>
    </xf>
    <xf numFmtId="0" fontId="2" fillId="9" borderId="6" xfId="0" applyFont="1" applyFill="1" applyBorder="1" applyAlignment="1">
      <alignment horizontal="left" vertical="top" wrapText="1"/>
    </xf>
    <xf numFmtId="0" fontId="2" fillId="16" borderId="6" xfId="0" applyFont="1" applyFill="1" applyBorder="1" applyAlignment="1">
      <alignment horizontal="left" vertical="top" wrapText="1"/>
    </xf>
    <xf numFmtId="0" fontId="2" fillId="10" borderId="6" xfId="0" applyFont="1" applyFill="1" applyBorder="1" applyAlignment="1">
      <alignment horizontal="left" vertical="top" wrapText="1"/>
    </xf>
    <xf numFmtId="0" fontId="2" fillId="17" borderId="6" xfId="0" applyFont="1" applyFill="1" applyBorder="1" applyAlignment="1">
      <alignment horizontal="left" vertical="top" wrapText="1"/>
    </xf>
    <xf numFmtId="0" fontId="2" fillId="17" borderId="9" xfId="0" applyFont="1" applyFill="1" applyBorder="1" applyAlignment="1">
      <alignment horizontal="left" vertical="top" wrapText="1"/>
    </xf>
    <xf numFmtId="0" fontId="2" fillId="10" borderId="12" xfId="0" applyFont="1" applyFill="1" applyBorder="1" applyAlignment="1">
      <alignment horizontal="left" vertical="top" wrapText="1"/>
    </xf>
    <xf numFmtId="0" fontId="2" fillId="17" borderId="12" xfId="0" applyFont="1" applyFill="1" applyBorder="1" applyAlignment="1">
      <alignment horizontal="left" vertical="top" wrapText="1"/>
    </xf>
    <xf numFmtId="0" fontId="2" fillId="16" borderId="12" xfId="0" applyFont="1" applyFill="1" applyBorder="1" applyAlignment="1">
      <alignment horizontal="left" vertical="top" wrapText="1"/>
    </xf>
    <xf numFmtId="0" fontId="0" fillId="0" borderId="0" xfId="0" applyAlignment="1">
      <alignment horizontal="left" vertical="top"/>
    </xf>
    <xf numFmtId="0" fontId="2" fillId="22" borderId="9" xfId="0" applyFont="1" applyFill="1" applyBorder="1" applyAlignment="1">
      <alignment horizontal="left" vertical="top" wrapText="1"/>
    </xf>
    <xf numFmtId="49" fontId="2" fillId="22" borderId="9" xfId="0" applyNumberFormat="1" applyFont="1" applyFill="1" applyBorder="1" applyAlignment="1">
      <alignment horizontal="left" vertical="top" wrapText="1"/>
    </xf>
    <xf numFmtId="9" fontId="2" fillId="16" borderId="9" xfId="15" applyFont="1" applyFill="1" applyBorder="1" applyAlignment="1">
      <alignment horizontal="left" vertical="top" wrapText="1"/>
    </xf>
    <xf numFmtId="0" fontId="2" fillId="21" borderId="11" xfId="0" applyFont="1" applyFill="1" applyBorder="1" applyAlignment="1">
      <alignment horizontal="left" vertical="top" wrapText="1"/>
    </xf>
    <xf numFmtId="0" fontId="2" fillId="21" borderId="6" xfId="0" applyFont="1" applyFill="1" applyBorder="1" applyAlignment="1">
      <alignment horizontal="left" vertical="top" wrapText="1"/>
    </xf>
    <xf numFmtId="0" fontId="2" fillId="21" borderId="12" xfId="0" applyFont="1" applyFill="1" applyBorder="1" applyAlignment="1">
      <alignment horizontal="left" vertical="top" wrapText="1"/>
    </xf>
    <xf numFmtId="0" fontId="0" fillId="0" borderId="0" xfId="0" applyAlignment="1">
      <alignment horizontal="left" wrapText="1"/>
    </xf>
    <xf numFmtId="0" fontId="17" fillId="16" borderId="0" xfId="0" applyFont="1" applyFill="1" applyAlignment="1">
      <alignment horizontal="right" vertical="top"/>
    </xf>
    <xf numFmtId="0" fontId="2" fillId="9" borderId="80" xfId="0" applyFont="1" applyFill="1" applyBorder="1" applyAlignment="1">
      <alignment horizontal="left" vertical="top" wrapText="1"/>
    </xf>
    <xf numFmtId="0" fontId="2" fillId="11" borderId="81" xfId="0" applyFont="1" applyFill="1" applyBorder="1" applyAlignment="1">
      <alignment horizontal="left" vertical="top" wrapText="1"/>
    </xf>
    <xf numFmtId="0" fontId="18" fillId="11" borderId="82" xfId="0" applyFont="1" applyFill="1" applyBorder="1" applyAlignment="1">
      <alignment horizontal="left" vertical="top"/>
    </xf>
    <xf numFmtId="0" fontId="2" fillId="9" borderId="83" xfId="0" applyFont="1" applyFill="1" applyBorder="1" applyAlignment="1">
      <alignment horizontal="left" vertical="top" wrapText="1"/>
    </xf>
    <xf numFmtId="0" fontId="2" fillId="21" borderId="84" xfId="0" applyFont="1" applyFill="1" applyBorder="1" applyAlignment="1">
      <alignment horizontal="left" vertical="top" wrapText="1"/>
    </xf>
    <xf numFmtId="0" fontId="19" fillId="21" borderId="5" xfId="0" applyFont="1" applyFill="1" applyBorder="1" applyAlignment="1">
      <alignment horizontal="left" vertical="top"/>
    </xf>
    <xf numFmtId="0" fontId="20" fillId="0" borderId="0" xfId="0" applyFont="1"/>
    <xf numFmtId="0" fontId="21" fillId="11" borderId="24" xfId="0" applyFont="1" applyFill="1" applyBorder="1" applyAlignment="1">
      <alignment horizontal="left"/>
    </xf>
    <xf numFmtId="0" fontId="22" fillId="21" borderId="24" xfId="0" applyFont="1" applyFill="1" applyBorder="1" applyAlignment="1">
      <alignment horizontal="left"/>
    </xf>
    <xf numFmtId="0" fontId="9" fillId="24" borderId="0" xfId="0" applyFont="1" applyFill="1" applyAlignment="1">
      <alignment horizontal="left" vertical="top"/>
    </xf>
    <xf numFmtId="0" fontId="21" fillId="24" borderId="0" xfId="0" applyFont="1" applyFill="1"/>
    <xf numFmtId="0" fontId="6" fillId="23" borderId="0" xfId="0" applyFont="1" applyFill="1" applyAlignment="1">
      <alignment horizontal="left"/>
    </xf>
    <xf numFmtId="0" fontId="0" fillId="0" borderId="2" xfId="0" applyFill="1" applyBorder="1" applyAlignment="1">
      <alignment horizontal="left" vertical="top" wrapText="1"/>
    </xf>
    <xf numFmtId="0" fontId="0" fillId="0" borderId="2" xfId="0" applyBorder="1" applyAlignment="1">
      <alignment horizontal="left" vertical="top" wrapText="1"/>
    </xf>
    <xf numFmtId="9" fontId="0" fillId="0" borderId="2" xfId="15" applyFont="1" applyBorder="1" applyAlignment="1">
      <alignment horizontal="left" vertical="top" wrapText="1"/>
    </xf>
    <xf numFmtId="0" fontId="23" fillId="0" borderId="2" xfId="0" applyFont="1" applyBorder="1" applyAlignment="1">
      <alignment vertical="top" wrapText="1"/>
    </xf>
    <xf numFmtId="0" fontId="12" fillId="0" borderId="2" xfId="0" applyFont="1" applyBorder="1" applyAlignment="1">
      <alignment vertical="top" wrapText="1"/>
    </xf>
    <xf numFmtId="0" fontId="23" fillId="0" borderId="2" xfId="0" applyFont="1" applyBorder="1" applyAlignment="1">
      <alignment horizontal="left" vertical="top" wrapText="1"/>
    </xf>
    <xf numFmtId="0" fontId="12" fillId="0" borderId="2" xfId="0" applyFont="1" applyBorder="1" applyAlignment="1">
      <alignment horizontal="left" vertical="top" wrapText="1"/>
    </xf>
    <xf numFmtId="0" fontId="0" fillId="0" borderId="2" xfId="0" applyBorder="1" applyAlignment="1">
      <alignment horizontal="left" vertical="top"/>
    </xf>
    <xf numFmtId="2" fontId="3" fillId="20" borderId="2" xfId="0" applyNumberFormat="1" applyFont="1" applyFill="1" applyBorder="1" applyAlignment="1">
      <alignment horizontal="center" vertical="center" wrapText="1"/>
    </xf>
    <xf numFmtId="9" fontId="14" fillId="0" borderId="2" xfId="0" applyNumberFormat="1" applyFont="1" applyFill="1" applyBorder="1" applyAlignment="1">
      <alignment horizontal="center" vertical="center" wrapText="1"/>
    </xf>
    <xf numFmtId="0" fontId="5" fillId="20" borderId="2" xfId="0" applyFont="1" applyFill="1" applyBorder="1" applyAlignment="1">
      <alignment horizontal="left" vertical="center" wrapText="1"/>
    </xf>
    <xf numFmtId="49" fontId="5" fillId="20" borderId="2" xfId="0" applyNumberFormat="1" applyFont="1" applyFill="1" applyBorder="1" applyAlignment="1">
      <alignment horizontal="left" vertical="center" wrapText="1"/>
    </xf>
    <xf numFmtId="0" fontId="5" fillId="0" borderId="2" xfId="0" applyFont="1" applyFill="1" applyBorder="1" applyAlignment="1">
      <alignment horizontal="left" vertical="center" wrapText="1"/>
    </xf>
    <xf numFmtId="9" fontId="5" fillId="20" borderId="2" xfId="15" applyFont="1" applyFill="1" applyBorder="1" applyAlignment="1">
      <alignment horizontal="left" vertical="center" wrapText="1"/>
    </xf>
    <xf numFmtId="1" fontId="5" fillId="20" borderId="2" xfId="0" applyNumberFormat="1" applyFont="1" applyFill="1" applyBorder="1" applyAlignment="1">
      <alignment horizontal="left" vertical="center" wrapText="1"/>
    </xf>
    <xf numFmtId="1" fontId="3" fillId="20" borderId="2" xfId="1" applyNumberFormat="1" applyFont="1" applyFill="1" applyBorder="1" applyAlignment="1">
      <alignment horizontal="center" vertical="center" wrapText="1"/>
    </xf>
    <xf numFmtId="0" fontId="5" fillId="20" borderId="2" xfId="0" applyFont="1" applyFill="1" applyBorder="1" applyAlignment="1">
      <alignment horizontal="left" vertical="top" wrapText="1"/>
    </xf>
    <xf numFmtId="0" fontId="5" fillId="20" borderId="2" xfId="0" applyFont="1" applyFill="1" applyBorder="1" applyAlignment="1">
      <alignment horizontal="center" vertical="center"/>
    </xf>
    <xf numFmtId="164" fontId="3" fillId="20" borderId="2" xfId="0" applyNumberFormat="1" applyFont="1" applyFill="1" applyBorder="1" applyAlignment="1">
      <alignment horizontal="center" vertical="center" wrapText="1"/>
    </xf>
    <xf numFmtId="2" fontId="3" fillId="20" borderId="2" xfId="0" applyNumberFormat="1" applyFont="1" applyFill="1" applyBorder="1" applyAlignment="1">
      <alignment horizontal="left" vertical="top" wrapText="1"/>
    </xf>
    <xf numFmtId="0" fontId="3" fillId="20" borderId="2" xfId="0" applyFont="1" applyFill="1" applyBorder="1" applyAlignment="1">
      <alignment horizontal="left" vertical="top" wrapText="1"/>
    </xf>
    <xf numFmtId="0" fontId="0" fillId="20" borderId="2" xfId="0" applyFill="1" applyBorder="1" applyAlignment="1">
      <alignment horizontal="left" vertical="top" wrapText="1"/>
    </xf>
    <xf numFmtId="9" fontId="18" fillId="26" borderId="2" xfId="0" applyNumberFormat="1"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2" xfId="0" applyFont="1" applyFill="1" applyBorder="1" applyAlignment="1">
      <alignment horizontal="center" vertical="top" wrapText="1"/>
    </xf>
    <xf numFmtId="0" fontId="2" fillId="22" borderId="2" xfId="0" applyFont="1" applyFill="1" applyBorder="1" applyAlignment="1">
      <alignment horizontal="center" vertical="center" wrapText="1"/>
    </xf>
    <xf numFmtId="49" fontId="2" fillId="22" borderId="2" xfId="0" applyNumberFormat="1" applyFont="1" applyFill="1" applyBorder="1" applyAlignment="1">
      <alignment horizontal="center" vertical="center" wrapText="1"/>
    </xf>
    <xf numFmtId="0" fontId="2" fillId="9" borderId="2" xfId="0" applyFont="1" applyFill="1" applyBorder="1" applyAlignment="1">
      <alignment horizontal="center" vertical="center" wrapText="1"/>
    </xf>
    <xf numFmtId="9" fontId="2" fillId="16" borderId="2" xfId="15" applyFont="1" applyFill="1" applyBorder="1" applyAlignment="1">
      <alignment horizontal="left" vertical="center" wrapText="1"/>
    </xf>
    <xf numFmtId="0" fontId="2" fillId="11" borderId="2" xfId="0" applyFont="1" applyFill="1" applyBorder="1" applyAlignment="1">
      <alignment horizontal="center" vertical="top" wrapText="1"/>
    </xf>
    <xf numFmtId="0" fontId="2" fillId="11" borderId="2" xfId="0" applyFont="1" applyFill="1" applyBorder="1" applyAlignment="1">
      <alignment horizontal="center" vertical="center" wrapText="1"/>
    </xf>
    <xf numFmtId="0" fontId="2" fillId="18" borderId="2" xfId="0" applyFont="1" applyFill="1" applyBorder="1" applyAlignment="1">
      <alignment horizontal="center" vertical="top" wrapText="1"/>
    </xf>
    <xf numFmtId="0" fontId="15" fillId="11" borderId="2" xfId="0" applyFont="1" applyFill="1" applyBorder="1" applyAlignment="1">
      <alignment horizontal="center" vertical="top" wrapText="1"/>
    </xf>
    <xf numFmtId="0" fontId="2" fillId="9" borderId="2" xfId="0" applyFont="1" applyFill="1" applyBorder="1" applyAlignment="1">
      <alignment horizontal="center" vertical="top" wrapText="1"/>
    </xf>
    <xf numFmtId="0" fontId="2" fillId="16" borderId="2" xfId="0" applyFont="1" applyFill="1" applyBorder="1" applyAlignment="1">
      <alignment horizontal="center" vertical="top" wrapText="1"/>
    </xf>
    <xf numFmtId="0" fontId="2" fillId="21" borderId="2" xfId="0" applyFont="1" applyFill="1" applyBorder="1" applyAlignment="1">
      <alignment horizontal="center" vertical="center" wrapText="1"/>
    </xf>
    <xf numFmtId="0" fontId="2" fillId="10" borderId="2" xfId="0" applyFont="1" applyFill="1" applyBorder="1" applyAlignment="1">
      <alignment horizontal="center" vertical="top" wrapText="1"/>
    </xf>
    <xf numFmtId="0" fontId="2" fillId="17" borderId="2" xfId="0" applyFont="1" applyFill="1" applyBorder="1" applyAlignment="1">
      <alignment horizontal="center" vertical="top" wrapText="1"/>
    </xf>
    <xf numFmtId="0" fontId="12" fillId="0" borderId="2" xfId="0" applyFont="1" applyFill="1" applyBorder="1" applyAlignment="1">
      <alignment horizontal="left" vertical="center" wrapText="1"/>
    </xf>
    <xf numFmtId="49" fontId="12" fillId="0" borderId="2" xfId="0" applyNumberFormat="1" applyFont="1" applyFill="1" applyBorder="1" applyAlignment="1">
      <alignment horizontal="left" vertical="center" wrapText="1"/>
    </xf>
    <xf numFmtId="9" fontId="5" fillId="0" borderId="2" xfId="15" applyFont="1" applyFill="1" applyBorder="1" applyAlignment="1">
      <alignment horizontal="left" vertical="center" wrapText="1"/>
    </xf>
    <xf numFmtId="1" fontId="12" fillId="0" borderId="2" xfId="0" applyNumberFormat="1" applyFont="1" applyFill="1" applyBorder="1" applyAlignment="1">
      <alignment horizontal="left" vertical="center" wrapText="1"/>
    </xf>
    <xf numFmtId="1" fontId="3" fillId="0" borderId="2" xfId="1" applyNumberFormat="1" applyFont="1" applyFill="1" applyBorder="1" applyAlignment="1">
      <alignment horizontal="center" vertical="center" wrapText="1"/>
    </xf>
    <xf numFmtId="9" fontId="12" fillId="0" borderId="2" xfId="0" applyNumberFormat="1" applyFont="1" applyFill="1" applyBorder="1" applyAlignment="1">
      <alignment horizontal="center" vertical="center" wrapText="1"/>
    </xf>
    <xf numFmtId="1" fontId="12" fillId="0" borderId="2"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left" vertical="center" wrapText="1"/>
    </xf>
    <xf numFmtId="1" fontId="5" fillId="0" borderId="2" xfId="0" applyNumberFormat="1" applyFont="1" applyFill="1" applyBorder="1" applyAlignment="1">
      <alignment horizontal="left" vertical="center" wrapText="1"/>
    </xf>
    <xf numFmtId="9" fontId="5" fillId="0" borderId="2" xfId="15" applyFont="1" applyFill="1" applyBorder="1" applyAlignment="1">
      <alignment horizontal="left" vertical="top" wrapText="1"/>
    </xf>
    <xf numFmtId="9" fontId="12" fillId="20" borderId="2" xfId="0" applyNumberFormat="1" applyFont="1" applyFill="1" applyBorder="1" applyAlignment="1">
      <alignment horizontal="center" vertical="center" wrapText="1"/>
    </xf>
    <xf numFmtId="1" fontId="12" fillId="20" borderId="2" xfId="0" applyNumberFormat="1" applyFont="1" applyFill="1" applyBorder="1" applyAlignment="1">
      <alignment horizontal="center" vertical="center" wrapText="1"/>
    </xf>
    <xf numFmtId="164" fontId="12" fillId="20" borderId="2" xfId="0" applyNumberFormat="1" applyFont="1" applyFill="1" applyBorder="1" applyAlignment="1">
      <alignment horizontal="center" vertical="center" wrapText="1"/>
    </xf>
    <xf numFmtId="1" fontId="12" fillId="20" borderId="2" xfId="0" applyNumberFormat="1" applyFont="1" applyFill="1" applyBorder="1" applyAlignment="1">
      <alignment horizontal="left" vertical="center" wrapText="1"/>
    </xf>
    <xf numFmtId="0" fontId="0" fillId="0" borderId="2" xfId="0" applyFill="1" applyBorder="1" applyAlignment="1">
      <alignment vertical="top"/>
    </xf>
    <xf numFmtId="0" fontId="5" fillId="20" borderId="2" xfId="0" applyNumberFormat="1" applyFont="1" applyFill="1" applyBorder="1" applyAlignment="1">
      <alignment horizontal="left" vertical="center" wrapText="1"/>
    </xf>
    <xf numFmtId="2" fontId="0" fillId="0" borderId="2" xfId="0" applyNumberFormat="1" applyBorder="1" applyAlignment="1">
      <alignment horizontal="left" vertical="top" wrapText="1"/>
    </xf>
    <xf numFmtId="49" fontId="0" fillId="0" borderId="2" xfId="0" applyNumberFormat="1" applyBorder="1" applyAlignment="1">
      <alignment horizontal="left" vertical="top" wrapText="1"/>
    </xf>
    <xf numFmtId="2" fontId="25" fillId="25" borderId="2" xfId="0" applyNumberFormat="1" applyFont="1" applyFill="1" applyBorder="1" applyAlignment="1">
      <alignment horizontal="center" vertical="center" wrapText="1"/>
    </xf>
    <xf numFmtId="0" fontId="0" fillId="0" borderId="2" xfId="0" applyFont="1" applyBorder="1" applyAlignment="1">
      <alignment horizontal="left" vertical="top" wrapText="1"/>
    </xf>
    <xf numFmtId="0" fontId="26" fillId="22" borderId="2" xfId="0" applyFont="1" applyFill="1" applyBorder="1" applyAlignment="1">
      <alignment horizontal="left" vertical="top" wrapText="1"/>
    </xf>
    <xf numFmtId="0" fontId="13" fillId="0" borderId="2" xfId="0" applyFont="1" applyBorder="1" applyAlignment="1">
      <alignment horizontal="left" vertical="top" wrapText="1"/>
    </xf>
    <xf numFmtId="0" fontId="27" fillId="0" borderId="0" xfId="0" applyFont="1" applyAlignment="1">
      <alignment vertical="top" wrapText="1"/>
    </xf>
    <xf numFmtId="0" fontId="12" fillId="0" borderId="2" xfId="0" applyFont="1" applyBorder="1" applyAlignment="1">
      <alignment horizontal="left" vertical="center" wrapText="1"/>
    </xf>
    <xf numFmtId="0" fontId="12" fillId="0" borderId="2" xfId="0" applyFont="1" applyBorder="1" applyAlignment="1">
      <alignment horizontal="center" vertical="center" wrapText="1"/>
    </xf>
    <xf numFmtId="1" fontId="12" fillId="0" borderId="2" xfId="0" applyNumberFormat="1" applyFont="1" applyBorder="1" applyAlignment="1">
      <alignment horizontal="center" vertical="center" wrapText="1"/>
    </xf>
    <xf numFmtId="165" fontId="3" fillId="20" borderId="2" xfId="0" applyNumberFormat="1" applyFont="1" applyFill="1" applyBorder="1" applyAlignment="1">
      <alignment horizontal="center" vertical="center" wrapText="1"/>
    </xf>
    <xf numFmtId="0" fontId="29" fillId="0" borderId="0" xfId="0" applyFont="1" applyAlignment="1">
      <alignment horizontal="left" vertical="top" wrapText="1"/>
    </xf>
    <xf numFmtId="0" fontId="29" fillId="0" borderId="0" xfId="0" applyFont="1" applyAlignment="1">
      <alignment horizontal="left" vertical="top"/>
    </xf>
    <xf numFmtId="166" fontId="0" fillId="0" borderId="0" xfId="16" applyNumberFormat="1" applyFont="1"/>
    <xf numFmtId="0" fontId="0" fillId="0" borderId="0" xfId="0" applyAlignment="1">
      <alignment wrapText="1"/>
    </xf>
    <xf numFmtId="166" fontId="0" fillId="0" borderId="0" xfId="16" applyNumberFormat="1" applyFont="1" applyAlignment="1">
      <alignment wrapText="1"/>
    </xf>
    <xf numFmtId="0" fontId="2" fillId="9" borderId="2" xfId="0" applyFont="1" applyFill="1" applyBorder="1" applyAlignment="1">
      <alignment horizontal="left" vertical="top" wrapText="1"/>
    </xf>
    <xf numFmtId="0" fontId="12" fillId="20" borderId="2" xfId="0" applyFont="1" applyFill="1" applyBorder="1" applyAlignment="1">
      <alignment horizontal="left" vertical="center" wrapText="1"/>
    </xf>
    <xf numFmtId="0" fontId="30" fillId="0" borderId="2" xfId="0" applyFont="1" applyBorder="1" applyAlignment="1">
      <alignment horizontal="left" vertical="center" wrapText="1"/>
    </xf>
    <xf numFmtId="0" fontId="30" fillId="20" borderId="2" xfId="0" applyFont="1" applyFill="1" applyBorder="1" applyAlignment="1">
      <alignment horizontal="left" vertical="center" wrapText="1"/>
    </xf>
    <xf numFmtId="9" fontId="30" fillId="20" borderId="2" xfId="15" applyFont="1" applyFill="1" applyBorder="1" applyAlignment="1">
      <alignment horizontal="left" vertical="center" wrapText="1"/>
    </xf>
    <xf numFmtId="1" fontId="12" fillId="20" borderId="2" xfId="1" applyNumberFormat="1" applyFont="1" applyFill="1" applyBorder="1" applyAlignment="1">
      <alignment horizontal="center" vertical="center" wrapText="1"/>
    </xf>
    <xf numFmtId="2" fontId="12" fillId="20" borderId="2" xfId="0" applyNumberFormat="1" applyFont="1" applyFill="1" applyBorder="1" applyAlignment="1">
      <alignment horizontal="center" vertical="center" wrapText="1"/>
    </xf>
    <xf numFmtId="9" fontId="13" fillId="0" borderId="2" xfId="0" applyNumberFormat="1" applyFont="1" applyBorder="1" applyAlignment="1">
      <alignment horizontal="center" vertical="center" wrapText="1"/>
    </xf>
    <xf numFmtId="0" fontId="12" fillId="20" borderId="2" xfId="0" applyFont="1" applyFill="1" applyBorder="1" applyAlignment="1">
      <alignment horizontal="left" vertical="top" wrapText="1"/>
    </xf>
    <xf numFmtId="0" fontId="12" fillId="20" borderId="2" xfId="0" applyFont="1" applyFill="1" applyBorder="1" applyAlignment="1">
      <alignment horizontal="center" vertical="center"/>
    </xf>
    <xf numFmtId="1" fontId="31" fillId="20" borderId="2" xfId="0" applyNumberFormat="1" applyFont="1" applyFill="1" applyBorder="1" applyAlignment="1">
      <alignment horizontal="center" vertical="center" wrapText="1"/>
    </xf>
    <xf numFmtId="2" fontId="31" fillId="20" borderId="2" xfId="0" applyNumberFormat="1" applyFont="1" applyFill="1" applyBorder="1" applyAlignment="1">
      <alignment horizontal="center" vertical="center" wrapText="1"/>
    </xf>
    <xf numFmtId="9" fontId="31" fillId="20" borderId="2" xfId="0" applyNumberFormat="1" applyFont="1" applyFill="1" applyBorder="1" applyAlignment="1">
      <alignment horizontal="center" vertical="center" wrapText="1"/>
    </xf>
    <xf numFmtId="2" fontId="12" fillId="20" borderId="2" xfId="0" applyNumberFormat="1" applyFont="1" applyFill="1" applyBorder="1" applyAlignment="1">
      <alignment horizontal="left" vertical="top" wrapText="1"/>
    </xf>
    <xf numFmtId="2" fontId="31" fillId="0" borderId="2" xfId="0" applyNumberFormat="1" applyFont="1" applyBorder="1" applyAlignment="1">
      <alignment horizontal="left" vertical="top" wrapText="1"/>
    </xf>
    <xf numFmtId="2" fontId="31" fillId="20" borderId="2" xfId="0" applyNumberFormat="1" applyFont="1" applyFill="1" applyBorder="1" applyAlignment="1">
      <alignment horizontal="left" vertical="top" wrapText="1"/>
    </xf>
    <xf numFmtId="0" fontId="32" fillId="0" borderId="2" xfId="0" applyFont="1" applyFill="1" applyBorder="1" applyAlignment="1">
      <alignment horizontal="left" vertical="center" wrapText="1"/>
    </xf>
    <xf numFmtId="9" fontId="32" fillId="0" borderId="2" xfId="0" applyNumberFormat="1" applyFont="1" applyFill="1" applyBorder="1" applyAlignment="1">
      <alignment horizontal="center" vertical="center" wrapText="1"/>
    </xf>
    <xf numFmtId="1" fontId="32" fillId="0" borderId="2" xfId="0" applyNumberFormat="1" applyFont="1" applyFill="1" applyBorder="1" applyAlignment="1">
      <alignment horizontal="center" vertical="center" wrapText="1"/>
    </xf>
    <xf numFmtId="164" fontId="32" fillId="0" borderId="2" xfId="0" applyNumberFormat="1" applyFont="1" applyFill="1" applyBorder="1" applyAlignment="1">
      <alignment horizontal="center" vertical="center" wrapText="1"/>
    </xf>
    <xf numFmtId="9" fontId="32" fillId="20" borderId="2" xfId="0" applyNumberFormat="1" applyFont="1" applyFill="1" applyBorder="1" applyAlignment="1">
      <alignment horizontal="center" vertical="center" wrapText="1"/>
    </xf>
    <xf numFmtId="1" fontId="32" fillId="20" borderId="2" xfId="0" applyNumberFormat="1" applyFont="1" applyFill="1" applyBorder="1" applyAlignment="1">
      <alignment horizontal="center" vertical="center" wrapText="1"/>
    </xf>
    <xf numFmtId="164" fontId="32" fillId="20" borderId="2" xfId="0" applyNumberFormat="1" applyFont="1" applyFill="1" applyBorder="1" applyAlignment="1">
      <alignment horizontal="center" vertical="center" wrapText="1"/>
    </xf>
    <xf numFmtId="0" fontId="0" fillId="0" borderId="2" xfId="0" applyFont="1" applyBorder="1" applyAlignment="1">
      <alignment horizontal="center" vertical="center"/>
    </xf>
    <xf numFmtId="0" fontId="0" fillId="12" borderId="2" xfId="0" applyFill="1" applyBorder="1" applyAlignment="1">
      <alignment horizontal="left" vertical="top" wrapText="1"/>
    </xf>
    <xf numFmtId="0" fontId="12" fillId="12" borderId="2" xfId="0" applyFont="1" applyFill="1" applyBorder="1" applyAlignment="1">
      <alignment horizontal="left" vertical="center" wrapText="1"/>
    </xf>
    <xf numFmtId="0" fontId="5" fillId="12" borderId="2" xfId="0" applyFont="1" applyFill="1" applyBorder="1" applyAlignment="1">
      <alignment horizontal="left" vertical="center" wrapText="1"/>
    </xf>
    <xf numFmtId="9" fontId="5" fillId="12" borderId="2" xfId="15" applyFont="1" applyFill="1" applyBorder="1" applyAlignment="1">
      <alignment horizontal="left" vertical="center" wrapText="1"/>
    </xf>
    <xf numFmtId="1" fontId="12" fillId="12" borderId="2" xfId="0" applyNumberFormat="1" applyFont="1" applyFill="1" applyBorder="1" applyAlignment="1">
      <alignment horizontal="left" vertical="center" wrapText="1"/>
    </xf>
    <xf numFmtId="9" fontId="3" fillId="12" borderId="2" xfId="0" applyNumberFormat="1" applyFont="1" applyFill="1" applyBorder="1" applyAlignment="1">
      <alignment horizontal="center" vertical="center" wrapText="1"/>
    </xf>
    <xf numFmtId="2" fontId="3" fillId="12" borderId="2" xfId="0" applyNumberFormat="1" applyFont="1" applyFill="1" applyBorder="1" applyAlignment="1">
      <alignment horizontal="center" vertical="center" wrapText="1"/>
    </xf>
    <xf numFmtId="9" fontId="14" fillId="12" borderId="2" xfId="0" applyNumberFormat="1" applyFont="1" applyFill="1" applyBorder="1" applyAlignment="1">
      <alignment horizontal="center" vertical="center" wrapText="1"/>
    </xf>
    <xf numFmtId="9" fontId="12" fillId="12" borderId="2" xfId="0" applyNumberFormat="1" applyFont="1" applyFill="1" applyBorder="1" applyAlignment="1">
      <alignment horizontal="center" vertical="center" wrapText="1"/>
    </xf>
    <xf numFmtId="1" fontId="3" fillId="12" borderId="2" xfId="0" applyNumberFormat="1" applyFont="1" applyFill="1" applyBorder="1" applyAlignment="1">
      <alignment horizontal="center" vertical="center" wrapText="1"/>
    </xf>
    <xf numFmtId="2" fontId="3" fillId="12" borderId="2" xfId="0" applyNumberFormat="1" applyFont="1" applyFill="1" applyBorder="1" applyAlignment="1">
      <alignment horizontal="left" vertical="top" wrapText="1"/>
    </xf>
    <xf numFmtId="49" fontId="12" fillId="12" borderId="2" xfId="0" applyNumberFormat="1" applyFont="1" applyFill="1" applyBorder="1" applyAlignment="1">
      <alignment horizontal="left" vertical="center" wrapText="1"/>
    </xf>
    <xf numFmtId="1" fontId="3" fillId="12" borderId="2" xfId="1" applyNumberFormat="1" applyFont="1" applyFill="1" applyBorder="1" applyAlignment="1">
      <alignment horizontal="center" vertical="center" wrapText="1"/>
    </xf>
    <xf numFmtId="9" fontId="32" fillId="12" borderId="2" xfId="0" applyNumberFormat="1" applyFont="1" applyFill="1" applyBorder="1" applyAlignment="1">
      <alignment horizontal="center" vertical="center" wrapText="1"/>
    </xf>
    <xf numFmtId="49" fontId="5" fillId="12" borderId="2" xfId="0" applyNumberFormat="1" applyFont="1" applyFill="1" applyBorder="1" applyAlignment="1">
      <alignment horizontal="left" vertical="center" wrapText="1"/>
    </xf>
    <xf numFmtId="1" fontId="5" fillId="12" borderId="2" xfId="0" applyNumberFormat="1" applyFont="1" applyFill="1" applyBorder="1" applyAlignment="1">
      <alignment horizontal="left" vertical="center" wrapText="1"/>
    </xf>
    <xf numFmtId="0" fontId="32" fillId="20" borderId="2" xfId="0" applyFont="1" applyFill="1" applyBorder="1" applyAlignment="1">
      <alignment horizontal="left" vertical="center" wrapText="1"/>
    </xf>
    <xf numFmtId="9" fontId="32" fillId="20" borderId="2" xfId="15" applyFont="1" applyFill="1" applyBorder="1" applyAlignment="1">
      <alignment horizontal="left" vertical="center" wrapText="1"/>
    </xf>
    <xf numFmtId="1" fontId="32" fillId="20" borderId="2" xfId="0" applyNumberFormat="1" applyFont="1" applyFill="1" applyBorder="1" applyAlignment="1">
      <alignment horizontal="left" vertical="center" wrapText="1"/>
    </xf>
    <xf numFmtId="0" fontId="34" fillId="0" borderId="0" xfId="0" applyFont="1" applyAlignment="1">
      <alignment horizontal="left" vertical="top" wrapText="1"/>
    </xf>
    <xf numFmtId="49" fontId="12" fillId="20" borderId="2" xfId="0" applyNumberFormat="1" applyFont="1" applyFill="1" applyBorder="1" applyAlignment="1">
      <alignment horizontal="left" vertical="center" wrapText="1"/>
    </xf>
    <xf numFmtId="9" fontId="14" fillId="20" borderId="2" xfId="0" applyNumberFormat="1" applyFont="1" applyFill="1" applyBorder="1" applyAlignment="1">
      <alignment horizontal="center" vertical="center" wrapText="1"/>
    </xf>
    <xf numFmtId="49" fontId="12" fillId="0" borderId="2" xfId="0" applyNumberFormat="1" applyFont="1" applyBorder="1" applyAlignment="1">
      <alignment horizontal="left" vertical="center" wrapText="1"/>
    </xf>
    <xf numFmtId="0" fontId="5" fillId="0" borderId="2" xfId="0" applyFont="1" applyBorder="1" applyAlignment="1">
      <alignment horizontal="left" vertical="center" wrapText="1"/>
    </xf>
    <xf numFmtId="1" fontId="12" fillId="0" borderId="2" xfId="0" applyNumberFormat="1" applyFont="1" applyBorder="1" applyAlignment="1">
      <alignment horizontal="left" vertical="center" wrapText="1"/>
    </xf>
    <xf numFmtId="9"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2" fontId="3" fillId="0" borderId="2" xfId="0" applyNumberFormat="1" applyFont="1" applyBorder="1" applyAlignment="1">
      <alignment horizontal="center" vertical="center" wrapText="1"/>
    </xf>
    <xf numFmtId="9" fontId="14" fillId="0" borderId="2" xfId="0" applyNumberFormat="1" applyFont="1" applyBorder="1" applyAlignment="1">
      <alignment horizontal="center" vertical="center" wrapText="1"/>
    </xf>
    <xf numFmtId="9" fontId="12" fillId="0" borderId="2" xfId="0" applyNumberFormat="1" applyFont="1" applyBorder="1" applyAlignment="1">
      <alignment horizontal="center" vertical="center" wrapText="1"/>
    </xf>
    <xf numFmtId="9" fontId="32" fillId="0" borderId="2" xfId="0" applyNumberFormat="1" applyFont="1" applyBorder="1" applyAlignment="1">
      <alignment horizontal="center" vertical="center" wrapText="1"/>
    </xf>
    <xf numFmtId="2" fontId="3" fillId="0" borderId="2" xfId="0" applyNumberFormat="1" applyFont="1" applyBorder="1" applyAlignment="1">
      <alignment horizontal="left" vertical="top" wrapText="1"/>
    </xf>
    <xf numFmtId="0" fontId="32" fillId="20" borderId="2" xfId="0" applyFont="1" applyFill="1" applyBorder="1" applyAlignment="1">
      <alignment horizontal="left" vertical="top" wrapText="1"/>
    </xf>
    <xf numFmtId="0" fontId="30" fillId="20" borderId="2" xfId="0" applyFont="1" applyFill="1" applyBorder="1" applyAlignment="1">
      <alignment horizontal="left" vertical="top" wrapText="1"/>
    </xf>
    <xf numFmtId="0" fontId="32" fillId="20" borderId="7" xfId="0" applyFont="1" applyFill="1" applyBorder="1" applyAlignment="1">
      <alignment horizontal="left" vertical="top" wrapText="1"/>
    </xf>
    <xf numFmtId="0" fontId="23" fillId="20" borderId="2" xfId="0" applyFont="1" applyFill="1" applyBorder="1" applyAlignment="1">
      <alignment horizontal="left" vertical="top" wrapText="1"/>
    </xf>
    <xf numFmtId="0" fontId="2" fillId="21" borderId="2" xfId="0" applyFont="1" applyFill="1" applyBorder="1" applyAlignment="1">
      <alignment horizontal="left" vertical="center" wrapText="1"/>
    </xf>
    <xf numFmtId="0" fontId="2" fillId="10" borderId="2" xfId="0" applyFont="1" applyFill="1" applyBorder="1" applyAlignment="1">
      <alignment horizontal="left" vertical="center" wrapText="1"/>
    </xf>
    <xf numFmtId="0" fontId="2" fillId="11" borderId="2" xfId="0" applyFont="1" applyFill="1" applyBorder="1" applyAlignment="1">
      <alignment horizontal="center" vertical="center" wrapText="1"/>
    </xf>
    <xf numFmtId="0" fontId="2" fillId="22" borderId="2"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22" borderId="2" xfId="0" applyFont="1" applyFill="1" applyBorder="1" applyAlignment="1">
      <alignment horizontal="left" vertical="top" wrapText="1"/>
    </xf>
    <xf numFmtId="0" fontId="2" fillId="9" borderId="2" xfId="0" applyFont="1" applyFill="1" applyBorder="1" applyAlignment="1">
      <alignment horizontal="center" vertical="top" wrapText="1"/>
    </xf>
    <xf numFmtId="0" fontId="0" fillId="0" borderId="13" xfId="0" applyFill="1" applyBorder="1" applyAlignment="1">
      <alignment horizontal="left"/>
    </xf>
    <xf numFmtId="0" fontId="0" fillId="0" borderId="0" xfId="0" applyFill="1" applyBorder="1" applyAlignment="1">
      <alignment horizontal="left"/>
    </xf>
    <xf numFmtId="0" fontId="0" fillId="0" borderId="16" xfId="0" applyFill="1" applyBorder="1" applyAlignment="1">
      <alignment horizontal="left"/>
    </xf>
    <xf numFmtId="0" fontId="0" fillId="0" borderId="13" xfId="0" applyBorder="1" applyAlignment="1">
      <alignment horizontal="left"/>
    </xf>
    <xf numFmtId="0" fontId="0" fillId="0" borderId="0" xfId="0" applyBorder="1" applyAlignment="1">
      <alignment horizontal="left"/>
    </xf>
    <xf numFmtId="0" fontId="0" fillId="0" borderId="16"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17" xfId="0" applyBorder="1" applyAlignment="1">
      <alignment horizontal="left"/>
    </xf>
    <xf numFmtId="0" fontId="2" fillId="9" borderId="5" xfId="0" applyFont="1" applyFill="1" applyBorder="1" applyAlignment="1">
      <alignment horizontal="center" vertical="top" wrapText="1"/>
    </xf>
    <xf numFmtId="0" fontId="2" fillId="9" borderId="6" xfId="0" applyFont="1" applyFill="1" applyBorder="1" applyAlignment="1">
      <alignment horizontal="center" vertical="top" wrapText="1"/>
    </xf>
    <xf numFmtId="0" fontId="6" fillId="13" borderId="43" xfId="0" applyFont="1" applyFill="1" applyBorder="1" applyAlignment="1">
      <alignment horizontal="center" vertical="center"/>
    </xf>
    <xf numFmtId="0" fontId="6" fillId="13" borderId="19" xfId="0" applyFont="1" applyFill="1" applyBorder="1" applyAlignment="1">
      <alignment horizontal="center" vertical="center"/>
    </xf>
    <xf numFmtId="0" fontId="6" fillId="13" borderId="20" xfId="0" applyFont="1" applyFill="1" applyBorder="1" applyAlignment="1">
      <alignment horizontal="center" vertical="center"/>
    </xf>
    <xf numFmtId="9" fontId="0" fillId="0" borderId="50" xfId="0" applyNumberFormat="1" applyBorder="1" applyAlignment="1">
      <alignment horizontal="center" vertical="center"/>
    </xf>
    <xf numFmtId="9" fontId="0" fillId="0" borderId="51" xfId="0" applyNumberFormat="1" applyBorder="1" applyAlignment="1">
      <alignment horizontal="center" vertical="center"/>
    </xf>
    <xf numFmtId="9" fontId="0" fillId="0" borderId="54" xfId="0" applyNumberFormat="1" applyBorder="1" applyAlignment="1">
      <alignment horizontal="center" vertical="center"/>
    </xf>
    <xf numFmtId="9" fontId="0" fillId="0" borderId="52" xfId="0" applyNumberFormat="1" applyBorder="1" applyAlignment="1">
      <alignment horizontal="center" vertical="center"/>
    </xf>
    <xf numFmtId="9" fontId="0" fillId="0" borderId="55" xfId="0" applyNumberFormat="1" applyBorder="1" applyAlignment="1">
      <alignment horizontal="center" vertical="center"/>
    </xf>
    <xf numFmtId="9" fontId="0" fillId="0" borderId="45" xfId="0" applyNumberFormat="1" applyBorder="1" applyAlignment="1">
      <alignment horizontal="center" vertical="center"/>
    </xf>
    <xf numFmtId="9" fontId="0" fillId="0" borderId="35" xfId="0" applyNumberFormat="1" applyBorder="1" applyAlignment="1">
      <alignment horizontal="center" vertical="center"/>
    </xf>
    <xf numFmtId="0" fontId="6" fillId="13" borderId="31" xfId="0" applyFont="1" applyFill="1" applyBorder="1" applyAlignment="1" applyProtection="1">
      <alignment horizontal="left" vertical="center" wrapText="1" indent="1"/>
    </xf>
    <xf numFmtId="0" fontId="6" fillId="13" borderId="32" xfId="0" applyFont="1" applyFill="1" applyBorder="1" applyAlignment="1" applyProtection="1">
      <alignment horizontal="left" vertical="center" wrapText="1" indent="1"/>
    </xf>
    <xf numFmtId="0" fontId="6" fillId="13" borderId="33" xfId="0" applyFont="1" applyFill="1" applyBorder="1" applyAlignment="1" applyProtection="1">
      <alignment horizontal="left" vertical="center" wrapText="1" indent="1"/>
    </xf>
    <xf numFmtId="0" fontId="0" fillId="0" borderId="13" xfId="0" applyBorder="1" applyAlignment="1" applyProtection="1">
      <alignment horizontal="left" vertical="top" wrapText="1" indent="1"/>
    </xf>
    <xf numFmtId="0" fontId="0" fillId="0" borderId="0" xfId="0" applyBorder="1" applyAlignment="1" applyProtection="1">
      <alignment horizontal="left" vertical="top" wrapText="1" indent="1"/>
    </xf>
    <xf numFmtId="0" fontId="0" fillId="0" borderId="36" xfId="0" applyBorder="1" applyAlignment="1" applyProtection="1">
      <alignment horizontal="left" vertical="top" wrapText="1" indent="1"/>
    </xf>
    <xf numFmtId="0" fontId="0" fillId="0" borderId="40" xfId="0" applyFill="1" applyBorder="1" applyAlignment="1" applyProtection="1">
      <alignment horizontal="center" vertical="top"/>
    </xf>
    <xf numFmtId="0" fontId="0" fillId="0" borderId="15" xfId="0" applyFill="1" applyBorder="1" applyAlignment="1" applyProtection="1">
      <alignment horizontal="center" vertical="top"/>
    </xf>
    <xf numFmtId="0" fontId="6" fillId="13" borderId="31" xfId="0" applyFont="1" applyFill="1" applyBorder="1" applyAlignment="1" applyProtection="1">
      <alignment horizontal="left" vertical="top" wrapText="1" indent="1"/>
    </xf>
    <xf numFmtId="0" fontId="6" fillId="13" borderId="32" xfId="0" applyFont="1" applyFill="1" applyBorder="1" applyAlignment="1" applyProtection="1">
      <alignment horizontal="left" vertical="top" wrapText="1" indent="1"/>
    </xf>
    <xf numFmtId="0" fontId="6" fillId="13" borderId="33" xfId="0" applyFont="1" applyFill="1" applyBorder="1" applyAlignment="1" applyProtection="1">
      <alignment horizontal="left" vertical="top" wrapText="1" indent="1"/>
    </xf>
    <xf numFmtId="0" fontId="6" fillId="13" borderId="34" xfId="0" applyFont="1" applyFill="1" applyBorder="1" applyAlignment="1" applyProtection="1">
      <alignment horizontal="center" vertical="center"/>
    </xf>
    <xf numFmtId="0" fontId="6" fillId="13" borderId="48" xfId="0" applyFont="1" applyFill="1" applyBorder="1" applyAlignment="1" applyProtection="1">
      <alignment horizontal="center" vertical="center"/>
    </xf>
    <xf numFmtId="0" fontId="8" fillId="0" borderId="13" xfId="0" applyFont="1" applyBorder="1" applyAlignment="1" applyProtection="1">
      <alignment horizontal="left" vertical="top" wrapText="1" indent="1"/>
    </xf>
    <xf numFmtId="0" fontId="8" fillId="0" borderId="0" xfId="0" applyFont="1" applyBorder="1" applyAlignment="1" applyProtection="1">
      <alignment horizontal="left" vertical="top" wrapText="1" indent="1"/>
    </xf>
    <xf numFmtId="0" fontId="8" fillId="0" borderId="36" xfId="0" applyFont="1" applyBorder="1" applyAlignment="1" applyProtection="1">
      <alignment horizontal="left" vertical="top" wrapText="1" indent="1"/>
    </xf>
    <xf numFmtId="9" fontId="0" fillId="0" borderId="46" xfId="0" applyNumberFormat="1" applyBorder="1" applyAlignment="1">
      <alignment horizontal="center" vertical="center"/>
    </xf>
    <xf numFmtId="9" fontId="0" fillId="0" borderId="39" xfId="0" applyNumberFormat="1" applyBorder="1" applyAlignment="1">
      <alignment horizontal="center" vertical="center"/>
    </xf>
    <xf numFmtId="0" fontId="6" fillId="13" borderId="57" xfId="0" applyFont="1" applyFill="1" applyBorder="1" applyAlignment="1" applyProtection="1">
      <alignment horizontal="center" vertical="center" wrapText="1"/>
    </xf>
    <xf numFmtId="0" fontId="6" fillId="13" borderId="20" xfId="0" applyFont="1" applyFill="1" applyBorder="1" applyAlignment="1" applyProtection="1">
      <alignment horizontal="center" vertical="center" wrapText="1"/>
    </xf>
    <xf numFmtId="0" fontId="6" fillId="13" borderId="58" xfId="0" applyFont="1" applyFill="1" applyBorder="1" applyAlignment="1" applyProtection="1">
      <alignment horizontal="center" vertical="center" wrapText="1"/>
    </xf>
    <xf numFmtId="0" fontId="6" fillId="13" borderId="16" xfId="0" applyFont="1" applyFill="1" applyBorder="1" applyAlignment="1" applyProtection="1">
      <alignment horizontal="center" vertical="center" wrapText="1"/>
    </xf>
    <xf numFmtId="0" fontId="6" fillId="13" borderId="56" xfId="0" applyFont="1" applyFill="1" applyBorder="1" applyAlignment="1" applyProtection="1">
      <alignment horizontal="center" vertical="center"/>
    </xf>
    <xf numFmtId="0" fontId="6" fillId="13" borderId="47" xfId="0" applyFont="1" applyFill="1" applyBorder="1" applyAlignment="1" applyProtection="1">
      <alignment horizontal="center" vertical="center"/>
    </xf>
    <xf numFmtId="0" fontId="6" fillId="13" borderId="41" xfId="0" applyFont="1" applyFill="1" applyBorder="1" applyAlignment="1" applyProtection="1">
      <alignment horizontal="center" vertical="center"/>
    </xf>
    <xf numFmtId="0" fontId="8" fillId="0" borderId="14" xfId="0" applyFont="1" applyBorder="1" applyAlignment="1" applyProtection="1">
      <alignment horizontal="left" vertical="top" wrapText="1" indent="1"/>
    </xf>
    <xf numFmtId="0" fontId="8" fillId="0" borderId="15" xfId="0" applyFont="1" applyBorder="1" applyAlignment="1" applyProtection="1">
      <alignment horizontal="left" vertical="top" wrapText="1" indent="1"/>
    </xf>
    <xf numFmtId="0" fontId="0" fillId="0" borderId="43" xfId="0" applyBorder="1" applyAlignment="1" applyProtection="1">
      <alignment horizontal="left" vertical="top" wrapText="1" indent="1"/>
    </xf>
    <xf numFmtId="0" fontId="0" fillId="0" borderId="19" xfId="0" applyBorder="1" applyAlignment="1" applyProtection="1">
      <alignment horizontal="left" vertical="top" wrapText="1" indent="1"/>
    </xf>
    <xf numFmtId="0" fontId="0" fillId="0" borderId="20" xfId="0" applyBorder="1" applyAlignment="1" applyProtection="1">
      <alignment horizontal="left" vertical="top" wrapText="1" indent="1"/>
    </xf>
    <xf numFmtId="0" fontId="0" fillId="0" borderId="49" xfId="0" applyBorder="1" applyAlignment="1" applyProtection="1">
      <alignment horizontal="left" vertical="top" wrapText="1" indent="1"/>
    </xf>
    <xf numFmtId="0" fontId="0" fillId="0" borderId="16" xfId="0" applyBorder="1" applyAlignment="1" applyProtection="1">
      <alignment horizontal="left" vertical="top" wrapText="1" indent="1"/>
    </xf>
    <xf numFmtId="0" fontId="0" fillId="0" borderId="44" xfId="0" applyBorder="1" applyAlignment="1" applyProtection="1">
      <alignment horizontal="left" vertical="top" wrapText="1" indent="1"/>
    </xf>
    <xf numFmtId="0" fontId="0" fillId="0" borderId="15" xfId="0" applyBorder="1" applyAlignment="1" applyProtection="1">
      <alignment horizontal="left" vertical="top" wrapText="1" indent="1"/>
    </xf>
    <xf numFmtId="0" fontId="0" fillId="0" borderId="17" xfId="0" applyBorder="1" applyAlignment="1" applyProtection="1">
      <alignment horizontal="left" vertical="top" wrapText="1" indent="1"/>
    </xf>
    <xf numFmtId="0" fontId="30" fillId="0" borderId="2" xfId="0" applyFont="1" applyFill="1" applyBorder="1" applyAlignment="1">
      <alignment horizontal="left" vertical="center" wrapText="1"/>
    </xf>
    <xf numFmtId="0" fontId="0" fillId="20" borderId="2" xfId="0" applyFill="1" applyBorder="1" applyAlignment="1">
      <alignment vertical="top" wrapText="1"/>
    </xf>
    <xf numFmtId="0" fontId="33" fillId="20" borderId="2" xfId="0" applyFont="1" applyFill="1" applyBorder="1" applyAlignment="1">
      <alignment horizontal="center" vertical="center"/>
    </xf>
    <xf numFmtId="0" fontId="33" fillId="20" borderId="2" xfId="0" applyFont="1" applyFill="1" applyBorder="1" applyAlignment="1">
      <alignment horizontal="center" vertical="center" wrapText="1"/>
    </xf>
    <xf numFmtId="0" fontId="13" fillId="20" borderId="2" xfId="0" applyFont="1" applyFill="1" applyBorder="1" applyAlignment="1">
      <alignment horizontal="center" vertical="center"/>
    </xf>
    <xf numFmtId="0" fontId="13" fillId="20" borderId="2" xfId="0" applyFont="1" applyFill="1" applyBorder="1" applyAlignment="1">
      <alignment horizontal="center" vertical="center" wrapText="1"/>
    </xf>
  </cellXfs>
  <cellStyles count="17">
    <cellStyle name="Comma 2" xfId="1" xr:uid="{00000000-0005-0000-0000-000000000000}"/>
    <cellStyle name="Currency" xfId="16" builtinId="4"/>
    <cellStyle name="High" xfId="2" xr:uid="{00000000-0005-0000-0000-000001000000}"/>
    <cellStyle name="High 2" xfId="3" xr:uid="{00000000-0005-0000-0000-000002000000}"/>
    <cellStyle name="High 3" xfId="4" xr:uid="{00000000-0005-0000-0000-000003000000}"/>
    <cellStyle name="Low" xfId="5" xr:uid="{00000000-0005-0000-0000-000004000000}"/>
    <cellStyle name="Low 2" xfId="6" xr:uid="{00000000-0005-0000-0000-000005000000}"/>
    <cellStyle name="Low 3" xfId="7" xr:uid="{00000000-0005-0000-0000-000006000000}"/>
    <cellStyle name="Moderate" xfId="8" xr:uid="{00000000-0005-0000-0000-000007000000}"/>
    <cellStyle name="Moderate 2" xfId="9" xr:uid="{00000000-0005-0000-0000-000008000000}"/>
    <cellStyle name="Moderate 3" xfId="10" xr:uid="{00000000-0005-0000-0000-000009000000}"/>
    <cellStyle name="Negligible" xfId="11" xr:uid="{00000000-0005-0000-0000-00000A000000}"/>
    <cellStyle name="Negligible 2" xfId="12" xr:uid="{00000000-0005-0000-0000-00000B000000}"/>
    <cellStyle name="Negligible 3" xfId="13" xr:uid="{00000000-0005-0000-0000-00000C000000}"/>
    <cellStyle name="Normal" xfId="0" builtinId="0"/>
    <cellStyle name="Percent" xfId="15" builtinId="5"/>
    <cellStyle name="Percent 2" xfId="14" xr:uid="{00000000-0005-0000-0000-00000F000000}"/>
  </cellStyles>
  <dxfs count="2048">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theme="9"/>
        </patternFill>
      </fill>
    </dxf>
    <dxf>
      <fill>
        <patternFill>
          <bgColor rgb="FFFFFF00"/>
        </patternFill>
      </fill>
    </dxf>
    <dxf>
      <fill>
        <patternFill>
          <bgColor rgb="FF00B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patternType="none">
          <bgColor auto="1"/>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theme="5"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patternType="solid">
          <bgColor theme="0" tint="-0.14996795556505021"/>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patternType="none">
          <bgColor auto="1"/>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patternType="solid">
          <bgColor theme="0" tint="-0.14996795556505021"/>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patternType="none">
          <bgColor auto="1"/>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patternType="solid">
          <bgColor theme="0" tint="-0.14996795556505021"/>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patternType="none">
          <bgColor auto="1"/>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patternType="solid">
          <bgColor theme="0" tint="-0.14996795556505021"/>
        </patternFill>
      </fill>
    </dxf>
    <dxf>
      <fill>
        <patternFill patternType="none">
          <bgColor auto="1"/>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theme="0" tint="-4.9989318521683403E-2"/>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theme="0" tint="-4.9989318521683403E-2"/>
        </patternFill>
      </fill>
    </dxf>
    <dxf>
      <fill>
        <patternFill>
          <bgColor theme="0" tint="-4.9989318521683403E-2"/>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theme="0" tint="-4.9989318521683403E-2"/>
        </patternFill>
      </fill>
    </dxf>
    <dxf>
      <fill>
        <patternFill>
          <bgColor theme="0" tint="-4.9989318521683403E-2"/>
        </patternFill>
      </fill>
    </dxf>
    <dxf>
      <fill>
        <patternFill patternType="none">
          <bgColor auto="1"/>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tint="-4.9989318521683403E-2"/>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patternType="solid">
          <bgColor theme="0" tint="-0.14996795556505021"/>
        </patternFill>
      </fill>
    </dxf>
    <dxf>
      <fill>
        <patternFill>
          <bgColor theme="5" tint="0.39994506668294322"/>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theme="0" tint="-4.9989318521683403E-2"/>
        </patternFill>
      </fill>
    </dxf>
    <dxf>
      <fill>
        <patternFill patternType="none">
          <bgColor auto="1"/>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5" tint="0.39994506668294322"/>
        </patternFill>
      </fill>
    </dxf>
    <dxf>
      <fill>
        <patternFill>
          <bgColor rgb="FFFF0000"/>
        </patternFill>
      </fill>
    </dxf>
    <dxf>
      <fill>
        <patternFill>
          <bgColor theme="5" tint="0.39994506668294322"/>
        </patternFill>
      </fill>
    </dxf>
    <dxf>
      <fill>
        <patternFill>
          <bgColor theme="0" tint="-4.9989318521683403E-2"/>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theme="0" tint="-4.9989318521683403E-2"/>
        </patternFill>
      </fill>
    </dxf>
    <dxf>
      <fill>
        <patternFill patternType="none">
          <bgColor auto="1"/>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tint="-4.9989318521683403E-2"/>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theme="0" tint="-4.9989318521683403E-2"/>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theme="0" tint="-4.9989318521683403E-2"/>
        </patternFill>
      </fill>
    </dxf>
    <dxf>
      <fill>
        <patternFill>
          <bgColor theme="0" tint="-4.9989318521683403E-2"/>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theme="0" tint="-4.9989318521683403E-2"/>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theme="0" tint="-4.9989318521683403E-2"/>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theme="0" tint="-4.9989318521683403E-2"/>
        </patternFill>
      </fill>
    </dxf>
    <dxf>
      <fill>
        <patternFill>
          <bgColor theme="0" tint="-4.9989318521683403E-2"/>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theme="0" tint="-4.9989318521683403E-2"/>
        </patternFill>
      </fill>
    </dxf>
    <dxf>
      <fill>
        <patternFill>
          <bgColor theme="5" tint="0.39994506668294322"/>
        </patternFill>
      </fill>
    </dxf>
    <dxf>
      <fill>
        <patternFill>
          <bgColor rgb="FFFF0000"/>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rgb="FFFF0000"/>
        </patternFill>
      </fill>
    </dxf>
    <dxf>
      <fill>
        <patternFill>
          <bgColor theme="5" tint="0.39994506668294322"/>
        </patternFill>
      </fill>
    </dxf>
    <dxf>
      <fill>
        <patternFill>
          <bgColor theme="0" tint="-4.9989318521683403E-2"/>
        </patternFill>
      </fill>
    </dxf>
    <dxf>
      <fill>
        <patternFill>
          <bgColor theme="5" tint="0.39994506668294322"/>
        </patternFill>
      </fill>
    </dxf>
    <dxf>
      <fill>
        <patternFill>
          <bgColor theme="0" tint="-4.9989318521683403E-2"/>
        </patternFill>
      </fill>
    </dxf>
    <dxf>
      <fill>
        <patternFill patternType="none">
          <bgColor auto="1"/>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tint="-4.9989318521683403E-2"/>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theme="0" tint="-4.9989318521683403E-2"/>
        </patternFill>
      </fill>
    </dxf>
    <dxf>
      <fill>
        <patternFill>
          <bgColor theme="0" tint="-4.9989318521683403E-2"/>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theme="0" tint="-4.9989318521683403E-2"/>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theme="0" tint="-4.9989318521683403E-2"/>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5" tint="0.39994506668294322"/>
        </patternFill>
      </fill>
    </dxf>
    <dxf>
      <fill>
        <patternFill patternType="none">
          <bgColor auto="1"/>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theme="5" tint="0.39994506668294322"/>
        </patternFill>
      </fill>
    </dxf>
    <dxf>
      <fill>
        <patternFill patternType="solid">
          <bgColor theme="0" tint="-0.14996795556505021"/>
        </patternFill>
      </fill>
    </dxf>
    <dxf>
      <fill>
        <patternFill>
          <bgColor theme="5" tint="0.39994506668294322"/>
        </patternFill>
      </fill>
    </dxf>
    <dxf>
      <fill>
        <patternFill patternType="none">
          <bgColor auto="1"/>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theme="0" tint="-4.9989318521683403E-2"/>
        </patternFill>
      </fill>
    </dxf>
    <dxf>
      <fill>
        <patternFill>
          <bgColor theme="5" tint="0.39994506668294322"/>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patternType="none">
          <bgColor auto="1"/>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bgColor theme="5" tint="0.39994506668294322"/>
        </patternFill>
      </fill>
    </dxf>
    <dxf>
      <fill>
        <patternFill>
          <bgColor theme="5" tint="0.39994506668294322"/>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bgColor theme="5" tint="0.39994506668294322"/>
        </patternFill>
      </fill>
    </dxf>
    <dxf>
      <fill>
        <patternFill>
          <bgColor theme="5" tint="0.39994506668294322"/>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bgColor theme="5" tint="0.39994506668294322"/>
        </patternFill>
      </fill>
    </dxf>
    <dxf>
      <fill>
        <patternFill>
          <bgColor theme="5" tint="0.39994506668294322"/>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bgColor theme="5" tint="0.39994506668294322"/>
        </patternFill>
      </fill>
    </dxf>
    <dxf>
      <fill>
        <patternFill>
          <bgColor theme="5" tint="0.39994506668294322"/>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bgColor theme="5" tint="0.39994506668294322"/>
        </patternFill>
      </fill>
    </dxf>
    <dxf>
      <fill>
        <patternFill>
          <bgColor theme="5" tint="0.39994506668294322"/>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bgColor theme="5" tint="0.39994506668294322"/>
        </patternFill>
      </fill>
    </dxf>
    <dxf>
      <fill>
        <patternFill>
          <bgColor theme="5" tint="0.39994506668294322"/>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theme="0" tint="-4.9989318521683403E-2"/>
        </patternFill>
      </fill>
    </dxf>
    <dxf>
      <fill>
        <patternFill>
          <bgColor theme="5" tint="0.39994506668294322"/>
        </patternFill>
      </fill>
    </dxf>
    <dxf>
      <fill>
        <patternFill>
          <bgColor theme="5" tint="0.39994506668294322"/>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theme="5" tint="0.39994506668294322"/>
        </patternFill>
      </fill>
    </dxf>
    <dxf>
      <fill>
        <patternFill patternType="solid">
          <bgColor theme="0" tint="-0.14996795556505021"/>
        </patternFill>
      </fill>
    </dxf>
    <dxf>
      <fill>
        <patternFill>
          <bgColor theme="5" tint="0.39994506668294322"/>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patternType="none">
          <bgColor auto="1"/>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patternType="solid">
          <bgColor theme="0" tint="-0.14996795556505021"/>
        </patternFill>
      </fill>
    </dxf>
    <dxf>
      <fill>
        <patternFill patternType="solid">
          <bgColor theme="0" tint="-0.14996795556505021"/>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patternType="none">
          <bgColor auto="1"/>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patternType="solid">
          <bgColor theme="0" tint="-0.14996795556505021"/>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patternType="none">
          <bgColor auto="1"/>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patternType="none">
          <bgColor auto="1"/>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theme="5" tint="0.39994506668294322"/>
        </patternFill>
      </fill>
    </dxf>
    <dxf>
      <fill>
        <patternFill>
          <bgColor rgb="FFFF0000"/>
        </patternFill>
      </fill>
    </dxf>
    <dxf>
      <fill>
        <patternFill>
          <bgColor theme="5" tint="0.39994506668294322"/>
        </patternFill>
      </fill>
    </dxf>
    <dxf>
      <fill>
        <patternFill>
          <bgColor theme="5" tint="0.39994506668294322"/>
        </patternFill>
      </fill>
    </dxf>
    <dxf>
      <fill>
        <patternFill>
          <bgColor rgb="FFFF0000"/>
        </patternFill>
      </fill>
    </dxf>
    <dxf>
      <fill>
        <patternFill>
          <bgColor theme="5" tint="0.39994506668294322"/>
        </patternFill>
      </fill>
    </dxf>
    <dxf>
      <fill>
        <patternFill>
          <bgColor theme="5" tint="0.39994506668294322"/>
        </patternFill>
      </fill>
    </dxf>
    <dxf>
      <fill>
        <patternFill>
          <bgColor rgb="FFFF0000"/>
        </patternFill>
      </fill>
    </dxf>
    <dxf>
      <fill>
        <patternFill>
          <bgColor theme="5" tint="0.39994506668294322"/>
        </patternFill>
      </fill>
    </dxf>
    <dxf>
      <fill>
        <patternFill patternType="none">
          <bgColor auto="1"/>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theme="5" tint="0.39994506668294322"/>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patternType="none">
          <bgColor auto="1"/>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patternType="none">
          <bgColor auto="1"/>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theme="5"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theme="5" tint="0.39994506668294322"/>
        </patternFill>
      </fill>
    </dxf>
    <dxf>
      <fill>
        <patternFill>
          <bgColor rgb="FFFF0000"/>
        </patternFill>
      </fill>
    </dxf>
    <dxf>
      <fill>
        <patternFill>
          <bgColor theme="5" tint="0.39994506668294322"/>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theme="5" tint="0.39994506668294322"/>
        </patternFill>
      </fill>
    </dxf>
    <dxf>
      <fill>
        <patternFill>
          <bgColor rgb="FFFF0000"/>
        </patternFill>
      </fill>
    </dxf>
    <dxf>
      <fill>
        <patternFill>
          <bgColor theme="5" tint="0.39994506668294322"/>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patternType="none">
          <bgColor auto="1"/>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theme="5" tint="0.39994506668294322"/>
        </patternFill>
      </fill>
    </dxf>
    <dxf>
      <fill>
        <patternFill>
          <bgColor rgb="FFFF0000"/>
        </patternFill>
      </fill>
    </dxf>
    <dxf>
      <fill>
        <patternFill>
          <bgColor theme="5" tint="0.39994506668294322"/>
        </patternFill>
      </fill>
    </dxf>
    <dxf>
      <fill>
        <patternFill>
          <bgColor theme="5" tint="0.39994506668294322"/>
        </patternFill>
      </fill>
    </dxf>
    <dxf>
      <fill>
        <patternFill>
          <bgColor rgb="FFFF0000"/>
        </patternFill>
      </fill>
    </dxf>
    <dxf>
      <fill>
        <patternFill>
          <bgColor theme="5" tint="0.39994506668294322"/>
        </patternFill>
      </fill>
    </dxf>
    <dxf>
      <fill>
        <patternFill>
          <bgColor theme="5" tint="0.39994506668294322"/>
        </patternFill>
      </fill>
    </dxf>
    <dxf>
      <fill>
        <patternFill>
          <bgColor rgb="FFFF0000"/>
        </patternFill>
      </fill>
    </dxf>
    <dxf>
      <fill>
        <patternFill>
          <bgColor theme="5" tint="0.39994506668294322"/>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patternType="none">
          <bgColor auto="1"/>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theme="5" tint="0.39994506668294322"/>
        </patternFill>
      </fill>
    </dxf>
    <dxf>
      <fill>
        <patternFill>
          <bgColor rgb="FFFF0000"/>
        </patternFill>
      </fill>
    </dxf>
    <dxf>
      <fill>
        <patternFill>
          <bgColor theme="5" tint="0.39994506668294322"/>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patternType="none">
          <bgColor auto="1"/>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theme="5" tint="0.39994506668294322"/>
        </patternFill>
      </fill>
    </dxf>
    <dxf>
      <fill>
        <patternFill>
          <bgColor rgb="FFFF0000"/>
        </patternFill>
      </fill>
    </dxf>
    <dxf>
      <fill>
        <patternFill>
          <bgColor theme="5" tint="0.39994506668294322"/>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patternType="none">
          <bgColor auto="1"/>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ill>
        <patternFill>
          <bgColor rgb="FF99FF99"/>
        </patternFill>
      </fill>
    </dxf>
    <dxf>
      <fill>
        <patternFill>
          <bgColor rgb="FFFFFFCC"/>
        </patternFill>
      </fill>
    </dxf>
    <dxf>
      <fill>
        <patternFill>
          <bgColor rgb="FFFF9999"/>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ont>
        <color auto="1"/>
      </font>
      <fill>
        <patternFill>
          <bgColor rgb="FF00B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FFFF00"/>
        </patternFill>
      </fill>
    </dxf>
    <dxf>
      <fill>
        <patternFill>
          <bgColor rgb="FFFFC000"/>
        </patternFill>
      </fill>
    </dxf>
    <dxf>
      <font>
        <color theme="0"/>
      </font>
      <fill>
        <patternFill>
          <bgColor rgb="FFFF0000"/>
        </patternFill>
      </fill>
    </dxf>
  </dxfs>
  <tableStyles count="0" defaultTableStyle="TableStyleMedium9" defaultPivotStyle="PivotStyleLight16"/>
  <colors>
    <mruColors>
      <color rgb="FFFFFF99"/>
      <color rgb="FF99FF99"/>
      <color rgb="FFFFFF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2.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2400"/>
              <a:t>Risk Counts - Pre and Post Mitigation</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'BASIC Counts'!$C$2</c:f>
              <c:strCache>
                <c:ptCount val="1"/>
                <c:pt idx="0">
                  <c:v>Pre-Mitigation</c:v>
                </c:pt>
              </c:strCache>
            </c:strRef>
          </c:tx>
          <c:spPr>
            <a:solidFill>
              <a:srgbClr val="C00000"/>
            </a:solidFill>
            <a:ln>
              <a:noFill/>
            </a:ln>
            <a:effectLst/>
            <a:scene3d>
              <a:camera prst="orthographicFront"/>
              <a:lightRig rig="threePt" dir="t">
                <a:rot lat="0" lon="0" rev="1200000"/>
              </a:lightRig>
            </a:scene3d>
            <a:sp3d/>
          </c:spPr>
          <c:invertIfNegative val="0"/>
          <c:dPt>
            <c:idx val="1"/>
            <c:invertIfNegative val="0"/>
            <c:bubble3D val="0"/>
            <c:spPr>
              <a:solidFill>
                <a:schemeClr val="accent6">
                  <a:lumMod val="50000"/>
                </a:schemeClr>
              </a:solidFill>
              <a:ln>
                <a:noFill/>
              </a:ln>
              <a:effectLst/>
              <a:scene3d>
                <a:camera prst="orthographicFront"/>
                <a:lightRig rig="threePt" dir="t">
                  <a:rot lat="0" lon="0" rev="1200000"/>
                </a:lightRig>
              </a:scene3d>
              <a:sp3d/>
            </c:spPr>
            <c:extLst>
              <c:ext xmlns:c16="http://schemas.microsoft.com/office/drawing/2014/chart" uri="{C3380CC4-5D6E-409C-BE32-E72D297353CC}">
                <c16:uniqueId val="{00000002-003C-48CB-BDE0-F260AF8BBF68}"/>
              </c:ext>
            </c:extLst>
          </c:dPt>
          <c:dPt>
            <c:idx val="2"/>
            <c:invertIfNegative val="0"/>
            <c:bubble3D val="0"/>
            <c:spPr>
              <a:solidFill>
                <a:srgbClr val="FFC000"/>
              </a:solidFill>
              <a:ln>
                <a:noFill/>
              </a:ln>
              <a:effectLst/>
              <a:scene3d>
                <a:camera prst="orthographicFront"/>
                <a:lightRig rig="threePt" dir="t">
                  <a:rot lat="0" lon="0" rev="1200000"/>
                </a:lightRig>
              </a:scene3d>
              <a:sp3d/>
            </c:spPr>
            <c:extLst>
              <c:ext xmlns:c16="http://schemas.microsoft.com/office/drawing/2014/chart" uri="{C3380CC4-5D6E-409C-BE32-E72D297353CC}">
                <c16:uniqueId val="{00000004-003C-48CB-BDE0-F260AF8BBF68}"/>
              </c:ext>
            </c:extLst>
          </c:dPt>
          <c:dPt>
            <c:idx val="3"/>
            <c:invertIfNegative val="0"/>
            <c:bubble3D val="0"/>
            <c:spPr>
              <a:solidFill>
                <a:schemeClr val="accent3">
                  <a:lumMod val="50000"/>
                </a:schemeClr>
              </a:solidFill>
              <a:ln>
                <a:noFill/>
              </a:ln>
              <a:effectLst/>
              <a:scene3d>
                <a:camera prst="orthographicFront"/>
                <a:lightRig rig="threePt" dir="t">
                  <a:rot lat="0" lon="0" rev="1200000"/>
                </a:lightRig>
              </a:scene3d>
              <a:sp3d/>
            </c:spPr>
            <c:extLst>
              <c:ext xmlns:c16="http://schemas.microsoft.com/office/drawing/2014/chart" uri="{C3380CC4-5D6E-409C-BE32-E72D297353CC}">
                <c16:uniqueId val="{00000006-003C-48CB-BDE0-F260AF8BBF68}"/>
              </c:ext>
            </c:extLst>
          </c:dPt>
          <c:dLbls>
            <c:numFmt formatCode="General" sourceLinked="0"/>
            <c:spPr>
              <a:noFill/>
              <a:ln>
                <a:noFill/>
              </a:ln>
              <a:effectLst>
                <a:glow rad="228600">
                  <a:schemeClr val="accent6">
                    <a:satMod val="175000"/>
                    <a:alpha val="40000"/>
                  </a:schemeClr>
                </a:glow>
              </a:effectLst>
            </c:spPr>
            <c:txPr>
              <a:bodyPr rot="0" spcFirstLastPara="1" vertOverflow="overflow" horzOverflow="overflow" vert="horz" wrap="square" lIns="182880" tIns="19050" rIns="38100" bIns="19050" anchor="t" anchorCtr="0">
                <a:spAutoFit/>
              </a:bodyPr>
              <a:lstStyle/>
              <a:p>
                <a:pPr>
                  <a:defRPr sz="1600" b="0" i="0" u="none" strike="noStrike" kern="1200" baseline="0">
                    <a:solidFill>
                      <a:schemeClr val="lt1">
                        <a:lumMod val="85000"/>
                      </a:schemeClr>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a:solidFill>
                        <a:schemeClr val="lt1">
                          <a:lumMod val="95000"/>
                          <a:alpha val="54000"/>
                        </a:schemeClr>
                      </a:solidFill>
                    </a:ln>
                    <a:effectLst/>
                  </c:spPr>
                </c15:leaderLines>
              </c:ext>
            </c:extLst>
          </c:dLbls>
          <c:cat>
            <c:strRef>
              <c:f>'BASIC Counts'!$B$3:$B$6</c:f>
              <c:strCache>
                <c:ptCount val="4"/>
                <c:pt idx="0">
                  <c:v>High</c:v>
                </c:pt>
                <c:pt idx="1">
                  <c:v>Moderate</c:v>
                </c:pt>
                <c:pt idx="2">
                  <c:v>Low</c:v>
                </c:pt>
                <c:pt idx="3">
                  <c:v>Negligible</c:v>
                </c:pt>
              </c:strCache>
            </c:strRef>
          </c:cat>
          <c:val>
            <c:numRef>
              <c:f>'BASIC Counts'!$C$3:$C$6</c:f>
              <c:numCache>
                <c:formatCode>General</c:formatCode>
                <c:ptCount val="4"/>
                <c:pt idx="0">
                  <c:v>9</c:v>
                </c:pt>
                <c:pt idx="1">
                  <c:v>12</c:v>
                </c:pt>
                <c:pt idx="2">
                  <c:v>14</c:v>
                </c:pt>
                <c:pt idx="3">
                  <c:v>9</c:v>
                </c:pt>
              </c:numCache>
            </c:numRef>
          </c:val>
          <c:extLst>
            <c:ext xmlns:c16="http://schemas.microsoft.com/office/drawing/2014/chart" uri="{C3380CC4-5D6E-409C-BE32-E72D297353CC}">
              <c16:uniqueId val="{00000000-D14C-465A-86B8-B367EB42E1E3}"/>
            </c:ext>
          </c:extLst>
        </c:ser>
        <c:ser>
          <c:idx val="1"/>
          <c:order val="1"/>
          <c:tx>
            <c:strRef>
              <c:f>'BASIC Counts'!$D$2</c:f>
              <c:strCache>
                <c:ptCount val="1"/>
                <c:pt idx="0">
                  <c:v>Post-Mitigation</c:v>
                </c:pt>
              </c:strCache>
            </c:strRef>
          </c:tx>
          <c:spPr>
            <a:solidFill>
              <a:schemeClr val="accent3">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spPr>
              <a:solidFill>
                <a:srgbClr val="FF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003C-48CB-BDE0-F260AF8BBF68}"/>
              </c:ext>
            </c:extLst>
          </c:dPt>
          <c:dPt>
            <c:idx val="1"/>
            <c:invertIfNegative val="0"/>
            <c:bubble3D val="0"/>
            <c:spPr>
              <a:solidFill>
                <a:schemeClr val="accent6">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003C-48CB-BDE0-F260AF8BBF68}"/>
              </c:ext>
            </c:extLst>
          </c:dPt>
          <c:dPt>
            <c:idx val="2"/>
            <c:invertIfNegative val="0"/>
            <c:bubble3D val="0"/>
            <c:spPr>
              <a:solidFill>
                <a:srgbClr val="FFFF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003C-48CB-BDE0-F260AF8BBF68}"/>
              </c:ext>
            </c:extLst>
          </c:dPt>
          <c:dPt>
            <c:idx val="3"/>
            <c:invertIfNegative val="0"/>
            <c:bubble3D val="0"/>
            <c:spPr>
              <a:solidFill>
                <a:srgbClr val="00B05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003C-48CB-BDE0-F260AF8BBF68}"/>
              </c:ext>
            </c:extLst>
          </c:dPt>
          <c:dLbls>
            <c:spPr>
              <a:noFill/>
              <a:ln>
                <a:noFill/>
              </a:ln>
              <a:effectLst>
                <a:glow rad="228600">
                  <a:schemeClr val="accent6">
                    <a:satMod val="175000"/>
                    <a:alpha val="40000"/>
                  </a:schemeClr>
                </a:glow>
              </a:effectLst>
            </c:spPr>
            <c:txPr>
              <a:bodyPr rot="0" spcFirstLastPara="1" vertOverflow="ellipsis" vert="horz" wrap="square" lIns="182880" tIns="19050" rIns="38100" bIns="19050" anchor="ctr" anchorCtr="0">
                <a:spAutoFit/>
              </a:bodyPr>
              <a:lstStyle/>
              <a:p>
                <a:pPr algn="ctr">
                  <a:defRPr lang="en-US" sz="16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a:solidFill>
                        <a:schemeClr val="lt1">
                          <a:lumMod val="95000"/>
                          <a:alpha val="54000"/>
                        </a:schemeClr>
                      </a:solidFill>
                    </a:ln>
                    <a:effectLst/>
                  </c:spPr>
                </c15:leaderLines>
              </c:ext>
            </c:extLst>
          </c:dLbls>
          <c:cat>
            <c:strRef>
              <c:f>'BASIC Counts'!$B$3:$B$6</c:f>
              <c:strCache>
                <c:ptCount val="4"/>
                <c:pt idx="0">
                  <c:v>High</c:v>
                </c:pt>
                <c:pt idx="1">
                  <c:v>Moderate</c:v>
                </c:pt>
                <c:pt idx="2">
                  <c:v>Low</c:v>
                </c:pt>
                <c:pt idx="3">
                  <c:v>Negligible</c:v>
                </c:pt>
              </c:strCache>
            </c:strRef>
          </c:cat>
          <c:val>
            <c:numRef>
              <c:f>'BASIC Counts'!$D$3:$D$6</c:f>
              <c:numCache>
                <c:formatCode>General</c:formatCode>
                <c:ptCount val="4"/>
                <c:pt idx="0">
                  <c:v>5</c:v>
                </c:pt>
                <c:pt idx="1">
                  <c:v>4</c:v>
                </c:pt>
                <c:pt idx="2">
                  <c:v>11</c:v>
                </c:pt>
                <c:pt idx="3">
                  <c:v>4</c:v>
                </c:pt>
              </c:numCache>
            </c:numRef>
          </c:val>
          <c:extLst>
            <c:ext xmlns:c16="http://schemas.microsoft.com/office/drawing/2014/chart" uri="{C3380CC4-5D6E-409C-BE32-E72D297353CC}">
              <c16:uniqueId val="{00000001-D14C-465A-86B8-B367EB42E1E3}"/>
            </c:ext>
          </c:extLst>
        </c:ser>
        <c:dLbls>
          <c:showLegendKey val="0"/>
          <c:showVal val="1"/>
          <c:showCatName val="0"/>
          <c:showSerName val="0"/>
          <c:showPercent val="0"/>
          <c:showBubbleSize val="0"/>
        </c:dLbls>
        <c:gapWidth val="150"/>
        <c:shape val="box"/>
        <c:axId val="249315328"/>
        <c:axId val="249316864"/>
        <c:axId val="0"/>
      </c:bar3DChart>
      <c:catAx>
        <c:axId val="24931532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lt1">
                    <a:lumMod val="85000"/>
                  </a:schemeClr>
                </a:solidFill>
                <a:latin typeface="+mn-lt"/>
                <a:ea typeface="+mn-ea"/>
                <a:cs typeface="+mn-cs"/>
              </a:defRPr>
            </a:pPr>
            <a:endParaRPr lang="en-US"/>
          </a:p>
        </c:txPr>
        <c:crossAx val="249316864"/>
        <c:crosses val="autoZero"/>
        <c:auto val="1"/>
        <c:lblAlgn val="ctr"/>
        <c:lblOffset val="100"/>
        <c:noMultiLvlLbl val="0"/>
      </c:catAx>
      <c:valAx>
        <c:axId val="249316864"/>
        <c:scaling>
          <c:orientation val="minMax"/>
        </c:scaling>
        <c:delete val="0"/>
        <c:axPos val="l"/>
        <c:majorGridlines>
          <c:spPr>
            <a:ln w="9525" cap="flat" cmpd="sng" algn="ctr">
              <a:solidFill>
                <a:schemeClr val="dk1">
                  <a:lumMod val="50000"/>
                  <a:lumOff val="5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49315328"/>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r>
              <a:rPr lang="en-US" sz="2400" b="1" cap="none" baseline="0"/>
              <a:t>Risk Counts by Overall Severity</a:t>
            </a:r>
          </a:p>
        </c:rich>
      </c:tx>
      <c:overlay val="0"/>
      <c:spPr>
        <a:noFill/>
        <a:ln>
          <a:noFill/>
        </a:ln>
        <a:effectLst/>
      </c:spPr>
      <c:txPr>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endParaRPr lang="en-US"/>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'BASIC Counts'!$D$2</c:f>
              <c:strCache>
                <c:ptCount val="1"/>
                <c:pt idx="0">
                  <c:v>Post-Mitigation</c:v>
                </c:pt>
              </c:strCache>
            </c:strRef>
          </c:tx>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invertIfNegative val="0"/>
          <c:dPt>
            <c:idx val="0"/>
            <c:invertIfNegative val="0"/>
            <c:bubble3D val="0"/>
            <c:spPr>
              <a:solidFill>
                <a:srgbClr val="FF0000"/>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extLst>
              <c:ext xmlns:c16="http://schemas.microsoft.com/office/drawing/2014/chart" uri="{C3380CC4-5D6E-409C-BE32-E72D297353CC}">
                <c16:uniqueId val="{00000001-2106-46B3-B7AB-0A8F20506323}"/>
              </c:ext>
            </c:extLst>
          </c:dPt>
          <c:dPt>
            <c:idx val="1"/>
            <c:invertIfNegative val="0"/>
            <c:bubble3D val="0"/>
            <c:spPr>
              <a:solidFill>
                <a:schemeClr val="accent6"/>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extLst>
              <c:ext xmlns:c16="http://schemas.microsoft.com/office/drawing/2014/chart" uri="{C3380CC4-5D6E-409C-BE32-E72D297353CC}">
                <c16:uniqueId val="{00000002-2106-46B3-B7AB-0A8F20506323}"/>
              </c:ext>
            </c:extLst>
          </c:dPt>
          <c:dPt>
            <c:idx val="2"/>
            <c:invertIfNegative val="0"/>
            <c:bubble3D val="0"/>
            <c:spPr>
              <a:solidFill>
                <a:srgbClr val="FFFF00"/>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extLst>
              <c:ext xmlns:c16="http://schemas.microsoft.com/office/drawing/2014/chart" uri="{C3380CC4-5D6E-409C-BE32-E72D297353CC}">
                <c16:uniqueId val="{00000003-2106-46B3-B7AB-0A8F20506323}"/>
              </c:ext>
            </c:extLst>
          </c:dPt>
          <c:dPt>
            <c:idx val="3"/>
            <c:invertIfNegative val="0"/>
            <c:bubble3D val="0"/>
            <c:spPr>
              <a:solidFill>
                <a:srgbClr val="00B050"/>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extLst>
              <c:ext xmlns:c16="http://schemas.microsoft.com/office/drawing/2014/chart" uri="{C3380CC4-5D6E-409C-BE32-E72D297353CC}">
                <c16:uniqueId val="{00000004-2106-46B3-B7AB-0A8F20506323}"/>
              </c:ext>
            </c:extLst>
          </c:dPt>
          <c:dLbls>
            <c:spPr>
              <a:solidFill>
                <a:schemeClr val="accent1">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'BASIC Counts'!$B$3:$B$7</c:f>
              <c:strCache>
                <c:ptCount val="5"/>
                <c:pt idx="0">
                  <c:v>High</c:v>
                </c:pt>
                <c:pt idx="1">
                  <c:v>Moderate</c:v>
                </c:pt>
                <c:pt idx="2">
                  <c:v>Low</c:v>
                </c:pt>
                <c:pt idx="3">
                  <c:v>Negligible</c:v>
                </c:pt>
                <c:pt idx="4">
                  <c:v>Retired</c:v>
                </c:pt>
              </c:strCache>
            </c:strRef>
          </c:cat>
          <c:val>
            <c:numRef>
              <c:f>'BASIC Counts'!$D$3:$D$7</c:f>
              <c:numCache>
                <c:formatCode>General</c:formatCode>
                <c:ptCount val="5"/>
                <c:pt idx="0">
                  <c:v>5</c:v>
                </c:pt>
                <c:pt idx="1">
                  <c:v>4</c:v>
                </c:pt>
                <c:pt idx="2">
                  <c:v>11</c:v>
                </c:pt>
                <c:pt idx="3">
                  <c:v>4</c:v>
                </c:pt>
                <c:pt idx="4">
                  <c:v>21</c:v>
                </c:pt>
              </c:numCache>
            </c:numRef>
          </c:val>
          <c:extLst>
            <c:ext xmlns:c16="http://schemas.microsoft.com/office/drawing/2014/chart" uri="{C3380CC4-5D6E-409C-BE32-E72D297353CC}">
              <c16:uniqueId val="{00000000-2106-46B3-B7AB-0A8F20506323}"/>
            </c:ext>
          </c:extLst>
        </c:ser>
        <c:dLbls>
          <c:showLegendKey val="0"/>
          <c:showVal val="1"/>
          <c:showCatName val="0"/>
          <c:showSerName val="0"/>
          <c:showPercent val="0"/>
          <c:showBubbleSize val="0"/>
        </c:dLbls>
        <c:gapWidth val="84"/>
        <c:gapDepth val="53"/>
        <c:shape val="box"/>
        <c:axId val="249355264"/>
        <c:axId val="249359744"/>
        <c:axId val="0"/>
      </c:bar3DChart>
      <c:catAx>
        <c:axId val="2493552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lt1">
                    <a:lumMod val="75000"/>
                  </a:schemeClr>
                </a:solidFill>
                <a:latin typeface="+mn-lt"/>
                <a:ea typeface="+mn-ea"/>
                <a:cs typeface="+mn-cs"/>
              </a:defRPr>
            </a:pPr>
            <a:endParaRPr lang="en-US"/>
          </a:p>
        </c:txPr>
        <c:crossAx val="249359744"/>
        <c:crosses val="autoZero"/>
        <c:auto val="1"/>
        <c:lblAlgn val="ctr"/>
        <c:lblOffset val="100"/>
        <c:noMultiLvlLbl val="0"/>
      </c:catAx>
      <c:valAx>
        <c:axId val="249359744"/>
        <c:scaling>
          <c:orientation val="minMax"/>
        </c:scaling>
        <c:delete val="1"/>
        <c:axPos val="l"/>
        <c:numFmt formatCode="General" sourceLinked="1"/>
        <c:majorTickMark val="out"/>
        <c:minorTickMark val="none"/>
        <c:tickLblPos val="nextTo"/>
        <c:crossAx val="2493552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466727</xdr:colOff>
      <xdr:row>0</xdr:row>
      <xdr:rowOff>114302</xdr:rowOff>
    </xdr:from>
    <xdr:to>
      <xdr:col>8</xdr:col>
      <xdr:colOff>101600</xdr:colOff>
      <xdr:row>2</xdr:row>
      <xdr:rowOff>82550</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flipH="1" flipV="1">
          <a:off x="6892927" y="114302"/>
          <a:ext cx="873123" cy="342898"/>
        </a:xfrm>
        <a:prstGeom prst="straightConnector1">
          <a:avLst/>
        </a:prstGeom>
        <a:ln w="57150">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66674</xdr:colOff>
      <xdr:row>1</xdr:row>
      <xdr:rowOff>184149</xdr:rowOff>
    </xdr:from>
    <xdr:ext cx="2295525" cy="436786"/>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7731124" y="374649"/>
          <a:ext cx="229552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rgbClr val="FF0000"/>
              </a:solidFill>
            </a:rPr>
            <a:t>NOTE: This Column</a:t>
          </a:r>
          <a:r>
            <a:rPr lang="en-US" sz="1100" b="1" baseline="0">
              <a:solidFill>
                <a:srgbClr val="FF0000"/>
              </a:solidFill>
            </a:rPr>
            <a:t> alters Cost Score Thresholds. </a:t>
          </a:r>
        </a:p>
      </xdr:txBody>
    </xdr:sp>
    <xdr:clientData/>
  </xdr:oneCellAnchor>
  <xdr:oneCellAnchor>
    <xdr:from>
      <xdr:col>0</xdr:col>
      <xdr:colOff>231775</xdr:colOff>
      <xdr:row>11</xdr:row>
      <xdr:rowOff>171449</xdr:rowOff>
    </xdr:from>
    <xdr:ext cx="5762625" cy="3223318"/>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231775" y="2235199"/>
          <a:ext cx="5762625" cy="32233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2000" b="1">
              <a:solidFill>
                <a:srgbClr val="FF0000"/>
              </a:solidFill>
            </a:rPr>
            <a:t>NOTE:</a:t>
          </a:r>
          <a:r>
            <a:rPr lang="en-US" sz="2000" b="1" baseline="0">
              <a:solidFill>
                <a:srgbClr val="FF0000"/>
              </a:solidFill>
            </a:rPr>
            <a:t> Altering values on this page may change or break scoring on the "Risks" Tab. Please do not alter without reviewing underlying formulas and conditional formatting!</a:t>
          </a:r>
        </a:p>
        <a:p>
          <a:endParaRPr lang="en-US" sz="2000" b="1" baseline="0">
            <a:solidFill>
              <a:srgbClr val="FF0000"/>
            </a:solidFill>
          </a:endParaRPr>
        </a:p>
        <a:p>
          <a:r>
            <a:rPr lang="en-US" sz="2000" b="1" baseline="0">
              <a:solidFill>
                <a:srgbClr val="FF0000"/>
              </a:solidFill>
            </a:rPr>
            <a:t>The VALUE Column and Score are for REFERENCE ONLY, and are not used as selection criteria in the spreadsheet - Instead actual % values are directly entered into Likelihood columns, and are used in formula calculations.</a:t>
          </a:r>
          <a:endParaRPr lang="en-US" sz="2000" b="1">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114300</xdr:colOff>
      <xdr:row>4</xdr:row>
      <xdr:rowOff>66674</xdr:rowOff>
    </xdr:from>
    <xdr:ext cx="3343275" cy="2722284"/>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14300" y="828674"/>
          <a:ext cx="3343275" cy="27222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a:t>NOTE: In </a:t>
          </a:r>
          <a:r>
            <a:rPr lang="en-US" sz="1400" b="1">
              <a:solidFill>
                <a:srgbClr val="FF0000"/>
              </a:solidFill>
            </a:rPr>
            <a:t>cell B1 above</a:t>
          </a:r>
          <a:r>
            <a:rPr lang="en-US" sz="1400" b="1"/>
            <a:t>, enter the ROW from the "Risks</a:t>
          </a:r>
          <a:r>
            <a:rPr lang="en-US" sz="1400" b="1" baseline="0"/>
            <a:t>" Tab to display a page for the selected risk.    </a:t>
          </a:r>
        </a:p>
        <a:p>
          <a:endParaRPr lang="en-US" sz="1400" b="1" baseline="0"/>
        </a:p>
        <a:p>
          <a:r>
            <a:rPr lang="en-US" sz="1400" b="1" baseline="0"/>
            <a:t>Use caution altering any data other than cell B1 above, as it may break the summary. </a:t>
          </a:r>
        </a:p>
        <a:p>
          <a:endParaRPr lang="en-US" sz="1400" b="1" baseline="0"/>
        </a:p>
        <a:p>
          <a:r>
            <a:rPr lang="en-US" sz="1400" b="1" baseline="0"/>
            <a:t>If you add or remove columns from the "Risks" tab, you will need to </a:t>
          </a:r>
          <a:r>
            <a:rPr lang="en-US" sz="1400" b="1" i="1" baseline="0">
              <a:solidFill>
                <a:srgbClr val="FF0000"/>
              </a:solidFill>
            </a:rPr>
            <a:t>manually</a:t>
          </a:r>
          <a:r>
            <a:rPr lang="en-US" sz="1400" b="1" baseline="0"/>
            <a:t> update the corresponding formulas on THIS page. </a:t>
          </a:r>
          <a:endParaRPr lang="en-US" sz="1400" b="1"/>
        </a:p>
      </xdr:txBody>
    </xdr:sp>
    <xdr:clientData/>
  </xdr:oneCellAnchor>
  <xdr:twoCellAnchor>
    <xdr:from>
      <xdr:col>0</xdr:col>
      <xdr:colOff>1647825</xdr:colOff>
      <xdr:row>0</xdr:row>
      <xdr:rowOff>142875</xdr:rowOff>
    </xdr:from>
    <xdr:to>
      <xdr:col>1</xdr:col>
      <xdr:colOff>66675</xdr:colOff>
      <xdr:row>4</xdr:row>
      <xdr:rowOff>133350</xdr:rowOff>
    </xdr:to>
    <xdr:cxnSp macro="">
      <xdr:nvCxnSpPr>
        <xdr:cNvPr id="4" name="Straight Arrow Connector 3">
          <a:extLst>
            <a:ext uri="{FF2B5EF4-FFF2-40B4-BE49-F238E27FC236}">
              <a16:creationId xmlns:a16="http://schemas.microsoft.com/office/drawing/2014/main" id="{00000000-0008-0000-0300-000004000000}"/>
            </a:ext>
          </a:extLst>
        </xdr:cNvPr>
        <xdr:cNvCxnSpPr/>
      </xdr:nvCxnSpPr>
      <xdr:spPr>
        <a:xfrm flipV="1">
          <a:off x="1647825" y="142875"/>
          <a:ext cx="1447800" cy="752475"/>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520701</xdr:colOff>
      <xdr:row>8</xdr:row>
      <xdr:rowOff>76200</xdr:rowOff>
    </xdr:from>
    <xdr:ext cx="3054350" cy="133350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20701" y="1587500"/>
          <a:ext cx="3054350" cy="1333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2000" b="1">
              <a:solidFill>
                <a:srgbClr val="FF0000"/>
              </a:solidFill>
            </a:rPr>
            <a:t>NOTE:</a:t>
          </a:r>
          <a:r>
            <a:rPr lang="en-US" sz="2000" b="1" baseline="0">
              <a:solidFill>
                <a:srgbClr val="FF0000"/>
              </a:solidFill>
            </a:rPr>
            <a:t> If columns are altered on the RISKS tab, this page may stop working.</a:t>
          </a:r>
          <a:endParaRPr lang="en-US" sz="2000" b="1">
            <a:solidFill>
              <a:srgbClr val="FF0000"/>
            </a:solidFill>
          </a:endParaRPr>
        </a:p>
      </xdr:txBody>
    </xdr:sp>
    <xdr:clientData/>
  </xdr:oneCellAnchor>
  <xdr:twoCellAnchor>
    <xdr:from>
      <xdr:col>5</xdr:col>
      <xdr:colOff>171450</xdr:colOff>
      <xdr:row>2</xdr:row>
      <xdr:rowOff>15874</xdr:rowOff>
    </xdr:from>
    <xdr:to>
      <xdr:col>17</xdr:col>
      <xdr:colOff>304800</xdr:colOff>
      <xdr:row>35</xdr:row>
      <xdr:rowOff>25399</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445770</xdr:colOff>
      <xdr:row>1</xdr:row>
      <xdr:rowOff>163830</xdr:rowOff>
    </xdr:from>
    <xdr:to>
      <xdr:col>31</xdr:col>
      <xdr:colOff>175260</xdr:colOff>
      <xdr:row>34</xdr:row>
      <xdr:rowOff>160020</xdr:rowOff>
    </xdr:to>
    <xdr:graphicFrame macro="">
      <xdr:nvGraphicFramePr>
        <xdr:cNvPr id="5" name="Chart 4">
          <a:extLst>
            <a:ext uri="{FF2B5EF4-FFF2-40B4-BE49-F238E27FC236}">
              <a16:creationId xmlns:a16="http://schemas.microsoft.com/office/drawing/2014/main" id="{59A56597-124F-4E38-B701-74FC7BA821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ourikova/CD-2/RISK%20ANALYSIS/CD-2%20Risk%20Register%20Mar%201%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amp;F%20Risk%20Register%20Mar%202021%20(April%202x%20review).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ricmannel/Library/Containers/com.microsoft.Excel/Data/Documents/Users/isourikova/CD-2/RISK%20ANALYSIS/CD-2%20Risk%20Register%20Mar%201%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ricmannel/Library/Containers/com.microsoft.Excel/Data/Documents/Users/isourikova/AppData/Local/Packages/Microsoft.MicrosoftEdge_8wekyb3d8bbwe/TempState/Downloads/CD-2%20Risk%20Register%20Dec%2015%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ricmannel/Library/Containers/com.microsoft.Excel/Data/Documents/Users/isourikova/Documents/CD-2%20Risk%20Register%20Mar%2028%202019%20Ji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ricmannel/Library/Containers/com.microsoft.Excel/Data/Documents/Users/isourikova/AppData/Local/Microsoft/Windows/INetCache/Content.Outlook/PEMHR5UC/Infrastructure_Risk_Regis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ericmannel/Library/Containers/com.microsoft.Excel/Data/Documents/C:/Users/isourikova/CD-2/RISK%20ANALYSIS/CD-2%20Risk%20Register%20Mar%201%20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ericmannel/Library/Containers/com.microsoft.Excel/Data/Documents/C:/Users/isourikova/AppData/Local/Packages/Microsoft.MicrosoftEdge_8wekyb3d8bbwe/TempState/Downloads/CD-2%20Risk%20Register%20Dec%2015%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ericmannel/Library/Containers/com.microsoft.Excel/Data/Documents/C:/Users/isourikova/AppData/Local/Microsoft/Windows/INetCache/Content.Outlook/PEMHR5UC/Infrastructure_Risk_Regist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
      <sheetName val="CB_DATA_"/>
      <sheetName val="SelectionCriteria"/>
      <sheetName val="Retired Risks"/>
      <sheetName val="RiskPresentation"/>
      <sheetName val="BASIC Counts"/>
    </sheetNames>
    <sheetDataSet>
      <sheetData sheetId="0"/>
      <sheetData sheetId="1"/>
      <sheetData sheetId="2">
        <row r="3">
          <cell r="G3">
            <v>225</v>
          </cell>
        </row>
        <row r="4">
          <cell r="G4">
            <v>100</v>
          </cell>
        </row>
        <row r="5">
          <cell r="G5">
            <v>25</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
      <sheetName val="Preview"/>
      <sheetName val="CB_DATA_"/>
      <sheetName val="SelectionCriteria"/>
      <sheetName val="RiskPresentation"/>
    </sheetNames>
    <sheetDataSet>
      <sheetData sheetId="0"/>
      <sheetData sheetId="1"/>
      <sheetData sheetId="2"/>
      <sheetData sheetId="3">
        <row r="3">
          <cell r="G3">
            <v>225</v>
          </cell>
        </row>
        <row r="4">
          <cell r="G4">
            <v>100</v>
          </cell>
        </row>
        <row r="5">
          <cell r="G5">
            <v>25</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Criteria"/>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Criteria"/>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Criteria"/>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Criteria"/>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Criteria"/>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Criteria"/>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Criteri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EM123"/>
  <sheetViews>
    <sheetView showGridLines="0" tabSelected="1" zoomScale="82" zoomScaleNormal="82" workbookViewId="0">
      <pane xSplit="9" ySplit="2" topLeftCell="U3" activePane="bottomRight" state="frozen"/>
      <selection pane="topRight" activeCell="J1" sqref="J1"/>
      <selection pane="bottomLeft" activeCell="A3" sqref="A3"/>
      <selection pane="bottomRight" activeCell="AG40" sqref="AG40"/>
    </sheetView>
  </sheetViews>
  <sheetFormatPr defaultColWidth="9.28515625" defaultRowHeight="30" customHeight="1" x14ac:dyDescent="0.25"/>
  <cols>
    <col min="1" max="1" width="5.140625" style="172" customWidth="1"/>
    <col min="2" max="2" width="18" style="172" customWidth="1"/>
    <col min="3" max="3" width="12.140625" style="227" hidden="1" customWidth="1"/>
    <col min="4" max="4" width="12.140625" style="172" hidden="1" customWidth="1"/>
    <col min="5" max="5" width="12" style="172" hidden="1" customWidth="1"/>
    <col min="6" max="6" width="12.140625" style="173" hidden="1" customWidth="1"/>
    <col min="7" max="7" width="7" style="172" hidden="1" customWidth="1"/>
    <col min="8" max="8" width="33.42578125" style="231" customWidth="1"/>
    <col min="9" max="9" width="47.28515625" style="172" customWidth="1"/>
    <col min="10" max="10" width="10.28515625" style="172" hidden="1" customWidth="1"/>
    <col min="11" max="11" width="10.42578125" style="172" hidden="1" customWidth="1"/>
    <col min="12" max="12" width="7.28515625" style="172" hidden="1" customWidth="1"/>
    <col min="13" max="13" width="7.28515625" style="131" hidden="1" customWidth="1"/>
    <col min="14" max="14" width="7" style="172" hidden="1" customWidth="1"/>
    <col min="15" max="15" width="8.42578125" style="172" hidden="1" customWidth="1"/>
    <col min="16" max="16" width="7" style="172" hidden="1" customWidth="1"/>
    <col min="17" max="17" width="8.42578125" style="172" hidden="1" customWidth="1"/>
    <col min="18" max="19" width="8.7109375" style="172" hidden="1" customWidth="1"/>
    <col min="20" max="20" width="11.28515625" style="229" hidden="1" customWidth="1"/>
    <col min="21" max="21" width="33.28515625" style="172" customWidth="1"/>
    <col min="22" max="22" width="18" style="172" hidden="1" customWidth="1"/>
    <col min="23" max="23" width="8.7109375" style="172" hidden="1" customWidth="1"/>
    <col min="24" max="24" width="5.7109375" style="172" hidden="1" customWidth="1"/>
    <col min="25" max="25" width="10.7109375" style="172" customWidth="1"/>
    <col min="26" max="26" width="7.42578125" style="172" hidden="1" customWidth="1"/>
    <col min="27" max="27" width="8.28515625" style="172" hidden="1" customWidth="1"/>
    <col min="28" max="28" width="9.28515625" style="172" customWidth="1"/>
    <col min="29" max="29" width="9" style="172" customWidth="1"/>
    <col min="30" max="30" width="9.28515625" style="172" customWidth="1"/>
    <col min="31" max="31" width="9.7109375" style="172" customWidth="1"/>
    <col min="32" max="32" width="9.28515625" style="172" customWidth="1"/>
    <col min="33" max="33" width="8.7109375" style="172" customWidth="1"/>
    <col min="34" max="34" width="7.7109375" style="172" hidden="1" customWidth="1"/>
    <col min="35" max="35" width="8.7109375" style="172" hidden="1" customWidth="1"/>
    <col min="36" max="36" width="9.28515625" style="172" hidden="1" customWidth="1"/>
    <col min="37" max="37" width="8.7109375" style="172" hidden="1" customWidth="1"/>
    <col min="38" max="38" width="7.7109375" style="172" hidden="1" customWidth="1"/>
    <col min="39" max="39" width="11.7109375" style="172" customWidth="1"/>
    <col min="40" max="40" width="8.28515625" style="172" hidden="1" customWidth="1"/>
    <col min="41" max="41" width="8.7109375" style="172" customWidth="1"/>
    <col min="42" max="42" width="9.7109375" style="172" customWidth="1"/>
    <col min="43" max="43" width="25.42578125" style="172" customWidth="1"/>
    <col min="44" max="44" width="13.7109375" style="172" hidden="1" customWidth="1"/>
    <col min="45" max="45" width="13.85546875" style="172" hidden="1" customWidth="1"/>
    <col min="46" max="46" width="37.85546875" style="172" hidden="1" customWidth="1"/>
    <col min="47" max="47" width="15.42578125" style="172" hidden="1" customWidth="1"/>
    <col min="48" max="48" width="20.42578125" style="172" hidden="1" customWidth="1"/>
    <col min="49" max="49" width="45.42578125" style="172" customWidth="1"/>
    <col min="50" max="50" width="16.5703125" style="172" customWidth="1"/>
    <col min="51" max="52" width="9.28515625" style="171" customWidth="1"/>
    <col min="53" max="53" width="14.7109375" style="171" customWidth="1"/>
    <col min="54" max="54" width="17.42578125" style="171" customWidth="1"/>
    <col min="55" max="55" width="18.7109375" style="171" customWidth="1"/>
    <col min="56" max="56" width="16" style="171" customWidth="1"/>
    <col min="57" max="63" width="9.28515625" style="171" customWidth="1"/>
    <col min="64" max="143" width="9.28515625" style="171"/>
    <col min="144" max="16384" width="9.28515625" style="172"/>
  </cols>
  <sheetData>
    <row r="1" spans="1:143" s="194" customFormat="1" ht="30" customHeight="1" x14ac:dyDescent="0.25">
      <c r="B1" s="305" t="s">
        <v>14</v>
      </c>
      <c r="C1" s="305"/>
      <c r="D1" s="306"/>
      <c r="E1" s="306"/>
      <c r="F1" s="306"/>
      <c r="G1" s="305"/>
      <c r="H1" s="307"/>
      <c r="I1" s="306"/>
      <c r="J1" s="304" t="s">
        <v>9</v>
      </c>
      <c r="K1" s="304"/>
      <c r="L1" s="304"/>
      <c r="M1" s="304"/>
      <c r="N1" s="304"/>
      <c r="O1" s="304"/>
      <c r="P1" s="304"/>
      <c r="Q1" s="304"/>
      <c r="R1" s="304"/>
      <c r="S1" s="304"/>
      <c r="T1" s="304"/>
      <c r="U1" s="308" t="s">
        <v>6</v>
      </c>
      <c r="V1" s="308"/>
      <c r="W1" s="308"/>
      <c r="X1" s="308"/>
      <c r="Y1" s="302" t="s">
        <v>578</v>
      </c>
      <c r="Z1" s="302"/>
      <c r="AA1" s="303"/>
      <c r="AB1" s="302"/>
      <c r="AC1" s="302"/>
      <c r="AD1" s="302"/>
      <c r="AE1" s="302"/>
      <c r="AF1" s="302"/>
      <c r="AG1" s="302"/>
      <c r="AH1" s="303"/>
      <c r="AI1" s="303"/>
      <c r="AJ1" s="303"/>
      <c r="AK1" s="303"/>
      <c r="AL1" s="303"/>
      <c r="AM1" s="302"/>
      <c r="AN1" s="303"/>
      <c r="AO1" s="303"/>
      <c r="AP1" s="303"/>
      <c r="AQ1" s="303"/>
      <c r="AR1" s="303"/>
      <c r="AS1" s="303"/>
      <c r="AT1" s="303"/>
      <c r="AU1" s="303"/>
      <c r="AV1" s="303"/>
      <c r="AW1" s="303"/>
      <c r="AX1" s="303"/>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195"/>
      <c r="DI1" s="195"/>
      <c r="DJ1" s="195"/>
      <c r="DK1" s="195"/>
      <c r="DL1" s="195"/>
      <c r="DM1" s="195"/>
      <c r="DN1" s="195"/>
      <c r="DO1" s="195"/>
      <c r="DP1" s="195"/>
      <c r="DQ1" s="195"/>
      <c r="DR1" s="195"/>
      <c r="DS1" s="195"/>
      <c r="DT1" s="195"/>
      <c r="DU1" s="195"/>
      <c r="DV1" s="195"/>
      <c r="DW1" s="195"/>
      <c r="DX1" s="195"/>
      <c r="DY1" s="195"/>
      <c r="DZ1" s="195"/>
      <c r="EA1" s="195"/>
      <c r="EB1" s="195"/>
      <c r="EC1" s="195"/>
      <c r="ED1" s="195"/>
      <c r="EE1" s="195"/>
      <c r="EF1" s="195"/>
      <c r="EG1" s="195"/>
      <c r="EH1" s="195"/>
      <c r="EI1" s="195"/>
      <c r="EJ1" s="195"/>
      <c r="EK1" s="195"/>
      <c r="EL1" s="195"/>
      <c r="EM1" s="195"/>
    </row>
    <row r="2" spans="1:143" s="194" customFormat="1" ht="30" customHeight="1" x14ac:dyDescent="0.25">
      <c r="A2" s="194" t="s">
        <v>398</v>
      </c>
      <c r="B2" s="196" t="s">
        <v>20</v>
      </c>
      <c r="C2" s="197" t="s">
        <v>161</v>
      </c>
      <c r="D2" s="198" t="s">
        <v>15</v>
      </c>
      <c r="E2" s="198" t="s">
        <v>19</v>
      </c>
      <c r="F2" s="199" t="s">
        <v>16</v>
      </c>
      <c r="G2" s="196" t="s">
        <v>21</v>
      </c>
      <c r="H2" s="230" t="s">
        <v>0</v>
      </c>
      <c r="I2" s="242" t="s">
        <v>37</v>
      </c>
      <c r="J2" s="200" t="s">
        <v>45</v>
      </c>
      <c r="K2" s="200" t="s">
        <v>41</v>
      </c>
      <c r="L2" s="200" t="s">
        <v>42</v>
      </c>
      <c r="M2" s="201" t="s">
        <v>23</v>
      </c>
      <c r="N2" s="202" t="s">
        <v>31</v>
      </c>
      <c r="O2" s="202" t="s">
        <v>32</v>
      </c>
      <c r="P2" s="202" t="s">
        <v>33</v>
      </c>
      <c r="Q2" s="202" t="s">
        <v>34</v>
      </c>
      <c r="R2" s="202" t="s">
        <v>17</v>
      </c>
      <c r="S2" s="202" t="s">
        <v>525</v>
      </c>
      <c r="T2" s="203" t="s">
        <v>17</v>
      </c>
      <c r="U2" s="204" t="s">
        <v>6</v>
      </c>
      <c r="V2" s="204" t="s">
        <v>30</v>
      </c>
      <c r="W2" s="205" t="s">
        <v>73</v>
      </c>
      <c r="X2" s="204" t="s">
        <v>39</v>
      </c>
      <c r="Y2" s="206" t="s">
        <v>40</v>
      </c>
      <c r="Z2" s="206" t="s">
        <v>8</v>
      </c>
      <c r="AA2" s="207" t="s">
        <v>4</v>
      </c>
      <c r="AB2" s="206" t="s">
        <v>27</v>
      </c>
      <c r="AC2" s="206" t="s">
        <v>28</v>
      </c>
      <c r="AD2" s="206" t="s">
        <v>29</v>
      </c>
      <c r="AE2" s="206" t="s">
        <v>24</v>
      </c>
      <c r="AF2" s="206" t="s">
        <v>25</v>
      </c>
      <c r="AG2" s="206" t="s">
        <v>26</v>
      </c>
      <c r="AH2" s="208" t="s">
        <v>31</v>
      </c>
      <c r="AI2" s="208" t="s">
        <v>32</v>
      </c>
      <c r="AJ2" s="208" t="s">
        <v>33</v>
      </c>
      <c r="AK2" s="208" t="s">
        <v>34</v>
      </c>
      <c r="AL2" s="208" t="s">
        <v>35</v>
      </c>
      <c r="AM2" s="206" t="s">
        <v>36</v>
      </c>
      <c r="AN2" s="207" t="s">
        <v>96</v>
      </c>
      <c r="AO2" s="208" t="s">
        <v>91</v>
      </c>
      <c r="AP2" s="208" t="s">
        <v>92</v>
      </c>
      <c r="AQ2" s="207" t="s">
        <v>84</v>
      </c>
      <c r="AR2" s="208" t="s">
        <v>97</v>
      </c>
      <c r="AS2" s="208" t="s">
        <v>98</v>
      </c>
      <c r="AT2" s="205" t="s">
        <v>93</v>
      </c>
      <c r="AU2" s="205" t="s">
        <v>86</v>
      </c>
      <c r="AV2" s="205" t="s">
        <v>85</v>
      </c>
      <c r="AW2" s="205" t="s">
        <v>502</v>
      </c>
      <c r="AX2" s="207" t="s">
        <v>22</v>
      </c>
      <c r="AY2" s="195" t="s">
        <v>618</v>
      </c>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c r="ED2" s="195"/>
      <c r="EE2" s="195"/>
      <c r="EF2" s="195"/>
      <c r="EG2" s="195"/>
      <c r="EH2" s="195"/>
      <c r="EI2" s="195"/>
      <c r="EJ2" s="195"/>
      <c r="EK2" s="195"/>
      <c r="EL2" s="195"/>
      <c r="EM2" s="195"/>
    </row>
    <row r="3" spans="1:143" s="171" customFormat="1" ht="30" customHeight="1" x14ac:dyDescent="0.25">
      <c r="A3" s="171">
        <v>1</v>
      </c>
      <c r="B3" s="209" t="s">
        <v>530</v>
      </c>
      <c r="C3" s="210" t="s">
        <v>306</v>
      </c>
      <c r="D3" s="183" t="s">
        <v>106</v>
      </c>
      <c r="E3" s="183" t="s">
        <v>107</v>
      </c>
      <c r="F3" s="211"/>
      <c r="G3" s="212" t="s">
        <v>108</v>
      </c>
      <c r="H3" s="250" t="s">
        <v>109</v>
      </c>
      <c r="I3" s="187" t="s">
        <v>111</v>
      </c>
      <c r="J3" s="4">
        <v>0.1</v>
      </c>
      <c r="K3" s="4" t="s">
        <v>3</v>
      </c>
      <c r="L3" s="4"/>
      <c r="M3" s="213">
        <v>72</v>
      </c>
      <c r="N3" s="5">
        <f>IF(J3=0,0,IF(J3&lt;=0.01,1, IF(J3&lt;=0.1,2, IF(J3&lt;=0.5,3,4))))</f>
        <v>2</v>
      </c>
      <c r="O3" s="5">
        <f>IF(M3="",0,IF(M3&lt;=SelectionCriteria!$G$5,1, IF(M3&lt;=SelectionCriteria!$G$4,2, IF(M3&lt;=SelectionCriteria!$G$3,3,4))))</f>
        <v>2</v>
      </c>
      <c r="P3" s="5">
        <f t="shared" ref="P3:Q6" si="0">IF(K3="",0,IF(K3="Negligible",1,IF(K3="Low",2,IF(K3="Moderate",3,4))))</f>
        <v>3</v>
      </c>
      <c r="Q3" s="5">
        <v>0</v>
      </c>
      <c r="R3" s="3">
        <f t="shared" ref="R3:R8" si="1">N3*((O3+P3+Q3)/3)</f>
        <v>3.3333333333333335</v>
      </c>
      <c r="S3" s="3"/>
      <c r="T3" s="180" t="str">
        <f>IF(R3=0,"Not Primary",IF(R3&lt;=1,"Negligible",IF(R3&lt;=2,"Low",IF(R3&lt;=3,"Moderate","High"))))</f>
        <v>High</v>
      </c>
      <c r="U3" s="187" t="s">
        <v>117</v>
      </c>
      <c r="V3" s="187" t="s">
        <v>267</v>
      </c>
      <c r="W3" s="188" t="s">
        <v>53</v>
      </c>
      <c r="X3" s="187"/>
      <c r="Y3" s="259">
        <v>0.1</v>
      </c>
      <c r="Z3" s="214" t="s">
        <v>3</v>
      </c>
      <c r="AA3" s="4"/>
      <c r="AB3" s="260">
        <v>0</v>
      </c>
      <c r="AC3" s="260">
        <v>0</v>
      </c>
      <c r="AD3" s="260">
        <v>0</v>
      </c>
      <c r="AE3" s="261">
        <v>1</v>
      </c>
      <c r="AF3" s="261">
        <v>3</v>
      </c>
      <c r="AG3" s="261">
        <v>6</v>
      </c>
      <c r="AH3" s="5">
        <f t="shared" ref="AH3:AH66" si="2">IF(Y3=0,0,IF(Y3&lt;=0.01,1, IF(Y3&lt;=0.1,2, IF(Y3&lt;=0.5,3,4))))</f>
        <v>2</v>
      </c>
      <c r="AI3" s="5">
        <f>IF(AC3="",0,IF(AC3&lt;=SelectionCriteria!$G$5,1, IF(AC3&lt;=SelectionCriteria!$G$4,2, IF(AC3&lt;=SelectionCriteria!$G$3,3,4))))</f>
        <v>1</v>
      </c>
      <c r="AJ3" s="5">
        <f t="shared" ref="AJ3:AK7" si="3">IF(Z3="",0,IF(Z3="Negligible",1,IF(Z3="Low",2,IF(Z3="Moderate",3,4))))</f>
        <v>3</v>
      </c>
      <c r="AK3" s="5">
        <f t="shared" si="3"/>
        <v>0</v>
      </c>
      <c r="AL3" s="3">
        <f t="shared" ref="AL3:AL94" si="4">AH3*((AI3+AJ3+AK3)/3)</f>
        <v>2.6666666666666665</v>
      </c>
      <c r="AM3" s="259" t="str">
        <f>IF(AL3=0,"No Residual",IF(AL3&lt;=1,"Negligible",IF(AL3&lt;=2,"Low",IF(AL3&lt;3,"Moderate","High"))))</f>
        <v>Moderate</v>
      </c>
      <c r="AN3" s="4"/>
      <c r="AO3" s="3">
        <f>Y3*AC3</f>
        <v>0</v>
      </c>
      <c r="AP3" s="3">
        <f>Y3*(SUM(AB3:AD3)/3)</f>
        <v>0</v>
      </c>
      <c r="AQ3" s="86" t="s">
        <v>340</v>
      </c>
      <c r="AR3" s="86" t="str">
        <f>IF(Y3=0,"Not Residual",IF(AH3=4,("Very Likely"),(IF(AH3=3,("Possible"),(IF(AH3=2,("Unlikely"),("Rare")))))))</f>
        <v>Unlikely</v>
      </c>
      <c r="AS3" s="86" t="str">
        <f t="shared" ref="AS3:AS74" si="5">AM3</f>
        <v>Moderate</v>
      </c>
      <c r="AT3" s="86"/>
      <c r="AU3" s="86"/>
      <c r="AV3" s="86"/>
      <c r="AW3" s="86"/>
      <c r="AX3" s="6"/>
    </row>
    <row r="4" spans="1:143" s="171" customFormat="1" ht="30" customHeight="1" x14ac:dyDescent="0.25">
      <c r="A4" s="171">
        <v>2</v>
      </c>
      <c r="B4" s="209" t="s">
        <v>531</v>
      </c>
      <c r="C4" s="210" t="s">
        <v>306</v>
      </c>
      <c r="D4" s="183" t="s">
        <v>106</v>
      </c>
      <c r="E4" s="183" t="s">
        <v>107</v>
      </c>
      <c r="F4" s="211"/>
      <c r="G4" s="212" t="s">
        <v>108</v>
      </c>
      <c r="H4" s="250" t="s">
        <v>110</v>
      </c>
      <c r="I4" s="187" t="s">
        <v>310</v>
      </c>
      <c r="J4" s="4">
        <v>0.05</v>
      </c>
      <c r="K4" s="4" t="s">
        <v>2</v>
      </c>
      <c r="L4" s="4"/>
      <c r="M4" s="213">
        <v>63</v>
      </c>
      <c r="N4" s="5">
        <f t="shared" ref="N4:N88" si="6">IF(J4=0,0,IF(J4&lt;=0.01,1, IF(J4&lt;=0.1,2, IF(J4&lt;=0.5,3,4))))</f>
        <v>2</v>
      </c>
      <c r="O4" s="5">
        <f>IF(M4="",0,IF(M4&lt;=SelectionCriteria!$G$5,1, IF(M4&lt;=SelectionCriteria!$G$4,2, IF(M4&lt;=SelectionCriteria!$G$3,3,4))))</f>
        <v>2</v>
      </c>
      <c r="P4" s="5">
        <f t="shared" si="0"/>
        <v>2</v>
      </c>
      <c r="Q4" s="5">
        <f t="shared" si="0"/>
        <v>0</v>
      </c>
      <c r="R4" s="3">
        <f t="shared" si="1"/>
        <v>2.6666666666666665</v>
      </c>
      <c r="S4" s="3"/>
      <c r="T4" s="180" t="str">
        <f t="shared" ref="T4:T88" si="7">IF(R4=0,"Not Primary",IF(R4&lt;=1,"Negligible",IF(R4&lt;=2,"Low",IF(R4&lt;=3,"Moderate","High"))))</f>
        <v>Moderate</v>
      </c>
      <c r="U4" s="187" t="s">
        <v>112</v>
      </c>
      <c r="V4" s="187" t="s">
        <v>268</v>
      </c>
      <c r="W4" s="188" t="s">
        <v>53</v>
      </c>
      <c r="X4" s="187"/>
      <c r="Y4" s="259">
        <v>0.02</v>
      </c>
      <c r="Z4" s="214" t="s">
        <v>2</v>
      </c>
      <c r="AA4" s="4"/>
      <c r="AB4" s="260">
        <v>0</v>
      </c>
      <c r="AC4" s="260">
        <v>0</v>
      </c>
      <c r="AD4" s="260">
        <v>0</v>
      </c>
      <c r="AE4" s="261">
        <v>0.1</v>
      </c>
      <c r="AF4" s="261">
        <v>0.5</v>
      </c>
      <c r="AG4" s="261">
        <v>1</v>
      </c>
      <c r="AH4" s="5">
        <f t="shared" si="2"/>
        <v>2</v>
      </c>
      <c r="AI4" s="5">
        <f>IF(AC4="",0,IF(AC4&lt;=SelectionCriteria!$G$5,1, IF(AC4&lt;=SelectionCriteria!$G$4,2, IF(AC4&lt;=SelectionCriteria!$G$3,3,4))))</f>
        <v>1</v>
      </c>
      <c r="AJ4" s="5">
        <f t="shared" si="3"/>
        <v>2</v>
      </c>
      <c r="AK4" s="5">
        <f t="shared" si="3"/>
        <v>0</v>
      </c>
      <c r="AL4" s="3">
        <f t="shared" si="4"/>
        <v>2</v>
      </c>
      <c r="AM4" s="259" t="str">
        <f t="shared" ref="AM4:AM5" si="8">IF(AL4=0,"No Residual",IF(AL4&lt;=1,"Negligible",IF(AL4&lt;=2,"Low",IF(AL4&lt;3,"Moderate","High"))))</f>
        <v>Low</v>
      </c>
      <c r="AN4" s="4"/>
      <c r="AO4" s="3">
        <f>Y4*AC4</f>
        <v>0</v>
      </c>
      <c r="AP4" s="3">
        <f>Y4*(SUM(AB4:AD4)/3)</f>
        <v>0</v>
      </c>
      <c r="AQ4" s="86" t="s">
        <v>288</v>
      </c>
      <c r="AR4" s="86" t="str">
        <f>IF(Y4=0,"Not Residual",IF(AH4=4,("Very Likely"),(IF(AH4=3,("Possible"),(IF(AH4=2,("Unlikely"),("Rare")))))))</f>
        <v>Unlikely</v>
      </c>
      <c r="AS4" s="86" t="str">
        <f t="shared" si="5"/>
        <v>Low</v>
      </c>
      <c r="AT4" s="86"/>
      <c r="AU4" s="86"/>
      <c r="AV4" s="86"/>
      <c r="AW4" s="86"/>
      <c r="AX4" s="6"/>
    </row>
    <row r="5" spans="1:143" s="171" customFormat="1" ht="30" customHeight="1" x14ac:dyDescent="0.25">
      <c r="A5" s="171">
        <v>3</v>
      </c>
      <c r="B5" s="209" t="s">
        <v>532</v>
      </c>
      <c r="C5" s="210" t="s">
        <v>307</v>
      </c>
      <c r="D5" s="183" t="s">
        <v>106</v>
      </c>
      <c r="E5" s="183" t="s">
        <v>107</v>
      </c>
      <c r="F5" s="211"/>
      <c r="G5" s="212" t="s">
        <v>108</v>
      </c>
      <c r="H5" s="250" t="s">
        <v>113</v>
      </c>
      <c r="I5" s="187" t="s">
        <v>309</v>
      </c>
      <c r="J5" s="4">
        <v>0.5</v>
      </c>
      <c r="K5" s="4" t="s">
        <v>2</v>
      </c>
      <c r="L5" s="4"/>
      <c r="M5" s="213">
        <v>500</v>
      </c>
      <c r="N5" s="5">
        <f t="shared" si="6"/>
        <v>3</v>
      </c>
      <c r="O5" s="5">
        <f>IF(M5="",0,IF(M5&lt;=SelectionCriteria!$G$5,1, IF(M5&lt;=SelectionCriteria!$G$4,2, IF(M5&lt;=SelectionCriteria!$G$3,3,4))))</f>
        <v>4</v>
      </c>
      <c r="P5" s="5">
        <f t="shared" si="0"/>
        <v>2</v>
      </c>
      <c r="Q5" s="5">
        <f t="shared" si="0"/>
        <v>0</v>
      </c>
      <c r="R5" s="3">
        <f t="shared" si="1"/>
        <v>6</v>
      </c>
      <c r="S5" s="3"/>
      <c r="T5" s="180" t="str">
        <f t="shared" si="7"/>
        <v>High</v>
      </c>
      <c r="U5" s="187" t="s">
        <v>116</v>
      </c>
      <c r="V5" s="187" t="s">
        <v>118</v>
      </c>
      <c r="W5" s="188" t="s">
        <v>53</v>
      </c>
      <c r="X5" s="187"/>
      <c r="Y5" s="259">
        <v>0.1</v>
      </c>
      <c r="Z5" s="214" t="s">
        <v>2</v>
      </c>
      <c r="AA5" s="4"/>
      <c r="AB5" s="260">
        <v>0</v>
      </c>
      <c r="AC5" s="260">
        <v>213</v>
      </c>
      <c r="AD5" s="260">
        <v>213</v>
      </c>
      <c r="AE5" s="260">
        <v>0</v>
      </c>
      <c r="AF5" s="260">
        <v>0</v>
      </c>
      <c r="AG5" s="260">
        <v>0</v>
      </c>
      <c r="AH5" s="5">
        <f t="shared" si="2"/>
        <v>2</v>
      </c>
      <c r="AI5" s="5">
        <f>IF(AC5="",0,IF(AC5&lt;=SelectionCriteria!$G$5,1, IF(AC5&lt;=SelectionCriteria!$G$4,2, IF(AC5&lt;=SelectionCriteria!$G$3,3,4))))</f>
        <v>3</v>
      </c>
      <c r="AJ5" s="5">
        <f t="shared" si="3"/>
        <v>2</v>
      </c>
      <c r="AK5" s="5">
        <f t="shared" si="3"/>
        <v>0</v>
      </c>
      <c r="AL5" s="3">
        <f t="shared" si="4"/>
        <v>3.3333333333333335</v>
      </c>
      <c r="AM5" s="259" t="str">
        <f t="shared" si="8"/>
        <v>High</v>
      </c>
      <c r="AN5" s="4"/>
      <c r="AO5" s="3">
        <f>Y5*AC5</f>
        <v>21.3</v>
      </c>
      <c r="AP5" s="3">
        <f>Y5*(SUM(AB5:AD5)/3)</f>
        <v>14.200000000000001</v>
      </c>
      <c r="AQ5" s="86" t="s">
        <v>341</v>
      </c>
      <c r="AR5" s="86" t="str">
        <f>IF(Y5=0,"Not Residual",IF(AH5=4,("Very Likely"),(IF(AH5=3,("Possible"),(IF(AH5=2,("Unlikely"),("Rare")))))))</f>
        <v>Unlikely</v>
      </c>
      <c r="AS5" s="86" t="str">
        <f t="shared" si="5"/>
        <v>High</v>
      </c>
      <c r="AT5" s="86"/>
      <c r="AU5" s="86"/>
      <c r="AV5" s="86"/>
      <c r="AW5" s="86"/>
      <c r="AX5" s="6" t="s">
        <v>697</v>
      </c>
    </row>
    <row r="6" spans="1:143" s="171" customFormat="1" ht="30" hidden="1" customHeight="1" x14ac:dyDescent="0.25">
      <c r="A6" s="171">
        <v>4</v>
      </c>
      <c r="B6" s="183" t="s">
        <v>533</v>
      </c>
      <c r="C6" s="217" t="s">
        <v>277</v>
      </c>
      <c r="D6" s="183" t="s">
        <v>106</v>
      </c>
      <c r="E6" s="183" t="s">
        <v>107</v>
      </c>
      <c r="F6" s="211"/>
      <c r="G6" s="218" t="s">
        <v>108</v>
      </c>
      <c r="H6" s="250" t="s">
        <v>114</v>
      </c>
      <c r="I6" s="187" t="s">
        <v>317</v>
      </c>
      <c r="J6" s="4">
        <v>0.04</v>
      </c>
      <c r="K6" s="4" t="s">
        <v>2</v>
      </c>
      <c r="L6" s="4"/>
      <c r="M6" s="213">
        <v>3900</v>
      </c>
      <c r="N6" s="5">
        <f t="shared" si="6"/>
        <v>2</v>
      </c>
      <c r="O6" s="5">
        <f>IF(M6="",0,IF(M6&lt;=SelectionCriteria!$G$5,1, IF(M6&lt;=SelectionCriteria!$G$4,2, IF(M6&lt;=SelectionCriteria!$G$3,3,4))))</f>
        <v>4</v>
      </c>
      <c r="P6" s="5">
        <f t="shared" si="0"/>
        <v>2</v>
      </c>
      <c r="Q6" s="5">
        <f t="shared" si="0"/>
        <v>0</v>
      </c>
      <c r="R6" s="3">
        <f t="shared" si="1"/>
        <v>4</v>
      </c>
      <c r="S6" s="3"/>
      <c r="T6" s="180" t="str">
        <f>IF(R6=0,"Not Primary",IF(R6&lt;=1,"Negligible",IF(R6&lt;=2,"Low",IF(R6&lt;=3,"Moderate","High"))))</f>
        <v>High</v>
      </c>
      <c r="U6" s="187" t="s">
        <v>115</v>
      </c>
      <c r="V6" s="187" t="s">
        <v>119</v>
      </c>
      <c r="W6" s="188" t="s">
        <v>53</v>
      </c>
      <c r="X6" s="187"/>
      <c r="Y6" s="4">
        <v>0</v>
      </c>
      <c r="Z6" s="4"/>
      <c r="AA6" s="4"/>
      <c r="AB6" s="5"/>
      <c r="AC6" s="5"/>
      <c r="AD6" s="5"/>
      <c r="AE6" s="53"/>
      <c r="AF6" s="53"/>
      <c r="AG6" s="53"/>
      <c r="AH6" s="5">
        <f t="shared" si="2"/>
        <v>0</v>
      </c>
      <c r="AI6" s="5">
        <f>IF(AC6="",0,IF(AC6&lt;=SelectionCriteria!$G$5,1, IF(AC6&lt;=SelectionCriteria!$G$4,2, IF(AC6&lt;=SelectionCriteria!$G$3,3,4))))</f>
        <v>0</v>
      </c>
      <c r="AJ6" s="5">
        <f t="shared" si="3"/>
        <v>0</v>
      </c>
      <c r="AK6" s="5">
        <f t="shared" si="3"/>
        <v>0</v>
      </c>
      <c r="AL6" s="3">
        <f t="shared" si="4"/>
        <v>0</v>
      </c>
      <c r="AM6" s="4" t="str">
        <f>IF(AL6=0,"Not Residual",IF(AL6&lt;=1,"Negligible",IF(AL6&lt;=2,"Low",IF(AL6&lt;3,"Moderate","High"))))</f>
        <v>Not Residual</v>
      </c>
      <c r="AN6" s="4"/>
      <c r="AO6" s="3">
        <f t="shared" ref="AO5:AO67" si="9">Y6*AC6</f>
        <v>0</v>
      </c>
      <c r="AP6" s="3">
        <f t="shared" ref="AP5:AP67" si="10">Y6*(SUM(AB6:AD6)/3)</f>
        <v>0</v>
      </c>
      <c r="AQ6" s="86"/>
      <c r="AR6" s="86" t="str">
        <f>IF(Y6=0,"Not Residual",IF(AH6=4,("Very Likely"),(IF(AH6=3,("Possible"),(IF(AH6=2,("Unlikely"),("Rare")))))))</f>
        <v>Not Residual</v>
      </c>
      <c r="AS6" s="86" t="str">
        <f t="shared" si="5"/>
        <v>Not Residual</v>
      </c>
      <c r="AT6" s="86"/>
      <c r="AU6" s="86"/>
      <c r="AV6" s="86"/>
      <c r="AW6" s="86" t="s">
        <v>330</v>
      </c>
      <c r="AX6" s="6"/>
      <c r="AY6" s="171" t="s">
        <v>619</v>
      </c>
    </row>
    <row r="7" spans="1:143" s="171" customFormat="1" ht="30" hidden="1" customHeight="1" x14ac:dyDescent="0.25">
      <c r="A7" s="171">
        <v>5</v>
      </c>
      <c r="B7" s="209" t="s">
        <v>534</v>
      </c>
      <c r="C7" s="210" t="s">
        <v>306</v>
      </c>
      <c r="D7" s="183" t="s">
        <v>106</v>
      </c>
      <c r="E7" s="183" t="s">
        <v>107</v>
      </c>
      <c r="F7" s="211"/>
      <c r="G7" s="212" t="s">
        <v>108</v>
      </c>
      <c r="H7" s="250" t="s">
        <v>123</v>
      </c>
      <c r="I7" s="187" t="s">
        <v>122</v>
      </c>
      <c r="J7" s="4">
        <v>0.3</v>
      </c>
      <c r="K7" s="4" t="s">
        <v>2</v>
      </c>
      <c r="L7" s="4"/>
      <c r="M7" s="213">
        <v>13</v>
      </c>
      <c r="N7" s="5">
        <f t="shared" si="6"/>
        <v>3</v>
      </c>
      <c r="O7" s="5">
        <f>IF(M7="",0,IF(M7&lt;=SelectionCriteria!$G$5,1, IF(M7&lt;=SelectionCriteria!$G$4,2, IF(M7&lt;=SelectionCriteria!$G$3,3,4))))</f>
        <v>1</v>
      </c>
      <c r="P7" s="5">
        <f t="shared" ref="P7:Q9" si="11">IF(K7="",0,IF(K7="Negligible",1,IF(K7="Low",2,IF(K7="Moderate",3,4))))</f>
        <v>2</v>
      </c>
      <c r="Q7" s="5">
        <f t="shared" si="11"/>
        <v>0</v>
      </c>
      <c r="R7" s="3">
        <f t="shared" si="1"/>
        <v>3</v>
      </c>
      <c r="S7" s="3"/>
      <c r="T7" s="180" t="str">
        <f t="shared" si="7"/>
        <v>Moderate</v>
      </c>
      <c r="U7" s="187" t="s">
        <v>234</v>
      </c>
      <c r="V7" s="187" t="s">
        <v>339</v>
      </c>
      <c r="W7" s="188"/>
      <c r="X7" s="187"/>
      <c r="Y7" s="214">
        <v>0</v>
      </c>
      <c r="Z7" s="214" t="s">
        <v>2</v>
      </c>
      <c r="AA7" s="4"/>
      <c r="AB7" s="215">
        <v>0</v>
      </c>
      <c r="AC7" s="215">
        <v>0</v>
      </c>
      <c r="AD7" s="215">
        <v>46</v>
      </c>
      <c r="AE7" s="216">
        <v>0</v>
      </c>
      <c r="AF7" s="216">
        <v>0.5</v>
      </c>
      <c r="AG7" s="216">
        <v>1</v>
      </c>
      <c r="AH7" s="5">
        <f t="shared" si="2"/>
        <v>0</v>
      </c>
      <c r="AI7" s="5">
        <f>IF(AC7="",0,IF(AC7&lt;=SelectionCriteria!$G$5,1, IF(AC7&lt;=SelectionCriteria!$G$4,2, IF(AC7&lt;=SelectionCriteria!$G$3,3,4))))</f>
        <v>1</v>
      </c>
      <c r="AJ7" s="5">
        <f t="shared" si="3"/>
        <v>2</v>
      </c>
      <c r="AK7" s="5">
        <f t="shared" si="3"/>
        <v>0</v>
      </c>
      <c r="AL7" s="3">
        <f t="shared" si="4"/>
        <v>0</v>
      </c>
      <c r="AM7" s="4" t="str">
        <f t="shared" ref="AM7:AM83" si="12">IF(AL7=0,"Not Residual",IF(AL7&lt;=1,"Negligible",IF(AL7&lt;=2,"Low",IF(AL7&lt;3,"Moderate","High"))))</f>
        <v>Not Residual</v>
      </c>
      <c r="AN7" s="4"/>
      <c r="AO7" s="3">
        <f t="shared" si="9"/>
        <v>0</v>
      </c>
      <c r="AP7" s="3">
        <f t="shared" si="10"/>
        <v>0</v>
      </c>
      <c r="AQ7" s="86" t="s">
        <v>276</v>
      </c>
      <c r="AR7" s="86" t="str">
        <f t="shared" ref="AR7:AR94" si="13">IF(Y7=0,"Not Residual",IF(AH7=4,("Very Likely"),(IF(AH7=3,("Possible"),(IF(AH7=2,("Unlikely"),("Rare")))))))</f>
        <v>Not Residual</v>
      </c>
      <c r="AS7" s="86" t="str">
        <f t="shared" si="5"/>
        <v>Not Residual</v>
      </c>
      <c r="AT7" s="86"/>
      <c r="AU7" s="86"/>
      <c r="AV7" s="86"/>
      <c r="AW7" s="86" t="s">
        <v>588</v>
      </c>
      <c r="AX7" s="6"/>
      <c r="AY7" s="171" t="s">
        <v>620</v>
      </c>
    </row>
    <row r="8" spans="1:143" s="171" customFormat="1" ht="30" hidden="1" customHeight="1" x14ac:dyDescent="0.25">
      <c r="A8" s="171">
        <v>6</v>
      </c>
      <c r="B8" s="183" t="s">
        <v>535</v>
      </c>
      <c r="C8" s="217">
        <v>1.01</v>
      </c>
      <c r="D8" s="183" t="s">
        <v>106</v>
      </c>
      <c r="E8" s="183" t="s">
        <v>107</v>
      </c>
      <c r="F8" s="219"/>
      <c r="G8" s="218" t="s">
        <v>108</v>
      </c>
      <c r="H8" s="250" t="s">
        <v>120</v>
      </c>
      <c r="I8" s="187" t="s">
        <v>121</v>
      </c>
      <c r="J8" s="4">
        <v>0.05</v>
      </c>
      <c r="K8" s="4" t="s">
        <v>2</v>
      </c>
      <c r="L8" s="4"/>
      <c r="M8" s="213">
        <v>0</v>
      </c>
      <c r="N8" s="5">
        <f t="shared" si="6"/>
        <v>2</v>
      </c>
      <c r="O8" s="5">
        <f>IF(M8="",0,IF(M8&lt;=SelectionCriteria!$G$5,1, IF(M8&lt;=SelectionCriteria!$G$4,2, IF(M8&lt;=SelectionCriteria!$G$3,3,4))))</f>
        <v>1</v>
      </c>
      <c r="P8" s="5">
        <f t="shared" si="11"/>
        <v>2</v>
      </c>
      <c r="Q8" s="5">
        <f t="shared" si="11"/>
        <v>0</v>
      </c>
      <c r="R8" s="3">
        <f t="shared" si="1"/>
        <v>2</v>
      </c>
      <c r="S8" s="3"/>
      <c r="T8" s="180" t="str">
        <f t="shared" si="7"/>
        <v>Low</v>
      </c>
      <c r="U8" s="187" t="s">
        <v>235</v>
      </c>
      <c r="V8" s="187"/>
      <c r="W8" s="188"/>
      <c r="X8" s="187"/>
      <c r="Y8" s="4">
        <v>0</v>
      </c>
      <c r="Z8" s="4" t="s">
        <v>2</v>
      </c>
      <c r="AA8" s="4"/>
      <c r="AB8" s="5"/>
      <c r="AC8" s="5"/>
      <c r="AD8" s="5"/>
      <c r="AE8" s="53"/>
      <c r="AF8" s="53"/>
      <c r="AG8" s="53"/>
      <c r="AH8" s="5">
        <f t="shared" si="2"/>
        <v>0</v>
      </c>
      <c r="AI8" s="5">
        <f>IF(AC8="",0,IF(AC8&lt;=SelectionCriteria!$G$5,1, IF(AC8&lt;=SelectionCriteria!$G$4,2, IF(AC8&lt;=SelectionCriteria!$G$3,3,4))))</f>
        <v>0</v>
      </c>
      <c r="AJ8" s="5">
        <f t="shared" ref="AJ8:AJ66" si="14">IF(Z8="",0,IF(Z8="Negligible",1,IF(Z8="Low",2,IF(Z8="Moderate",3,4))))</f>
        <v>2</v>
      </c>
      <c r="AK8" s="5">
        <f t="shared" ref="AK8:AK66" si="15">IF(AA8="",0,IF(AA8="Negligible",1,IF(AA8="Low",2,IF(AA8="Moderate",3,4))))</f>
        <v>0</v>
      </c>
      <c r="AL8" s="3">
        <f t="shared" si="4"/>
        <v>0</v>
      </c>
      <c r="AM8" s="4" t="str">
        <f t="shared" si="12"/>
        <v>Not Residual</v>
      </c>
      <c r="AN8" s="4"/>
      <c r="AO8" s="3">
        <f t="shared" si="9"/>
        <v>0</v>
      </c>
      <c r="AP8" s="3">
        <f t="shared" si="10"/>
        <v>0</v>
      </c>
      <c r="AQ8" s="86"/>
      <c r="AR8" s="86" t="str">
        <f t="shared" si="13"/>
        <v>Not Residual</v>
      </c>
      <c r="AS8" s="86" t="str">
        <f t="shared" si="5"/>
        <v>Not Residual</v>
      </c>
      <c r="AT8" s="86"/>
      <c r="AU8" s="86"/>
      <c r="AV8" s="86"/>
      <c r="AW8" s="86" t="s">
        <v>331</v>
      </c>
      <c r="AX8" s="6"/>
      <c r="AY8" s="171" t="s">
        <v>620</v>
      </c>
    </row>
    <row r="9" spans="1:143" s="171" customFormat="1" ht="30" hidden="1" customHeight="1" x14ac:dyDescent="0.25">
      <c r="A9" s="171">
        <v>7</v>
      </c>
      <c r="B9" s="183" t="s">
        <v>536</v>
      </c>
      <c r="C9" s="210" t="s">
        <v>306</v>
      </c>
      <c r="D9" s="183" t="s">
        <v>106</v>
      </c>
      <c r="E9" s="183" t="s">
        <v>107</v>
      </c>
      <c r="F9" s="219"/>
      <c r="G9" s="218" t="s">
        <v>108</v>
      </c>
      <c r="H9" s="250" t="s">
        <v>389</v>
      </c>
      <c r="I9" s="187" t="s">
        <v>661</v>
      </c>
      <c r="J9" s="4">
        <v>0.05</v>
      </c>
      <c r="K9" s="4" t="s">
        <v>2</v>
      </c>
      <c r="L9" s="4"/>
      <c r="M9" s="213">
        <v>0</v>
      </c>
      <c r="N9" s="5">
        <f>IF(J9=0,0,IF(J9&lt;=0.01,1, IF(J9&lt;=0.1,2, IF(J9&lt;=0.5,3,4))))</f>
        <v>2</v>
      </c>
      <c r="O9" s="5">
        <f>IF(M9="",0,IF(M9&lt;=SelectionCriteria!$G$5,1, IF(M9&lt;=SelectionCriteria!$G$4,2, IF(M9&lt;=SelectionCriteria!$G$3,3,4))))</f>
        <v>1</v>
      </c>
      <c r="P9" s="5">
        <f t="shared" si="11"/>
        <v>2</v>
      </c>
      <c r="Q9" s="5">
        <f t="shared" si="11"/>
        <v>0</v>
      </c>
      <c r="R9" s="3">
        <f>N9*((O9+P9+Q9)/3)</f>
        <v>2</v>
      </c>
      <c r="S9" s="3"/>
      <c r="T9" s="180" t="str">
        <f>IF(R9=0,"Not Primary",IF(R9&lt;=1,"Negligible",IF(R9&lt;=2,"Low",IF(R9&lt;=3,"Moderate","High"))))</f>
        <v>Low</v>
      </c>
      <c r="U9" s="187" t="s">
        <v>235</v>
      </c>
      <c r="V9" s="187"/>
      <c r="W9" s="188"/>
      <c r="X9" s="187"/>
      <c r="Y9" s="4">
        <v>0</v>
      </c>
      <c r="Z9" s="4" t="s">
        <v>3</v>
      </c>
      <c r="AA9" s="4"/>
      <c r="AB9" s="5">
        <v>1000</v>
      </c>
      <c r="AC9" s="5">
        <v>1000</v>
      </c>
      <c r="AD9" s="5">
        <v>1000</v>
      </c>
      <c r="AE9" s="53">
        <v>0</v>
      </c>
      <c r="AF9" s="53">
        <v>2</v>
      </c>
      <c r="AG9" s="53">
        <v>3</v>
      </c>
      <c r="AH9" s="5">
        <f>IF(Y9=0,0,IF(Y9&lt;=0.01,1, IF(Y9&lt;=0.1,2, IF(Y9&lt;=0.5,3,4))))</f>
        <v>0</v>
      </c>
      <c r="AI9" s="5">
        <f>IF(AC9="",0,IF(AC9&lt;=SelectionCriteria!$G$5,1, IF(AC9&lt;=SelectionCriteria!$G$4,2, IF(AC9&lt;=SelectionCriteria!$G$3,3,4))))</f>
        <v>4</v>
      </c>
      <c r="AJ9" s="5">
        <f>IF(Z9="",0,IF(Z9="Negligible",1,IF(Z9="Low",2,IF(Z9="Moderate",3,4))))</f>
        <v>3</v>
      </c>
      <c r="AK9" s="5">
        <f>IF(AA9="",0,IF(AA9="Negligible",1,IF(AA9="Low",2,IF(AA9="Moderate",3,4))))</f>
        <v>0</v>
      </c>
      <c r="AL9" s="3">
        <f>AH9*((AI9+AJ9+AK9)/3)</f>
        <v>0</v>
      </c>
      <c r="AM9" s="4" t="str">
        <f t="shared" si="12"/>
        <v>Not Residual</v>
      </c>
      <c r="AN9" s="4"/>
      <c r="AO9" s="3">
        <f>Y9*AC9</f>
        <v>0</v>
      </c>
      <c r="AP9" s="3">
        <f>Y9*(SUM(AB9:AD9)/3)</f>
        <v>0</v>
      </c>
      <c r="AQ9" s="86"/>
      <c r="AR9" s="86" t="str">
        <f>IF(Y9=0,"Not Residual",IF(AH9=4,("Very Likely"),(IF(AH9=3,("Possible"),(IF(AH9=2,("Unlikely"),("Rare")))))))</f>
        <v>Not Residual</v>
      </c>
      <c r="AS9" s="86" t="str">
        <f>AM9</f>
        <v>Not Residual</v>
      </c>
      <c r="AT9" s="86"/>
      <c r="AU9" s="86"/>
      <c r="AV9" s="86"/>
      <c r="AW9" s="86" t="s">
        <v>331</v>
      </c>
      <c r="AX9" s="86"/>
      <c r="AY9" s="171" t="s">
        <v>620</v>
      </c>
    </row>
    <row r="10" spans="1:143" s="171" customFormat="1" ht="30" customHeight="1" x14ac:dyDescent="0.25">
      <c r="A10" s="171">
        <v>8</v>
      </c>
      <c r="B10" s="365" t="s">
        <v>579</v>
      </c>
      <c r="C10" s="210" t="s">
        <v>306</v>
      </c>
      <c r="D10" s="183" t="s">
        <v>106</v>
      </c>
      <c r="E10" s="183" t="s">
        <v>107</v>
      </c>
      <c r="F10" s="219"/>
      <c r="G10" s="218" t="s">
        <v>108</v>
      </c>
      <c r="H10" s="250" t="s">
        <v>580</v>
      </c>
      <c r="I10" s="187" t="s">
        <v>662</v>
      </c>
      <c r="J10" s="3"/>
      <c r="K10" s="3"/>
      <c r="L10" s="3"/>
      <c r="M10" s="3"/>
      <c r="N10" s="3"/>
      <c r="O10" s="3"/>
      <c r="P10" s="3"/>
      <c r="Q10" s="3"/>
      <c r="R10" s="3"/>
      <c r="S10" s="3"/>
      <c r="T10" s="180" t="str">
        <f>IF(R10=0,"Not Primary",IF(R10&lt;=1,"Negligible",IF(R10&lt;=2,"Low",IF(R10&lt;=3,"Moderate","High"))))</f>
        <v>Not Primary</v>
      </c>
      <c r="U10" s="187" t="s">
        <v>663</v>
      </c>
      <c r="V10" s="187"/>
      <c r="W10" s="188"/>
      <c r="X10" s="187"/>
      <c r="Y10" s="4">
        <v>0.5</v>
      </c>
      <c r="Z10" s="4" t="s">
        <v>3</v>
      </c>
      <c r="AA10" s="4"/>
      <c r="AB10" s="5">
        <v>200</v>
      </c>
      <c r="AC10" s="5">
        <v>300</v>
      </c>
      <c r="AD10" s="5">
        <v>400</v>
      </c>
      <c r="AE10" s="53">
        <v>2</v>
      </c>
      <c r="AF10" s="53">
        <v>4</v>
      </c>
      <c r="AG10" s="53">
        <v>6</v>
      </c>
      <c r="AH10" s="5">
        <f>IF(Y10=0,0,IF(Y10&lt;=0.01,1, IF(Y10&lt;=0.1,2, IF(Y10&lt;=0.5,3,4))))</f>
        <v>3</v>
      </c>
      <c r="AI10" s="5">
        <f>IF(AC10="",0,IF(AC10&lt;=SelectionCriteria!$G$5,1, IF(AC10&lt;=SelectionCriteria!$G$4,2, IF(AC10&lt;=SelectionCriteria!$G$3,3,4))))</f>
        <v>4</v>
      </c>
      <c r="AJ10" s="5">
        <f>IF(Z10="",0,IF(Z10="Negligible",1,IF(Z10="Low",2,IF(Z10="Moderate",3,4))))</f>
        <v>3</v>
      </c>
      <c r="AK10" s="5">
        <f>IF(AA10="",0,IF(AA10="Negligible",1,IF(AA10="Low",2,IF(AA10="Moderate",3,4))))</f>
        <v>0</v>
      </c>
      <c r="AL10" s="3">
        <f>AH10*((AI10+AJ10+AK10)/3)</f>
        <v>7</v>
      </c>
      <c r="AM10" s="259" t="str">
        <f t="shared" si="12"/>
        <v>High</v>
      </c>
      <c r="AN10" s="4"/>
      <c r="AO10" s="3">
        <f>Y10*AC10</f>
        <v>150</v>
      </c>
      <c r="AP10" s="3">
        <f>Y10*(SUM(AB10:AD10)/3)</f>
        <v>150</v>
      </c>
      <c r="AQ10" s="86" t="s">
        <v>664</v>
      </c>
      <c r="AR10" s="86" t="str">
        <f>IF(Y10=0,"Not Residual",IF(AH10=4,("Very Likely"),(IF(AH10=3,("Possible"),(IF(AH10=2,("Unlikely"),("Rare")))))))</f>
        <v>Possible</v>
      </c>
      <c r="AS10" s="86" t="str">
        <f>AM10</f>
        <v>High</v>
      </c>
      <c r="AT10" s="86"/>
      <c r="AU10" s="86"/>
      <c r="AV10" s="86"/>
      <c r="AW10" s="86"/>
      <c r="AX10" s="86"/>
      <c r="AY10" s="171" t="s">
        <v>620</v>
      </c>
    </row>
    <row r="11" spans="1:143" s="192" customFormat="1" ht="30" hidden="1" customHeight="1" x14ac:dyDescent="0.25">
      <c r="A11" s="171">
        <v>9</v>
      </c>
      <c r="B11" s="209" t="s">
        <v>125</v>
      </c>
      <c r="C11" s="210" t="s">
        <v>292</v>
      </c>
      <c r="D11" s="183" t="s">
        <v>106</v>
      </c>
      <c r="E11" s="183" t="s">
        <v>126</v>
      </c>
      <c r="F11" s="211"/>
      <c r="G11" s="212" t="s">
        <v>127</v>
      </c>
      <c r="H11" s="250" t="s">
        <v>124</v>
      </c>
      <c r="I11" s="187" t="s">
        <v>129</v>
      </c>
      <c r="J11" s="129">
        <v>0.05</v>
      </c>
      <c r="K11" s="129"/>
      <c r="L11" s="129"/>
      <c r="M11" s="186">
        <v>150</v>
      </c>
      <c r="N11" s="128">
        <f t="shared" si="6"/>
        <v>2</v>
      </c>
      <c r="O11" s="128">
        <f>IF(M11="",0,IF(M11&lt;=SelectionCriteria!$G$5,1, IF(M11&lt;=SelectionCriteria!$G$4,2, IF(M11&lt;=SelectionCriteria!$G$3,3,4))))</f>
        <v>3</v>
      </c>
      <c r="P11" s="128">
        <f t="shared" ref="P11:P20" si="16">IF(K11="",0,IF(K11="Negligible",1,IF(K11="Low",2,IF(K11="Moderate",3,4))))</f>
        <v>0</v>
      </c>
      <c r="Q11" s="128">
        <f t="shared" ref="Q11:Q20" si="17">IF(L11="",0,IF(L11="Negligible",1,IF(L11="Low",2,IF(L11="Moderate",3,4))))</f>
        <v>0</v>
      </c>
      <c r="R11" s="179">
        <f t="shared" ref="R11:R20" si="18">N11*((O11+P11+Q11)/3)</f>
        <v>2</v>
      </c>
      <c r="S11" s="179"/>
      <c r="T11" s="180" t="str">
        <f t="shared" si="7"/>
        <v>Low</v>
      </c>
      <c r="U11" s="187" t="s">
        <v>236</v>
      </c>
      <c r="V11" s="187"/>
      <c r="W11" s="188"/>
      <c r="X11" s="187"/>
      <c r="Y11" s="220">
        <v>0</v>
      </c>
      <c r="Z11" s="220"/>
      <c r="AA11" s="129"/>
      <c r="AB11" s="220"/>
      <c r="AC11" s="220"/>
      <c r="AD11" s="220"/>
      <c r="AE11" s="220"/>
      <c r="AF11" s="220"/>
      <c r="AG11" s="220"/>
      <c r="AH11" s="128">
        <f t="shared" si="2"/>
        <v>0</v>
      </c>
      <c r="AI11" s="128">
        <f>IF(AC11="",0,IF(AC11&lt;=SelectionCriteria!$G$5,1, IF(AC11&lt;=SelectionCriteria!$G$4,2, IF(AC11&lt;=SelectionCriteria!$G$3,3,4))))</f>
        <v>0</v>
      </c>
      <c r="AJ11" s="128">
        <f t="shared" si="14"/>
        <v>0</v>
      </c>
      <c r="AK11" s="128">
        <f t="shared" si="15"/>
        <v>0</v>
      </c>
      <c r="AL11" s="179">
        <f t="shared" si="4"/>
        <v>0</v>
      </c>
      <c r="AM11" s="4" t="str">
        <f t="shared" si="12"/>
        <v>Not Residual</v>
      </c>
      <c r="AN11" s="129"/>
      <c r="AO11" s="179">
        <f t="shared" si="9"/>
        <v>0</v>
      </c>
      <c r="AP11" s="179">
        <f t="shared" si="10"/>
        <v>0</v>
      </c>
      <c r="AQ11" s="190"/>
      <c r="AR11" s="86" t="str">
        <f t="shared" si="13"/>
        <v>Not Residual</v>
      </c>
      <c r="AS11" s="86" t="str">
        <f t="shared" si="5"/>
        <v>Not Residual</v>
      </c>
      <c r="AT11" s="86"/>
      <c r="AU11" s="86"/>
      <c r="AV11" s="86"/>
      <c r="AW11" s="86" t="s">
        <v>332</v>
      </c>
      <c r="AX11" s="86"/>
      <c r="AY11" s="192" t="s">
        <v>620</v>
      </c>
    </row>
    <row r="12" spans="1:143" s="192" customFormat="1" ht="30" hidden="1" customHeight="1" x14ac:dyDescent="0.25">
      <c r="A12" s="171">
        <v>10</v>
      </c>
      <c r="B12" s="209" t="s">
        <v>128</v>
      </c>
      <c r="C12" s="210" t="s">
        <v>292</v>
      </c>
      <c r="D12" s="183" t="s">
        <v>106</v>
      </c>
      <c r="E12" s="183" t="s">
        <v>126</v>
      </c>
      <c r="F12" s="211"/>
      <c r="G12" s="212" t="s">
        <v>127</v>
      </c>
      <c r="H12" s="250" t="s">
        <v>131</v>
      </c>
      <c r="I12" s="187" t="s">
        <v>130</v>
      </c>
      <c r="J12" s="129">
        <v>0.5</v>
      </c>
      <c r="K12" s="129" t="s">
        <v>1</v>
      </c>
      <c r="L12" s="129"/>
      <c r="M12" s="186">
        <v>150</v>
      </c>
      <c r="N12" s="128">
        <f t="shared" si="6"/>
        <v>3</v>
      </c>
      <c r="O12" s="128">
        <f>IF(M12="",0,IF(M12&lt;=SelectionCriteria!$G$5,1, IF(M12&lt;=SelectionCriteria!$G$4,2, IF(M12&lt;=SelectionCriteria!$G$3,3,4))))</f>
        <v>3</v>
      </c>
      <c r="P12" s="128">
        <f t="shared" si="16"/>
        <v>1</v>
      </c>
      <c r="Q12" s="128">
        <f t="shared" si="17"/>
        <v>0</v>
      </c>
      <c r="R12" s="179">
        <f t="shared" si="18"/>
        <v>4</v>
      </c>
      <c r="S12" s="179"/>
      <c r="T12" s="180" t="str">
        <f t="shared" si="7"/>
        <v>High</v>
      </c>
      <c r="U12" s="187" t="s">
        <v>237</v>
      </c>
      <c r="V12" s="187"/>
      <c r="W12" s="188"/>
      <c r="X12" s="187"/>
      <c r="Y12" s="220">
        <v>0</v>
      </c>
      <c r="Z12" s="220" t="s">
        <v>1</v>
      </c>
      <c r="AA12" s="129"/>
      <c r="AB12" s="215">
        <v>-150</v>
      </c>
      <c r="AC12" s="221">
        <v>-150</v>
      </c>
      <c r="AD12" s="215">
        <v>-150</v>
      </c>
      <c r="AE12" s="216">
        <v>-4</v>
      </c>
      <c r="AF12" s="216">
        <v>-4</v>
      </c>
      <c r="AG12" s="216">
        <v>-4</v>
      </c>
      <c r="AH12" s="128">
        <f t="shared" si="2"/>
        <v>0</v>
      </c>
      <c r="AI12" s="128">
        <f>IF(AC12="",0,IF(AC12&lt;=SelectionCriteria!$G$5,1, IF(AC12&lt;=SelectionCriteria!$G$4,2, IF(AC12&lt;=SelectionCriteria!$G$3,3,4))))</f>
        <v>1</v>
      </c>
      <c r="AJ12" s="128">
        <f t="shared" si="14"/>
        <v>1</v>
      </c>
      <c r="AK12" s="128">
        <f t="shared" si="15"/>
        <v>0</v>
      </c>
      <c r="AL12" s="179">
        <f t="shared" si="4"/>
        <v>0</v>
      </c>
      <c r="AM12" s="4" t="str">
        <f t="shared" si="12"/>
        <v>Not Residual</v>
      </c>
      <c r="AN12" s="129"/>
      <c r="AO12" s="179">
        <f t="shared" si="9"/>
        <v>0</v>
      </c>
      <c r="AP12" s="179">
        <f t="shared" si="10"/>
        <v>0</v>
      </c>
      <c r="AQ12" s="190" t="s">
        <v>503</v>
      </c>
      <c r="AR12" s="86" t="str">
        <f t="shared" si="13"/>
        <v>Not Residual</v>
      </c>
      <c r="AS12" s="86" t="str">
        <f t="shared" si="5"/>
        <v>Not Residual</v>
      </c>
      <c r="AT12" s="86"/>
      <c r="AU12" s="86"/>
      <c r="AV12" s="86"/>
      <c r="AW12" s="86" t="s">
        <v>594</v>
      </c>
      <c r="AX12" s="86"/>
      <c r="AY12" s="192" t="s">
        <v>619</v>
      </c>
    </row>
    <row r="13" spans="1:143" s="192" customFormat="1" ht="30" hidden="1" customHeight="1" x14ac:dyDescent="0.25">
      <c r="A13" s="171">
        <v>11</v>
      </c>
      <c r="B13" s="183" t="s">
        <v>132</v>
      </c>
      <c r="C13" s="217">
        <v>1.02</v>
      </c>
      <c r="D13" s="183" t="s">
        <v>106</v>
      </c>
      <c r="E13" s="183" t="s">
        <v>126</v>
      </c>
      <c r="F13" s="211"/>
      <c r="G13" s="218" t="s">
        <v>127</v>
      </c>
      <c r="H13" s="250" t="s">
        <v>134</v>
      </c>
      <c r="I13" s="187" t="s">
        <v>135</v>
      </c>
      <c r="J13" s="129">
        <v>0.1</v>
      </c>
      <c r="K13" s="129"/>
      <c r="L13" s="129"/>
      <c r="M13" s="186">
        <v>174</v>
      </c>
      <c r="N13" s="128">
        <f t="shared" si="6"/>
        <v>2</v>
      </c>
      <c r="O13" s="128">
        <f>IF(M13="",0,IF(M13&lt;=SelectionCriteria!$G$5,1, IF(M13&lt;=SelectionCriteria!$G$4,2, IF(M13&lt;=SelectionCriteria!$G$3,3,4))))</f>
        <v>3</v>
      </c>
      <c r="P13" s="128">
        <f t="shared" si="16"/>
        <v>0</v>
      </c>
      <c r="Q13" s="128">
        <f t="shared" si="17"/>
        <v>0</v>
      </c>
      <c r="R13" s="179">
        <f t="shared" si="18"/>
        <v>2</v>
      </c>
      <c r="S13" s="179"/>
      <c r="T13" s="180" t="str">
        <f t="shared" si="7"/>
        <v>Low</v>
      </c>
      <c r="U13" s="187" t="s">
        <v>238</v>
      </c>
      <c r="V13" s="187"/>
      <c r="W13" s="188"/>
      <c r="X13" s="187"/>
      <c r="Y13" s="129">
        <v>0</v>
      </c>
      <c r="Z13" s="220"/>
      <c r="AA13" s="129"/>
      <c r="AB13" s="220"/>
      <c r="AC13" s="220"/>
      <c r="AD13" s="220"/>
      <c r="AE13" s="220"/>
      <c r="AF13" s="220"/>
      <c r="AG13" s="220"/>
      <c r="AH13" s="128">
        <f t="shared" si="2"/>
        <v>0</v>
      </c>
      <c r="AI13" s="128">
        <f>IF(AC13="",0,IF(AC13&lt;=SelectionCriteria!$G$5,1, IF(AC13&lt;=SelectionCriteria!$G$4,2, IF(AC13&lt;=SelectionCriteria!$G$3,3,4))))</f>
        <v>0</v>
      </c>
      <c r="AJ13" s="128">
        <f t="shared" si="14"/>
        <v>0</v>
      </c>
      <c r="AK13" s="128">
        <f t="shared" si="15"/>
        <v>0</v>
      </c>
      <c r="AL13" s="179">
        <f t="shared" si="4"/>
        <v>0</v>
      </c>
      <c r="AM13" s="4" t="str">
        <f t="shared" si="12"/>
        <v>Not Residual</v>
      </c>
      <c r="AN13" s="129"/>
      <c r="AO13" s="179">
        <f t="shared" si="9"/>
        <v>0</v>
      </c>
      <c r="AP13" s="179">
        <f t="shared" si="10"/>
        <v>0</v>
      </c>
      <c r="AQ13" s="190"/>
      <c r="AR13" s="86" t="str">
        <f t="shared" si="13"/>
        <v>Not Residual</v>
      </c>
      <c r="AS13" s="86" t="str">
        <f t="shared" si="5"/>
        <v>Not Residual</v>
      </c>
      <c r="AT13" s="86"/>
      <c r="AU13" s="86"/>
      <c r="AV13" s="86"/>
      <c r="AW13" s="86" t="s">
        <v>589</v>
      </c>
      <c r="AX13" s="86"/>
      <c r="AY13" s="192" t="s">
        <v>620</v>
      </c>
    </row>
    <row r="14" spans="1:143" s="192" customFormat="1" ht="30" hidden="1" customHeight="1" x14ac:dyDescent="0.25">
      <c r="A14" s="171">
        <v>12</v>
      </c>
      <c r="B14" s="209" t="s">
        <v>133</v>
      </c>
      <c r="C14" s="210" t="s">
        <v>294</v>
      </c>
      <c r="D14" s="183" t="s">
        <v>106</v>
      </c>
      <c r="E14" s="183" t="s">
        <v>126</v>
      </c>
      <c r="F14" s="211"/>
      <c r="G14" s="212" t="s">
        <v>127</v>
      </c>
      <c r="H14" s="250" t="s">
        <v>136</v>
      </c>
      <c r="I14" s="187" t="s">
        <v>137</v>
      </c>
      <c r="J14" s="129">
        <v>0.33</v>
      </c>
      <c r="K14" s="129" t="s">
        <v>1</v>
      </c>
      <c r="L14" s="129"/>
      <c r="M14" s="186">
        <v>180</v>
      </c>
      <c r="N14" s="128">
        <f t="shared" si="6"/>
        <v>3</v>
      </c>
      <c r="O14" s="128">
        <f>IF(M14="",0,IF(M14&lt;=SelectionCriteria!$G$5,1, IF(M14&lt;=SelectionCriteria!$G$4,2, IF(M14&lt;=SelectionCriteria!$G$3,3,4))))</f>
        <v>3</v>
      </c>
      <c r="P14" s="128">
        <f t="shared" si="16"/>
        <v>1</v>
      </c>
      <c r="Q14" s="128">
        <f t="shared" si="17"/>
        <v>0</v>
      </c>
      <c r="R14" s="179">
        <f t="shared" si="18"/>
        <v>4</v>
      </c>
      <c r="S14" s="179"/>
      <c r="T14" s="180" t="str">
        <f t="shared" si="7"/>
        <v>High</v>
      </c>
      <c r="U14" s="187" t="s">
        <v>239</v>
      </c>
      <c r="V14" s="187"/>
      <c r="W14" s="188"/>
      <c r="X14" s="187"/>
      <c r="Y14" s="220">
        <v>0</v>
      </c>
      <c r="Z14" s="220" t="s">
        <v>2</v>
      </c>
      <c r="AA14" s="129"/>
      <c r="AB14" s="215">
        <v>147</v>
      </c>
      <c r="AC14" s="215">
        <v>170</v>
      </c>
      <c r="AD14" s="215">
        <v>215</v>
      </c>
      <c r="AE14" s="216">
        <v>4</v>
      </c>
      <c r="AF14" s="216">
        <v>5</v>
      </c>
      <c r="AG14" s="216">
        <v>7</v>
      </c>
      <c r="AH14" s="128">
        <f t="shared" si="2"/>
        <v>0</v>
      </c>
      <c r="AI14" s="128">
        <f>IF(AC14="",0,IF(AC14&lt;=SelectionCriteria!$G$5,1, IF(AC14&lt;=SelectionCriteria!$G$4,2, IF(AC14&lt;=SelectionCriteria!$G$3,3,4))))</f>
        <v>3</v>
      </c>
      <c r="AJ14" s="128">
        <f t="shared" si="14"/>
        <v>2</v>
      </c>
      <c r="AK14" s="128">
        <f t="shared" si="15"/>
        <v>0</v>
      </c>
      <c r="AL14" s="179">
        <f>AH14*((AI14+AJ14+AK14)/3)</f>
        <v>0</v>
      </c>
      <c r="AM14" s="4" t="str">
        <f t="shared" si="12"/>
        <v>Not Residual</v>
      </c>
      <c r="AN14" s="129"/>
      <c r="AO14" s="179">
        <f t="shared" si="9"/>
        <v>0</v>
      </c>
      <c r="AP14" s="179">
        <f t="shared" si="10"/>
        <v>0</v>
      </c>
      <c r="AQ14" s="190" t="s">
        <v>278</v>
      </c>
      <c r="AR14" s="86" t="str">
        <f t="shared" si="13"/>
        <v>Not Residual</v>
      </c>
      <c r="AS14" s="86" t="str">
        <f t="shared" si="5"/>
        <v>Not Residual</v>
      </c>
      <c r="AT14" s="86"/>
      <c r="AU14" s="86"/>
      <c r="AV14" s="86"/>
      <c r="AW14" s="86" t="s">
        <v>577</v>
      </c>
      <c r="AX14" s="86"/>
      <c r="AY14" s="192" t="s">
        <v>620</v>
      </c>
    </row>
    <row r="15" spans="1:143" s="192" customFormat="1" ht="30" hidden="1" customHeight="1" x14ac:dyDescent="0.25">
      <c r="A15" s="171">
        <v>13</v>
      </c>
      <c r="B15" s="183" t="s">
        <v>139</v>
      </c>
      <c r="C15" s="217">
        <v>1.02</v>
      </c>
      <c r="D15" s="183" t="s">
        <v>106</v>
      </c>
      <c r="E15" s="183" t="s">
        <v>126</v>
      </c>
      <c r="F15" s="211"/>
      <c r="G15" s="218" t="s">
        <v>127</v>
      </c>
      <c r="H15" s="250" t="s">
        <v>153</v>
      </c>
      <c r="I15" s="187" t="s">
        <v>154</v>
      </c>
      <c r="J15" s="129">
        <v>0.1</v>
      </c>
      <c r="K15" s="129"/>
      <c r="L15" s="129"/>
      <c r="M15" s="186">
        <v>174</v>
      </c>
      <c r="N15" s="128">
        <f t="shared" si="6"/>
        <v>2</v>
      </c>
      <c r="O15" s="128">
        <f>IF(M15="",0,IF(M15&lt;=SelectionCriteria!$G$5,1, IF(M15&lt;=SelectionCriteria!$G$4,2, IF(M15&lt;=SelectionCriteria!$G$3,3,4))))</f>
        <v>3</v>
      </c>
      <c r="P15" s="128">
        <f t="shared" si="16"/>
        <v>0</v>
      </c>
      <c r="Q15" s="128">
        <f t="shared" si="17"/>
        <v>0</v>
      </c>
      <c r="R15" s="179">
        <f t="shared" si="18"/>
        <v>2</v>
      </c>
      <c r="S15" s="179"/>
      <c r="T15" s="180" t="str">
        <f t="shared" si="7"/>
        <v>Low</v>
      </c>
      <c r="U15" s="187" t="s">
        <v>240</v>
      </c>
      <c r="V15" s="187"/>
      <c r="W15" s="188"/>
      <c r="X15" s="187"/>
      <c r="Y15" s="129">
        <v>0</v>
      </c>
      <c r="Z15" s="129"/>
      <c r="AA15" s="129"/>
      <c r="AB15" s="128"/>
      <c r="AC15" s="128"/>
      <c r="AD15" s="128"/>
      <c r="AE15" s="189"/>
      <c r="AF15" s="189"/>
      <c r="AG15" s="189"/>
      <c r="AH15" s="128">
        <f t="shared" si="2"/>
        <v>0</v>
      </c>
      <c r="AI15" s="128">
        <f>IF(AC15="",0,IF(AC15&lt;=SelectionCriteria!$G$5,1, IF(AC15&lt;=SelectionCriteria!$G$4,2, IF(AC15&lt;=SelectionCriteria!$G$3,3,4))))</f>
        <v>0</v>
      </c>
      <c r="AJ15" s="128">
        <f t="shared" si="14"/>
        <v>0</v>
      </c>
      <c r="AK15" s="128">
        <f t="shared" si="15"/>
        <v>0</v>
      </c>
      <c r="AL15" s="179">
        <f t="shared" si="4"/>
        <v>0</v>
      </c>
      <c r="AM15" s="4" t="str">
        <f t="shared" si="12"/>
        <v>Not Residual</v>
      </c>
      <c r="AN15" s="129"/>
      <c r="AO15" s="179">
        <f t="shared" si="9"/>
        <v>0</v>
      </c>
      <c r="AP15" s="179">
        <f t="shared" si="10"/>
        <v>0</v>
      </c>
      <c r="AQ15" s="130" t="s">
        <v>281</v>
      </c>
      <c r="AR15" s="86" t="str">
        <f t="shared" si="13"/>
        <v>Not Residual</v>
      </c>
      <c r="AS15" s="86" t="str">
        <f t="shared" si="5"/>
        <v>Not Residual</v>
      </c>
      <c r="AT15" s="86"/>
      <c r="AU15" s="86"/>
      <c r="AV15" s="86"/>
      <c r="AW15" s="86" t="s">
        <v>504</v>
      </c>
      <c r="AX15" s="86"/>
      <c r="AY15" s="192" t="s">
        <v>620</v>
      </c>
    </row>
    <row r="16" spans="1:143" s="192" customFormat="1" ht="30" hidden="1" customHeight="1" x14ac:dyDescent="0.25">
      <c r="A16" s="171">
        <v>14</v>
      </c>
      <c r="B16" s="209" t="s">
        <v>140</v>
      </c>
      <c r="C16" s="210" t="s">
        <v>295</v>
      </c>
      <c r="D16" s="183" t="s">
        <v>106</v>
      </c>
      <c r="E16" s="183" t="s">
        <v>126</v>
      </c>
      <c r="F16" s="211"/>
      <c r="G16" s="212" t="s">
        <v>127</v>
      </c>
      <c r="H16" s="250" t="s">
        <v>138</v>
      </c>
      <c r="I16" s="187" t="s">
        <v>149</v>
      </c>
      <c r="J16" s="129">
        <v>0.15</v>
      </c>
      <c r="K16" s="129" t="s">
        <v>1</v>
      </c>
      <c r="L16" s="129"/>
      <c r="M16" s="186">
        <v>100</v>
      </c>
      <c r="N16" s="128">
        <f t="shared" si="6"/>
        <v>3</v>
      </c>
      <c r="O16" s="128">
        <f>IF(M16="",0,IF(M16&lt;=SelectionCriteria!$G$5,1, IF(M16&lt;=SelectionCriteria!$G$4,2, IF(M16&lt;=SelectionCriteria!$G$3,3,4))))</f>
        <v>2</v>
      </c>
      <c r="P16" s="128">
        <f t="shared" si="16"/>
        <v>1</v>
      </c>
      <c r="Q16" s="128">
        <f t="shared" si="17"/>
        <v>0</v>
      </c>
      <c r="R16" s="179">
        <f t="shared" si="18"/>
        <v>3</v>
      </c>
      <c r="S16" s="179"/>
      <c r="T16" s="180" t="str">
        <f t="shared" si="7"/>
        <v>Moderate</v>
      </c>
      <c r="U16" s="187" t="s">
        <v>241</v>
      </c>
      <c r="V16" s="187" t="s">
        <v>324</v>
      </c>
      <c r="W16" s="188"/>
      <c r="X16" s="187"/>
      <c r="Y16" s="220">
        <v>0</v>
      </c>
      <c r="Z16" s="220"/>
      <c r="AA16" s="129"/>
      <c r="AB16" s="221">
        <v>0</v>
      </c>
      <c r="AC16" s="221">
        <v>0</v>
      </c>
      <c r="AD16" s="221">
        <v>428</v>
      </c>
      <c r="AE16" s="222">
        <v>3</v>
      </c>
      <c r="AF16" s="222">
        <v>6</v>
      </c>
      <c r="AG16" s="222">
        <v>6</v>
      </c>
      <c r="AH16" s="128">
        <f t="shared" si="2"/>
        <v>0</v>
      </c>
      <c r="AI16" s="128">
        <f>IF(AC16="",0,IF(AC16&lt;=SelectionCriteria!$G$5,1, IF(AC16&lt;=SelectionCriteria!$G$4,2, IF(AC16&lt;=SelectionCriteria!$G$3,3,4))))</f>
        <v>1</v>
      </c>
      <c r="AJ16" s="128">
        <f t="shared" si="14"/>
        <v>0</v>
      </c>
      <c r="AK16" s="128">
        <f t="shared" si="15"/>
        <v>0</v>
      </c>
      <c r="AL16" s="179">
        <f t="shared" si="4"/>
        <v>0</v>
      </c>
      <c r="AM16" s="4" t="str">
        <f t="shared" si="12"/>
        <v>Not Residual</v>
      </c>
      <c r="AN16" s="129"/>
      <c r="AO16" s="179">
        <f t="shared" si="9"/>
        <v>0</v>
      </c>
      <c r="AP16" s="179">
        <f t="shared" si="10"/>
        <v>0</v>
      </c>
      <c r="AQ16" s="130" t="s">
        <v>281</v>
      </c>
      <c r="AR16" s="86" t="str">
        <f t="shared" si="13"/>
        <v>Not Residual</v>
      </c>
      <c r="AS16" s="86" t="str">
        <f t="shared" si="5"/>
        <v>Not Residual</v>
      </c>
      <c r="AT16" s="86"/>
      <c r="AU16" s="86"/>
      <c r="AV16" s="86"/>
      <c r="AW16" s="86" t="s">
        <v>629</v>
      </c>
      <c r="AX16" s="86"/>
      <c r="AY16" s="192" t="s">
        <v>620</v>
      </c>
    </row>
    <row r="17" spans="1:51" s="192" customFormat="1" ht="30" hidden="1" customHeight="1" x14ac:dyDescent="0.25">
      <c r="A17" s="171">
        <v>15</v>
      </c>
      <c r="B17" s="209" t="s">
        <v>142</v>
      </c>
      <c r="C17" s="210" t="s">
        <v>296</v>
      </c>
      <c r="D17" s="183" t="s">
        <v>106</v>
      </c>
      <c r="E17" s="183" t="s">
        <v>126</v>
      </c>
      <c r="F17" s="211"/>
      <c r="G17" s="212" t="s">
        <v>127</v>
      </c>
      <c r="H17" s="250" t="s">
        <v>141</v>
      </c>
      <c r="I17" s="187" t="s">
        <v>148</v>
      </c>
      <c r="J17" s="129">
        <v>0.15</v>
      </c>
      <c r="K17" s="129" t="s">
        <v>1</v>
      </c>
      <c r="L17" s="129"/>
      <c r="M17" s="186">
        <v>100</v>
      </c>
      <c r="N17" s="128">
        <f t="shared" si="6"/>
        <v>3</v>
      </c>
      <c r="O17" s="128">
        <f>IF(M17="",0,IF(M17&lt;=SelectionCriteria!$G$5,1, IF(M17&lt;=SelectionCriteria!$G$4,2, IF(M17&lt;=SelectionCriteria!$G$3,3,4))))</f>
        <v>2</v>
      </c>
      <c r="P17" s="128">
        <f t="shared" si="16"/>
        <v>1</v>
      </c>
      <c r="Q17" s="128">
        <f t="shared" si="17"/>
        <v>0</v>
      </c>
      <c r="R17" s="179">
        <f t="shared" si="18"/>
        <v>3</v>
      </c>
      <c r="S17" s="179"/>
      <c r="T17" s="180" t="str">
        <f t="shared" si="7"/>
        <v>Moderate</v>
      </c>
      <c r="U17" s="187" t="s">
        <v>241</v>
      </c>
      <c r="V17" s="187" t="s">
        <v>325</v>
      </c>
      <c r="W17" s="188"/>
      <c r="X17" s="187"/>
      <c r="Y17" s="220">
        <v>0</v>
      </c>
      <c r="Z17" s="220"/>
      <c r="AA17" s="129"/>
      <c r="AB17" s="221">
        <v>0</v>
      </c>
      <c r="AC17" s="221">
        <v>0</v>
      </c>
      <c r="AD17" s="221">
        <v>428</v>
      </c>
      <c r="AE17" s="222">
        <v>3</v>
      </c>
      <c r="AF17" s="222">
        <v>6</v>
      </c>
      <c r="AG17" s="222">
        <v>6</v>
      </c>
      <c r="AH17" s="128">
        <f t="shared" si="2"/>
        <v>0</v>
      </c>
      <c r="AI17" s="128">
        <f>IF(AC17="",0,IF(AC17&lt;=SelectionCriteria!$G$5,1, IF(AC17&lt;=SelectionCriteria!$G$4,2, IF(AC17&lt;=SelectionCriteria!$G$3,3,4))))</f>
        <v>1</v>
      </c>
      <c r="AJ17" s="128">
        <f t="shared" si="14"/>
        <v>0</v>
      </c>
      <c r="AK17" s="128">
        <f t="shared" si="15"/>
        <v>0</v>
      </c>
      <c r="AL17" s="179">
        <f t="shared" si="4"/>
        <v>0</v>
      </c>
      <c r="AM17" s="4" t="str">
        <f t="shared" si="12"/>
        <v>Not Residual</v>
      </c>
      <c r="AN17" s="129"/>
      <c r="AO17" s="179">
        <f t="shared" si="9"/>
        <v>0</v>
      </c>
      <c r="AP17" s="179">
        <f t="shared" si="10"/>
        <v>0</v>
      </c>
      <c r="AQ17" s="130" t="s">
        <v>281</v>
      </c>
      <c r="AR17" s="86" t="str">
        <f t="shared" si="13"/>
        <v>Not Residual</v>
      </c>
      <c r="AS17" s="86" t="str">
        <f t="shared" si="5"/>
        <v>Not Residual</v>
      </c>
      <c r="AT17" s="86"/>
      <c r="AU17" s="86"/>
      <c r="AV17" s="86"/>
      <c r="AW17" s="86" t="s">
        <v>653</v>
      </c>
      <c r="AX17" s="86"/>
      <c r="AY17" s="192" t="s">
        <v>620</v>
      </c>
    </row>
    <row r="18" spans="1:51" s="192" customFormat="1" ht="30" hidden="1" customHeight="1" x14ac:dyDescent="0.25">
      <c r="A18" s="171">
        <v>16</v>
      </c>
      <c r="B18" s="209" t="s">
        <v>143</v>
      </c>
      <c r="C18" s="210" t="s">
        <v>297</v>
      </c>
      <c r="D18" s="183" t="s">
        <v>106</v>
      </c>
      <c r="E18" s="183" t="s">
        <v>126</v>
      </c>
      <c r="F18" s="211"/>
      <c r="G18" s="212" t="s">
        <v>127</v>
      </c>
      <c r="H18" s="250" t="s">
        <v>144</v>
      </c>
      <c r="I18" s="187" t="s">
        <v>147</v>
      </c>
      <c r="J18" s="129">
        <v>0.15</v>
      </c>
      <c r="K18" s="129" t="s">
        <v>1</v>
      </c>
      <c r="L18" s="129"/>
      <c r="M18" s="186">
        <v>100</v>
      </c>
      <c r="N18" s="128">
        <f t="shared" si="6"/>
        <v>3</v>
      </c>
      <c r="O18" s="128">
        <f>IF(M18="",0,IF(M18&lt;=SelectionCriteria!$G$5,1, IF(M18&lt;=SelectionCriteria!$G$4,2, IF(M18&lt;=SelectionCriteria!$G$3,3,4))))</f>
        <v>2</v>
      </c>
      <c r="P18" s="128">
        <f t="shared" si="16"/>
        <v>1</v>
      </c>
      <c r="Q18" s="128">
        <f t="shared" si="17"/>
        <v>0</v>
      </c>
      <c r="R18" s="179">
        <f t="shared" si="18"/>
        <v>3</v>
      </c>
      <c r="S18" s="179"/>
      <c r="T18" s="180" t="str">
        <f t="shared" si="7"/>
        <v>Moderate</v>
      </c>
      <c r="U18" s="187" t="s">
        <v>241</v>
      </c>
      <c r="V18" s="187" t="s">
        <v>326</v>
      </c>
      <c r="W18" s="188"/>
      <c r="X18" s="187"/>
      <c r="Y18" s="220">
        <v>0</v>
      </c>
      <c r="Z18" s="220"/>
      <c r="AA18" s="129"/>
      <c r="AB18" s="221">
        <v>0</v>
      </c>
      <c r="AC18" s="221">
        <v>0</v>
      </c>
      <c r="AD18" s="221">
        <v>428</v>
      </c>
      <c r="AE18" s="222">
        <v>3</v>
      </c>
      <c r="AF18" s="222">
        <v>6</v>
      </c>
      <c r="AG18" s="222">
        <v>6</v>
      </c>
      <c r="AH18" s="128">
        <f t="shared" si="2"/>
        <v>0</v>
      </c>
      <c r="AI18" s="128">
        <f>IF(AC18="",0,IF(AC18&lt;=SelectionCriteria!$G$5,1, IF(AC18&lt;=SelectionCriteria!$G$4,2, IF(AC18&lt;=SelectionCriteria!$G$3,3,4))))</f>
        <v>1</v>
      </c>
      <c r="AJ18" s="128">
        <f t="shared" si="14"/>
        <v>0</v>
      </c>
      <c r="AK18" s="128">
        <f t="shared" si="15"/>
        <v>0</v>
      </c>
      <c r="AL18" s="179">
        <f t="shared" si="4"/>
        <v>0</v>
      </c>
      <c r="AM18" s="4" t="str">
        <f t="shared" si="12"/>
        <v>Not Residual</v>
      </c>
      <c r="AN18" s="129"/>
      <c r="AO18" s="179">
        <f t="shared" si="9"/>
        <v>0</v>
      </c>
      <c r="AP18" s="179">
        <f t="shared" si="10"/>
        <v>0</v>
      </c>
      <c r="AQ18" s="130" t="s">
        <v>281</v>
      </c>
      <c r="AR18" s="86" t="str">
        <f t="shared" si="13"/>
        <v>Not Residual</v>
      </c>
      <c r="AS18" s="86" t="str">
        <f t="shared" si="5"/>
        <v>Not Residual</v>
      </c>
      <c r="AT18" s="86"/>
      <c r="AU18" s="86"/>
      <c r="AV18" s="86"/>
      <c r="AW18" s="86" t="s">
        <v>653</v>
      </c>
      <c r="AX18" s="86"/>
      <c r="AY18" s="192" t="s">
        <v>620</v>
      </c>
    </row>
    <row r="19" spans="1:51" s="192" customFormat="1" ht="30" hidden="1" customHeight="1" x14ac:dyDescent="0.25">
      <c r="A19" s="171">
        <v>17</v>
      </c>
      <c r="B19" s="209" t="s">
        <v>151</v>
      </c>
      <c r="C19" s="210" t="s">
        <v>298</v>
      </c>
      <c r="D19" s="183" t="s">
        <v>106</v>
      </c>
      <c r="E19" s="183" t="s">
        <v>126</v>
      </c>
      <c r="F19" s="211"/>
      <c r="G19" s="212" t="s">
        <v>127</v>
      </c>
      <c r="H19" s="250" t="s">
        <v>145</v>
      </c>
      <c r="I19" s="187" t="s">
        <v>146</v>
      </c>
      <c r="J19" s="129">
        <v>0.15</v>
      </c>
      <c r="K19" s="129" t="s">
        <v>1</v>
      </c>
      <c r="L19" s="129"/>
      <c r="M19" s="186">
        <v>100</v>
      </c>
      <c r="N19" s="128">
        <f t="shared" si="6"/>
        <v>3</v>
      </c>
      <c r="O19" s="128">
        <f>IF(M19="",0,IF(M19&lt;=SelectionCriteria!$G$5,1, IF(M19&lt;=SelectionCriteria!$G$4,2, IF(M19&lt;=SelectionCriteria!$G$3,3,4))))</f>
        <v>2</v>
      </c>
      <c r="P19" s="128">
        <f t="shared" si="16"/>
        <v>1</v>
      </c>
      <c r="Q19" s="128">
        <f t="shared" si="17"/>
        <v>0</v>
      </c>
      <c r="R19" s="179">
        <f t="shared" si="18"/>
        <v>3</v>
      </c>
      <c r="S19" s="179"/>
      <c r="T19" s="180" t="str">
        <f t="shared" si="7"/>
        <v>Moderate</v>
      </c>
      <c r="U19" s="187" t="s">
        <v>241</v>
      </c>
      <c r="V19" s="187" t="s">
        <v>327</v>
      </c>
      <c r="W19" s="188"/>
      <c r="X19" s="187"/>
      <c r="Y19" s="220">
        <v>0</v>
      </c>
      <c r="Z19" s="220"/>
      <c r="AA19" s="129"/>
      <c r="AB19" s="221">
        <v>0</v>
      </c>
      <c r="AC19" s="221">
        <v>0</v>
      </c>
      <c r="AD19" s="221">
        <v>428</v>
      </c>
      <c r="AE19" s="222">
        <v>3</v>
      </c>
      <c r="AF19" s="222">
        <v>6</v>
      </c>
      <c r="AG19" s="222">
        <v>6</v>
      </c>
      <c r="AH19" s="128">
        <f t="shared" si="2"/>
        <v>0</v>
      </c>
      <c r="AI19" s="128">
        <f>IF(AC19="",0,IF(AC19&lt;=SelectionCriteria!$G$5,1, IF(AC19&lt;=SelectionCriteria!$G$4,2, IF(AC19&lt;=SelectionCriteria!$G$3,3,4))))</f>
        <v>1</v>
      </c>
      <c r="AJ19" s="128">
        <f t="shared" si="14"/>
        <v>0</v>
      </c>
      <c r="AK19" s="128">
        <f t="shared" si="15"/>
        <v>0</v>
      </c>
      <c r="AL19" s="179">
        <f t="shared" si="4"/>
        <v>0</v>
      </c>
      <c r="AM19" s="4" t="str">
        <f t="shared" si="12"/>
        <v>Not Residual</v>
      </c>
      <c r="AN19" s="129"/>
      <c r="AO19" s="179">
        <f t="shared" si="9"/>
        <v>0</v>
      </c>
      <c r="AP19" s="179">
        <f t="shared" si="10"/>
        <v>0</v>
      </c>
      <c r="AQ19" s="130" t="s">
        <v>281</v>
      </c>
      <c r="AR19" s="86" t="str">
        <f t="shared" si="13"/>
        <v>Not Residual</v>
      </c>
      <c r="AS19" s="86" t="str">
        <f t="shared" si="5"/>
        <v>Not Residual</v>
      </c>
      <c r="AT19" s="86"/>
      <c r="AU19" s="86"/>
      <c r="AV19" s="86"/>
      <c r="AW19" s="86" t="s">
        <v>653</v>
      </c>
      <c r="AX19" s="86"/>
      <c r="AY19" s="192" t="s">
        <v>620</v>
      </c>
    </row>
    <row r="20" spans="1:51" s="192" customFormat="1" ht="30" hidden="1" customHeight="1" x14ac:dyDescent="0.25">
      <c r="A20" s="171">
        <v>18</v>
      </c>
      <c r="B20" s="209" t="s">
        <v>155</v>
      </c>
      <c r="C20" s="210" t="s">
        <v>299</v>
      </c>
      <c r="D20" s="183" t="s">
        <v>106</v>
      </c>
      <c r="E20" s="183" t="s">
        <v>126</v>
      </c>
      <c r="F20" s="211"/>
      <c r="G20" s="212" t="s">
        <v>127</v>
      </c>
      <c r="H20" s="250" t="s">
        <v>150</v>
      </c>
      <c r="I20" s="187" t="s">
        <v>152</v>
      </c>
      <c r="J20" s="129">
        <v>0.15</v>
      </c>
      <c r="K20" s="129" t="s">
        <v>1</v>
      </c>
      <c r="L20" s="129"/>
      <c r="M20" s="186">
        <v>100</v>
      </c>
      <c r="N20" s="128">
        <f t="shared" si="6"/>
        <v>3</v>
      </c>
      <c r="O20" s="128">
        <f>IF(M20="",0,IF(M20&lt;=SelectionCriteria!$G$5,1, IF(M20&lt;=SelectionCriteria!$G$4,2, IF(M20&lt;=SelectionCriteria!$G$3,3,4))))</f>
        <v>2</v>
      </c>
      <c r="P20" s="128">
        <f t="shared" si="16"/>
        <v>1</v>
      </c>
      <c r="Q20" s="128">
        <f t="shared" si="17"/>
        <v>0</v>
      </c>
      <c r="R20" s="179">
        <f t="shared" si="18"/>
        <v>3</v>
      </c>
      <c r="S20" s="179"/>
      <c r="T20" s="180" t="str">
        <f t="shared" si="7"/>
        <v>Moderate</v>
      </c>
      <c r="U20" s="187" t="s">
        <v>242</v>
      </c>
      <c r="V20" s="187" t="s">
        <v>328</v>
      </c>
      <c r="W20" s="188"/>
      <c r="X20" s="187"/>
      <c r="Y20" s="220">
        <v>0</v>
      </c>
      <c r="Z20" s="220"/>
      <c r="AA20" s="129"/>
      <c r="AB20" s="221">
        <v>40</v>
      </c>
      <c r="AC20" s="221">
        <v>60</v>
      </c>
      <c r="AD20" s="221">
        <v>80</v>
      </c>
      <c r="AE20" s="222">
        <v>3</v>
      </c>
      <c r="AF20" s="222">
        <v>6</v>
      </c>
      <c r="AG20" s="222">
        <v>8</v>
      </c>
      <c r="AH20" s="128">
        <f t="shared" si="2"/>
        <v>0</v>
      </c>
      <c r="AI20" s="128">
        <f>IF(AC20="",0,IF(AC20&lt;=SelectionCriteria!$G$5,1, IF(AC20&lt;=SelectionCriteria!$G$4,2, IF(AC20&lt;=SelectionCriteria!$G$3,3,4))))</f>
        <v>2</v>
      </c>
      <c r="AJ20" s="128">
        <f t="shared" si="14"/>
        <v>0</v>
      </c>
      <c r="AK20" s="128">
        <f t="shared" si="15"/>
        <v>0</v>
      </c>
      <c r="AL20" s="179">
        <f t="shared" si="4"/>
        <v>0</v>
      </c>
      <c r="AM20" s="4" t="str">
        <f t="shared" si="12"/>
        <v>Not Residual</v>
      </c>
      <c r="AN20" s="129"/>
      <c r="AO20" s="179">
        <f t="shared" si="9"/>
        <v>0</v>
      </c>
      <c r="AP20" s="179">
        <f t="shared" si="10"/>
        <v>0</v>
      </c>
      <c r="AQ20" s="190"/>
      <c r="AR20" s="86" t="str">
        <f t="shared" si="13"/>
        <v>Not Residual</v>
      </c>
      <c r="AS20" s="86" t="str">
        <f t="shared" si="5"/>
        <v>Not Residual</v>
      </c>
      <c r="AT20" s="86"/>
      <c r="AU20" s="86"/>
      <c r="AV20" s="86"/>
      <c r="AW20" s="86" t="s">
        <v>694</v>
      </c>
      <c r="AX20" s="86" t="s">
        <v>601</v>
      </c>
      <c r="AY20" s="192" t="s">
        <v>619</v>
      </c>
    </row>
    <row r="21" spans="1:51" s="192" customFormat="1" ht="30" hidden="1" customHeight="1" x14ac:dyDescent="0.25">
      <c r="A21" s="171">
        <v>19</v>
      </c>
      <c r="B21" s="209" t="s">
        <v>581</v>
      </c>
      <c r="C21" s="233">
        <v>133700</v>
      </c>
      <c r="D21" s="183" t="s">
        <v>106</v>
      </c>
      <c r="E21" s="183" t="s">
        <v>126</v>
      </c>
      <c r="F21" s="211"/>
      <c r="G21" s="212" t="s">
        <v>127</v>
      </c>
      <c r="H21" s="250" t="s">
        <v>587</v>
      </c>
      <c r="I21" s="187" t="s">
        <v>146</v>
      </c>
      <c r="J21" s="129">
        <v>0.15</v>
      </c>
      <c r="K21" s="129" t="s">
        <v>1</v>
      </c>
      <c r="L21" s="129"/>
      <c r="M21" s="179"/>
      <c r="N21" s="179"/>
      <c r="O21" s="179"/>
      <c r="P21" s="179"/>
      <c r="Q21" s="179"/>
      <c r="R21" s="179"/>
      <c r="S21" s="179"/>
      <c r="T21" s="180" t="str">
        <f t="shared" ref="T21:T22" si="19">IF(R21=0,"Not Primary",IF(R21&lt;=1,"Negligible",IF(R21&lt;=2,"Low",IF(R21&lt;=3,"Moderate","High"))))</f>
        <v>Not Primary</v>
      </c>
      <c r="U21" s="187" t="s">
        <v>241</v>
      </c>
      <c r="V21" s="179"/>
      <c r="W21" s="188"/>
      <c r="X21" s="187"/>
      <c r="Y21" s="220">
        <v>0</v>
      </c>
      <c r="Z21" s="220"/>
      <c r="AA21" s="129"/>
      <c r="AB21" s="221">
        <v>0</v>
      </c>
      <c r="AC21" s="221">
        <v>0</v>
      </c>
      <c r="AD21" s="221">
        <v>0</v>
      </c>
      <c r="AE21" s="222">
        <v>2</v>
      </c>
      <c r="AF21" s="222">
        <v>3</v>
      </c>
      <c r="AG21" s="222">
        <v>6</v>
      </c>
      <c r="AH21" s="128">
        <f t="shared" ref="AH21:AH22" si="20">IF(Y21=0,0,IF(Y21&lt;=0.01,1, IF(Y21&lt;=0.1,2, IF(Y21&lt;=0.5,3,4))))</f>
        <v>0</v>
      </c>
      <c r="AI21" s="128">
        <f>IF(AC21="",0,IF(AC21&lt;=SelectionCriteria!$G$5,1, IF(AC21&lt;=SelectionCriteria!$G$4,2, IF(AC21&lt;=SelectionCriteria!$G$3,3,4))))</f>
        <v>1</v>
      </c>
      <c r="AJ21" s="128">
        <f t="shared" ref="AJ21:AJ22" si="21">IF(Z21="",0,IF(Z21="Negligible",1,IF(Z21="Low",2,IF(Z21="Moderate",3,4))))</f>
        <v>0</v>
      </c>
      <c r="AK21" s="128">
        <f t="shared" ref="AK21:AK22" si="22">IF(AA21="",0,IF(AA21="Negligible",1,IF(AA21="Low",2,IF(AA21="Moderate",3,4))))</f>
        <v>0</v>
      </c>
      <c r="AL21" s="179">
        <f t="shared" ref="AL21:AL22" si="23">AH21*((AI21+AJ21+AK21)/3)</f>
        <v>0</v>
      </c>
      <c r="AM21" s="4" t="str">
        <f t="shared" si="12"/>
        <v>Not Residual</v>
      </c>
      <c r="AN21" s="129"/>
      <c r="AO21" s="179">
        <f t="shared" ref="AO21:AO22" si="24">Y21*AC21</f>
        <v>0</v>
      </c>
      <c r="AP21" s="179">
        <f t="shared" ref="AP21:AP22" si="25">Y21*(SUM(AB21:AD21)/3)</f>
        <v>0</v>
      </c>
      <c r="AQ21" s="130" t="s">
        <v>281</v>
      </c>
      <c r="AR21" s="86" t="str">
        <f t="shared" ref="AR21:AR22" si="26">IF(Y21=0,"Not Residual",IF(AH21=4,("Very Likely"),(IF(AH21=3,("Possible"),(IF(AH21=2,("Unlikely"),("Rare")))))))</f>
        <v>Not Residual</v>
      </c>
      <c r="AS21" s="86" t="str">
        <f t="shared" ref="AS21:AS22" si="27">AM21</f>
        <v>Not Residual</v>
      </c>
      <c r="AT21" s="86"/>
      <c r="AU21" s="86"/>
      <c r="AV21" s="86"/>
      <c r="AW21" s="86" t="s">
        <v>653</v>
      </c>
      <c r="AX21" s="86"/>
      <c r="AY21" s="192" t="s">
        <v>620</v>
      </c>
    </row>
    <row r="22" spans="1:51" s="192" customFormat="1" ht="30" hidden="1" customHeight="1" x14ac:dyDescent="0.25">
      <c r="A22" s="171">
        <v>20</v>
      </c>
      <c r="B22" s="209" t="s">
        <v>582</v>
      </c>
      <c r="C22" s="233">
        <v>134000</v>
      </c>
      <c r="D22" s="183" t="s">
        <v>106</v>
      </c>
      <c r="E22" s="183" t="s">
        <v>126</v>
      </c>
      <c r="F22" s="211"/>
      <c r="G22" s="212" t="s">
        <v>127</v>
      </c>
      <c r="H22" s="250" t="s">
        <v>598</v>
      </c>
      <c r="I22" s="187" t="s">
        <v>707</v>
      </c>
      <c r="J22" s="129">
        <v>0.15</v>
      </c>
      <c r="K22" s="129" t="s">
        <v>1</v>
      </c>
      <c r="L22" s="129"/>
      <c r="M22" s="179"/>
      <c r="N22" s="179"/>
      <c r="O22" s="179"/>
      <c r="P22" s="179"/>
      <c r="Q22" s="179"/>
      <c r="R22" s="179"/>
      <c r="S22" s="179"/>
      <c r="T22" s="180" t="str">
        <f t="shared" si="19"/>
        <v>Not Primary</v>
      </c>
      <c r="U22" s="190" t="s">
        <v>706</v>
      </c>
      <c r="V22" s="179"/>
      <c r="W22" s="188"/>
      <c r="X22" s="187"/>
      <c r="Y22" s="220">
        <v>0</v>
      </c>
      <c r="Z22" s="220"/>
      <c r="AA22" s="129"/>
      <c r="AB22" s="235">
        <v>140</v>
      </c>
      <c r="AC22" s="235">
        <v>140</v>
      </c>
      <c r="AD22" s="235">
        <v>140</v>
      </c>
      <c r="AE22" s="235">
        <v>0</v>
      </c>
      <c r="AF22" s="235">
        <v>0</v>
      </c>
      <c r="AG22" s="235">
        <v>0</v>
      </c>
      <c r="AH22" s="128">
        <f t="shared" si="20"/>
        <v>0</v>
      </c>
      <c r="AI22" s="128">
        <f>IF(AC22="",0,IF(AC22&lt;=SelectionCriteria!$G$5,1, IF(AC22&lt;=SelectionCriteria!$G$4,2, IF(AC22&lt;=SelectionCriteria!$G$3,3,4))))</f>
        <v>3</v>
      </c>
      <c r="AJ22" s="128">
        <f t="shared" si="21"/>
        <v>0</v>
      </c>
      <c r="AK22" s="128">
        <f t="shared" si="22"/>
        <v>0</v>
      </c>
      <c r="AL22" s="179">
        <f t="shared" si="23"/>
        <v>0</v>
      </c>
      <c r="AM22" s="4" t="str">
        <f t="shared" si="12"/>
        <v>Not Residual</v>
      </c>
      <c r="AN22" s="129"/>
      <c r="AO22" s="179">
        <f t="shared" si="24"/>
        <v>0</v>
      </c>
      <c r="AP22" s="179">
        <f t="shared" si="25"/>
        <v>0</v>
      </c>
      <c r="AQ22" s="190"/>
      <c r="AR22" s="86" t="str">
        <f t="shared" si="26"/>
        <v>Not Residual</v>
      </c>
      <c r="AS22" s="86" t="str">
        <f t="shared" si="27"/>
        <v>Not Residual</v>
      </c>
      <c r="AT22" s="86"/>
      <c r="AU22" s="86"/>
      <c r="AV22" s="86"/>
      <c r="AW22" s="86" t="s">
        <v>694</v>
      </c>
      <c r="AX22" s="86" t="s">
        <v>600</v>
      </c>
      <c r="AY22" s="192" t="s">
        <v>619</v>
      </c>
    </row>
    <row r="23" spans="1:51" s="266" customFormat="1" ht="30" customHeight="1" x14ac:dyDescent="0.25">
      <c r="A23" s="192"/>
      <c r="B23" s="243" t="s">
        <v>657</v>
      </c>
      <c r="C23" s="267"/>
      <c r="D23" s="268"/>
      <c r="E23" s="268"/>
      <c r="F23" s="269"/>
      <c r="G23" s="270"/>
      <c r="H23" s="250" t="s">
        <v>682</v>
      </c>
      <c r="I23" s="187" t="s">
        <v>703</v>
      </c>
      <c r="J23" s="271"/>
      <c r="K23" s="271"/>
      <c r="L23" s="271"/>
      <c r="M23" s="272"/>
      <c r="N23" s="272"/>
      <c r="O23" s="272"/>
      <c r="P23" s="272"/>
      <c r="Q23" s="272"/>
      <c r="R23" s="272"/>
      <c r="S23" s="272"/>
      <c r="T23" s="273"/>
      <c r="U23" s="190" t="s">
        <v>705</v>
      </c>
      <c r="V23" s="179"/>
      <c r="W23" s="188"/>
      <c r="X23" s="187"/>
      <c r="Y23" s="274">
        <v>0.1</v>
      </c>
      <c r="Z23" s="274"/>
      <c r="AA23" s="271"/>
      <c r="AB23" s="221">
        <v>0</v>
      </c>
      <c r="AC23" s="221">
        <v>0</v>
      </c>
      <c r="AD23" s="221">
        <v>0</v>
      </c>
      <c r="AE23" s="221">
        <v>1</v>
      </c>
      <c r="AF23" s="221">
        <v>2</v>
      </c>
      <c r="AG23" s="221">
        <v>3</v>
      </c>
      <c r="AH23" s="128">
        <f t="shared" ref="AH23:AH26" si="28">IF(Y23=0,0,IF(Y23&lt;=0.01,1, IF(Y23&lt;=0.1,2, IF(Y23&lt;=0.5,3,4))))</f>
        <v>2</v>
      </c>
      <c r="AI23" s="128">
        <f>IF(AC23="",0,IF(AC23&lt;=SelectionCriteria!$G$5,1, IF(AC23&lt;=SelectionCriteria!$G$4,2, IF(AC23&lt;=SelectionCriteria!$G$3,3,4))))</f>
        <v>1</v>
      </c>
      <c r="AJ23" s="128">
        <f t="shared" ref="AJ23:AJ26" si="29">IF(Z23="",0,IF(Z23="Negligible",1,IF(Z23="Low",2,IF(Z23="Moderate",3,4))))</f>
        <v>0</v>
      </c>
      <c r="AK23" s="128">
        <f t="shared" ref="AK23:AK26" si="30">IF(AA23="",0,IF(AA23="Negligible",1,IF(AA23="Low",2,IF(AA23="Moderate",3,4))))</f>
        <v>0</v>
      </c>
      <c r="AL23" s="179">
        <f t="shared" ref="AL23:AL26" si="31">AH23*((AI23+AJ23+AK23)/3)</f>
        <v>0.66666666666666663</v>
      </c>
      <c r="AM23" s="4" t="str">
        <f t="shared" ref="AM23:AM26" si="32">IF(AL23=0,"Not Residual",IF(AL23&lt;=1,"Negligible",IF(AL23&lt;=2,"Low",IF(AL23&lt;3,"Moderate","High"))))</f>
        <v>Negligible</v>
      </c>
      <c r="AN23" s="129"/>
      <c r="AO23" s="3">
        <f>Y23*AC23</f>
        <v>0</v>
      </c>
      <c r="AP23" s="3">
        <f>Y23*(SUM(AB23:AD23)/3)</f>
        <v>0</v>
      </c>
      <c r="AQ23" s="190" t="s">
        <v>695</v>
      </c>
      <c r="AR23" s="276"/>
      <c r="AS23" s="276"/>
      <c r="AT23" s="276"/>
      <c r="AU23" s="276"/>
      <c r="AV23" s="276"/>
      <c r="AW23" s="190"/>
      <c r="AX23" s="190"/>
    </row>
    <row r="24" spans="1:51" s="266" customFormat="1" ht="30" customHeight="1" x14ac:dyDescent="0.25">
      <c r="A24" s="192"/>
      <c r="B24" s="243" t="s">
        <v>683</v>
      </c>
      <c r="C24" s="267"/>
      <c r="D24" s="268"/>
      <c r="E24" s="268"/>
      <c r="F24" s="269"/>
      <c r="G24" s="270"/>
      <c r="H24" s="250" t="s">
        <v>684</v>
      </c>
      <c r="I24" s="187" t="s">
        <v>704</v>
      </c>
      <c r="J24" s="271"/>
      <c r="K24" s="271"/>
      <c r="L24" s="271"/>
      <c r="M24" s="272"/>
      <c r="N24" s="272"/>
      <c r="O24" s="272"/>
      <c r="P24" s="272"/>
      <c r="Q24" s="272"/>
      <c r="R24" s="272"/>
      <c r="S24" s="272"/>
      <c r="T24" s="273"/>
      <c r="U24" s="190" t="s">
        <v>705</v>
      </c>
      <c r="V24" s="179"/>
      <c r="W24" s="188"/>
      <c r="X24" s="187"/>
      <c r="Y24" s="274">
        <v>0.1</v>
      </c>
      <c r="Z24" s="274"/>
      <c r="AA24" s="271"/>
      <c r="AB24" s="221">
        <v>0</v>
      </c>
      <c r="AC24" s="221">
        <v>0</v>
      </c>
      <c r="AD24" s="221">
        <v>0</v>
      </c>
      <c r="AE24" s="221">
        <v>1</v>
      </c>
      <c r="AF24" s="221">
        <v>2</v>
      </c>
      <c r="AG24" s="221">
        <v>3</v>
      </c>
      <c r="AH24" s="128">
        <f t="shared" si="28"/>
        <v>2</v>
      </c>
      <c r="AI24" s="128">
        <f>IF(AC24="",0,IF(AC24&lt;=SelectionCriteria!$G$5,1, IF(AC24&lt;=SelectionCriteria!$G$4,2, IF(AC24&lt;=SelectionCriteria!$G$3,3,4))))</f>
        <v>1</v>
      </c>
      <c r="AJ24" s="128">
        <f t="shared" si="29"/>
        <v>0</v>
      </c>
      <c r="AK24" s="128">
        <f t="shared" si="30"/>
        <v>0</v>
      </c>
      <c r="AL24" s="179">
        <f t="shared" si="31"/>
        <v>0.66666666666666663</v>
      </c>
      <c r="AM24" s="4" t="str">
        <f t="shared" si="32"/>
        <v>Negligible</v>
      </c>
      <c r="AN24" s="129"/>
      <c r="AO24" s="3">
        <f>Y24*AC24</f>
        <v>0</v>
      </c>
      <c r="AP24" s="3">
        <f>Y24*(SUM(AB24:AD24)/3)</f>
        <v>0</v>
      </c>
      <c r="AQ24" s="190" t="s">
        <v>695</v>
      </c>
      <c r="AR24" s="276"/>
      <c r="AS24" s="276"/>
      <c r="AT24" s="276"/>
      <c r="AU24" s="276"/>
      <c r="AV24" s="276"/>
      <c r="AW24" s="190"/>
      <c r="AX24" s="190"/>
    </row>
    <row r="25" spans="1:51" s="266" customFormat="1" ht="30" customHeight="1" x14ac:dyDescent="0.25">
      <c r="A25" s="192"/>
      <c r="B25" s="243" t="s">
        <v>696</v>
      </c>
      <c r="C25" s="267"/>
      <c r="D25" s="268"/>
      <c r="E25" s="268"/>
      <c r="F25" s="269"/>
      <c r="G25" s="270"/>
      <c r="H25" s="250" t="s">
        <v>698</v>
      </c>
      <c r="I25" s="187" t="s">
        <v>702</v>
      </c>
      <c r="J25" s="271"/>
      <c r="K25" s="271"/>
      <c r="L25" s="271"/>
      <c r="M25" s="272"/>
      <c r="N25" s="272"/>
      <c r="O25" s="272"/>
      <c r="P25" s="272"/>
      <c r="Q25" s="272"/>
      <c r="R25" s="272"/>
      <c r="S25" s="272"/>
      <c r="T25" s="273"/>
      <c r="U25" s="190" t="s">
        <v>706</v>
      </c>
      <c r="V25" s="179"/>
      <c r="W25" s="188"/>
      <c r="X25" s="187"/>
      <c r="Y25" s="274">
        <v>0.5</v>
      </c>
      <c r="Z25" s="274"/>
      <c r="AA25" s="271"/>
      <c r="AB25" s="221">
        <v>20</v>
      </c>
      <c r="AC25" s="221">
        <v>40</v>
      </c>
      <c r="AD25" s="221">
        <v>80</v>
      </c>
      <c r="AE25" s="221">
        <v>0</v>
      </c>
      <c r="AF25" s="221">
        <v>1</v>
      </c>
      <c r="AG25" s="221">
        <v>1</v>
      </c>
      <c r="AH25" s="128">
        <f t="shared" si="28"/>
        <v>3</v>
      </c>
      <c r="AI25" s="128">
        <f>IF(AC25="",0,IF(AC25&lt;=SelectionCriteria!$G$5,1, IF(AC25&lt;=SelectionCriteria!$G$4,2, IF(AC25&lt;=SelectionCriteria!$G$3,3,4))))</f>
        <v>2</v>
      </c>
      <c r="AJ25" s="128">
        <f t="shared" si="29"/>
        <v>0</v>
      </c>
      <c r="AK25" s="128">
        <f t="shared" si="30"/>
        <v>0</v>
      </c>
      <c r="AL25" s="179">
        <f t="shared" si="31"/>
        <v>2</v>
      </c>
      <c r="AM25" s="259" t="str">
        <f t="shared" si="32"/>
        <v>Low</v>
      </c>
      <c r="AN25" s="129"/>
      <c r="AO25" s="3">
        <f>Y25*AC25</f>
        <v>20</v>
      </c>
      <c r="AP25" s="3">
        <f>Y25*(SUM(AB25:AD25)/3)</f>
        <v>23.333333333333332</v>
      </c>
      <c r="AQ25" s="190" t="s">
        <v>695</v>
      </c>
      <c r="AR25" s="276"/>
      <c r="AS25" s="276"/>
      <c r="AT25" s="276"/>
      <c r="AU25" s="276"/>
      <c r="AV25" s="276"/>
      <c r="AW25" s="190"/>
      <c r="AX25" s="190"/>
    </row>
    <row r="26" spans="1:51" s="266" customFormat="1" ht="30" customHeight="1" x14ac:dyDescent="0.25">
      <c r="A26" s="192"/>
      <c r="B26" s="243" t="s">
        <v>699</v>
      </c>
      <c r="C26" s="267"/>
      <c r="D26" s="268"/>
      <c r="E26" s="268"/>
      <c r="F26" s="269"/>
      <c r="G26" s="270"/>
      <c r="H26" s="250" t="s">
        <v>700</v>
      </c>
      <c r="I26" s="187" t="s">
        <v>701</v>
      </c>
      <c r="J26" s="271"/>
      <c r="K26" s="271"/>
      <c r="L26" s="271"/>
      <c r="M26" s="272"/>
      <c r="N26" s="272"/>
      <c r="O26" s="272"/>
      <c r="P26" s="272"/>
      <c r="Q26" s="272"/>
      <c r="R26" s="272"/>
      <c r="S26" s="272"/>
      <c r="T26" s="273"/>
      <c r="U26" s="190" t="s">
        <v>708</v>
      </c>
      <c r="V26" s="179"/>
      <c r="W26" s="188"/>
      <c r="X26" s="187"/>
      <c r="Y26" s="274">
        <v>1</v>
      </c>
      <c r="Z26" s="274"/>
      <c r="AA26" s="271"/>
      <c r="AB26" s="221">
        <v>100</v>
      </c>
      <c r="AC26" s="221">
        <v>100</v>
      </c>
      <c r="AD26" s="221">
        <v>100</v>
      </c>
      <c r="AE26" s="221">
        <v>0</v>
      </c>
      <c r="AF26" s="221">
        <v>0</v>
      </c>
      <c r="AG26" s="221">
        <v>0</v>
      </c>
      <c r="AH26" s="128">
        <f t="shared" si="28"/>
        <v>4</v>
      </c>
      <c r="AI26" s="128">
        <f>IF(AC26="",0,IF(AC26&lt;=SelectionCriteria!$G$5,1, IF(AC26&lt;=SelectionCriteria!$G$4,2, IF(AC26&lt;=SelectionCriteria!$G$3,3,4))))</f>
        <v>2</v>
      </c>
      <c r="AJ26" s="128">
        <f t="shared" si="29"/>
        <v>0</v>
      </c>
      <c r="AK26" s="128">
        <f t="shared" si="30"/>
        <v>0</v>
      </c>
      <c r="AL26" s="179">
        <f t="shared" si="31"/>
        <v>2.6666666666666665</v>
      </c>
      <c r="AM26" s="259" t="str">
        <f t="shared" si="32"/>
        <v>Moderate</v>
      </c>
      <c r="AN26" s="129"/>
      <c r="AO26" s="3">
        <f>Y26*AC26</f>
        <v>100</v>
      </c>
      <c r="AP26" s="3">
        <f>Y26*(SUM(AB26:AD26)/3)</f>
        <v>100</v>
      </c>
      <c r="AQ26" s="190" t="s">
        <v>695</v>
      </c>
      <c r="AR26" s="276"/>
      <c r="AS26" s="276"/>
      <c r="AT26" s="276"/>
      <c r="AU26" s="276"/>
      <c r="AV26" s="276"/>
      <c r="AW26" s="190"/>
      <c r="AX26" s="190"/>
    </row>
    <row r="27" spans="1:51" s="192" customFormat="1" ht="30" hidden="1" customHeight="1" x14ac:dyDescent="0.25">
      <c r="A27" s="171">
        <v>21</v>
      </c>
      <c r="B27" s="183" t="s">
        <v>156</v>
      </c>
      <c r="C27" s="217">
        <v>1.03</v>
      </c>
      <c r="D27" s="183" t="s">
        <v>106</v>
      </c>
      <c r="E27" s="183" t="s">
        <v>159</v>
      </c>
      <c r="F27" s="211"/>
      <c r="G27" s="218" t="s">
        <v>160</v>
      </c>
      <c r="H27" s="250" t="s">
        <v>563</v>
      </c>
      <c r="I27" s="187" t="s">
        <v>243</v>
      </c>
      <c r="J27" s="129">
        <v>0.5</v>
      </c>
      <c r="K27" s="129"/>
      <c r="L27" s="129"/>
      <c r="M27" s="186">
        <v>332</v>
      </c>
      <c r="N27" s="128">
        <f t="shared" si="6"/>
        <v>3</v>
      </c>
      <c r="O27" s="128">
        <f>IF(M27="",0,IF(M27&lt;=SelectionCriteria!$G$5,1, IF(M27&lt;=SelectionCriteria!$G$4,2, IF(M27&lt;=SelectionCriteria!$G$3,3,4))))</f>
        <v>4</v>
      </c>
      <c r="P27" s="128">
        <f t="shared" ref="P27:P37" si="33">IF(K27="",0,IF(K27="Negligible",1,IF(K27="Low",2,IF(K27="Moderate",3,4))))</f>
        <v>0</v>
      </c>
      <c r="Q27" s="128">
        <f t="shared" ref="Q27:Q37" si="34">IF(L27="",0,IF(L27="Negligible",1,IF(L27="Low",2,IF(L27="Moderate",3,4))))</f>
        <v>0</v>
      </c>
      <c r="R27" s="179">
        <f t="shared" ref="R27:R37" si="35">N27*((O27+P27+Q27)/3)</f>
        <v>4</v>
      </c>
      <c r="S27" s="179"/>
      <c r="T27" s="180" t="str">
        <f t="shared" si="7"/>
        <v>High</v>
      </c>
      <c r="U27" s="187" t="s">
        <v>244</v>
      </c>
      <c r="V27" s="187"/>
      <c r="W27" s="188"/>
      <c r="X27" s="187"/>
      <c r="Y27" s="129">
        <v>0</v>
      </c>
      <c r="Z27" s="129"/>
      <c r="AA27" s="129"/>
      <c r="AB27" s="128">
        <v>0</v>
      </c>
      <c r="AC27" s="128">
        <v>80</v>
      </c>
      <c r="AD27" s="128">
        <v>160</v>
      </c>
      <c r="AE27" s="189">
        <v>0</v>
      </c>
      <c r="AF27" s="189">
        <v>0</v>
      </c>
      <c r="AG27" s="189">
        <v>0</v>
      </c>
      <c r="AH27" s="128">
        <f t="shared" si="2"/>
        <v>0</v>
      </c>
      <c r="AI27" s="128">
        <f>IF(AC27="",0,IF(AC27&lt;=SelectionCriteria!$G$5,1, IF(AC27&lt;=SelectionCriteria!$G$4,2, IF(AC27&lt;=SelectionCriteria!$G$3,3,4))))</f>
        <v>2</v>
      </c>
      <c r="AJ27" s="128">
        <f t="shared" si="14"/>
        <v>0</v>
      </c>
      <c r="AK27" s="128">
        <f t="shared" si="15"/>
        <v>0</v>
      </c>
      <c r="AL27" s="179">
        <f t="shared" si="4"/>
        <v>0</v>
      </c>
      <c r="AM27" s="4" t="str">
        <f t="shared" si="12"/>
        <v>Not Residual</v>
      </c>
      <c r="AN27" s="129"/>
      <c r="AO27" s="179">
        <f t="shared" si="9"/>
        <v>0</v>
      </c>
      <c r="AP27" s="179">
        <f t="shared" si="10"/>
        <v>0</v>
      </c>
      <c r="AQ27" s="190"/>
      <c r="AR27" s="86" t="str">
        <f t="shared" si="13"/>
        <v>Not Residual</v>
      </c>
      <c r="AS27" s="86" t="str">
        <f t="shared" si="5"/>
        <v>Not Residual</v>
      </c>
      <c r="AT27" s="86"/>
      <c r="AU27" s="86"/>
      <c r="AV27" s="86"/>
      <c r="AW27" s="86" t="s">
        <v>630</v>
      </c>
      <c r="AX27" s="86"/>
      <c r="AY27" s="192" t="s">
        <v>620</v>
      </c>
    </row>
    <row r="28" spans="1:51" s="192" customFormat="1" ht="30" hidden="1" customHeight="1" x14ac:dyDescent="0.25">
      <c r="A28" s="171">
        <v>22</v>
      </c>
      <c r="B28" s="183" t="s">
        <v>157</v>
      </c>
      <c r="C28" s="217">
        <v>1.03</v>
      </c>
      <c r="D28" s="183" t="s">
        <v>106</v>
      </c>
      <c r="E28" s="183" t="s">
        <v>159</v>
      </c>
      <c r="F28" s="211"/>
      <c r="G28" s="218" t="s">
        <v>160</v>
      </c>
      <c r="H28" s="250" t="s">
        <v>162</v>
      </c>
      <c r="I28" s="187" t="s">
        <v>258</v>
      </c>
      <c r="J28" s="129">
        <v>0.1</v>
      </c>
      <c r="K28" s="129"/>
      <c r="L28" s="129"/>
      <c r="M28" s="186">
        <v>868</v>
      </c>
      <c r="N28" s="128">
        <f t="shared" si="6"/>
        <v>2</v>
      </c>
      <c r="O28" s="128">
        <f>IF(M28="",0,IF(M28&lt;=SelectionCriteria!$G$5,1, IF(M28&lt;=SelectionCriteria!$G$4,2, IF(M28&lt;=SelectionCriteria!$G$3,3,4))))</f>
        <v>4</v>
      </c>
      <c r="P28" s="128">
        <f t="shared" si="33"/>
        <v>0</v>
      </c>
      <c r="Q28" s="128">
        <f t="shared" si="34"/>
        <v>0</v>
      </c>
      <c r="R28" s="179">
        <f t="shared" si="35"/>
        <v>2.6666666666666665</v>
      </c>
      <c r="S28" s="179"/>
      <c r="T28" s="180" t="str">
        <f t="shared" si="7"/>
        <v>Moderate</v>
      </c>
      <c r="U28" s="187" t="s">
        <v>245</v>
      </c>
      <c r="V28" s="187"/>
      <c r="W28" s="188"/>
      <c r="X28" s="187"/>
      <c r="Y28" s="129">
        <v>0</v>
      </c>
      <c r="Z28" s="129"/>
      <c r="AA28" s="129"/>
      <c r="AB28" s="128"/>
      <c r="AC28" s="128"/>
      <c r="AD28" s="128"/>
      <c r="AE28" s="189"/>
      <c r="AF28" s="189"/>
      <c r="AG28" s="189"/>
      <c r="AH28" s="128">
        <f t="shared" si="2"/>
        <v>0</v>
      </c>
      <c r="AI28" s="128">
        <f>IF(AC28="",0,IF(AC28&lt;=SelectionCriteria!$G$5,1, IF(AC28&lt;=SelectionCriteria!$G$4,2, IF(AC28&lt;=SelectionCriteria!$G$3,3,4))))</f>
        <v>0</v>
      </c>
      <c r="AJ28" s="128">
        <f t="shared" si="14"/>
        <v>0</v>
      </c>
      <c r="AK28" s="128">
        <f t="shared" si="15"/>
        <v>0</v>
      </c>
      <c r="AL28" s="179">
        <f t="shared" si="4"/>
        <v>0</v>
      </c>
      <c r="AM28" s="4" t="str">
        <f t="shared" si="12"/>
        <v>Not Residual</v>
      </c>
      <c r="AN28" s="129"/>
      <c r="AO28" s="179">
        <f t="shared" si="9"/>
        <v>0</v>
      </c>
      <c r="AP28" s="179">
        <f t="shared" si="10"/>
        <v>0</v>
      </c>
      <c r="AQ28" s="190"/>
      <c r="AR28" s="86" t="str">
        <f t="shared" si="13"/>
        <v>Not Residual</v>
      </c>
      <c r="AS28" s="86" t="str">
        <f t="shared" si="5"/>
        <v>Not Residual</v>
      </c>
      <c r="AT28" s="86"/>
      <c r="AU28" s="86"/>
      <c r="AV28" s="86"/>
      <c r="AW28" s="86" t="s">
        <v>631</v>
      </c>
      <c r="AX28" s="86"/>
      <c r="AY28" s="192" t="s">
        <v>620</v>
      </c>
    </row>
    <row r="29" spans="1:51" s="192" customFormat="1" ht="30" hidden="1" customHeight="1" x14ac:dyDescent="0.25">
      <c r="A29" s="171">
        <v>23</v>
      </c>
      <c r="B29" s="183" t="s">
        <v>158</v>
      </c>
      <c r="C29" s="217">
        <v>1.03</v>
      </c>
      <c r="D29" s="183" t="s">
        <v>106</v>
      </c>
      <c r="E29" s="183" t="s">
        <v>159</v>
      </c>
      <c r="F29" s="211"/>
      <c r="G29" s="218" t="s">
        <v>160</v>
      </c>
      <c r="H29" s="250" t="s">
        <v>163</v>
      </c>
      <c r="I29" s="187" t="s">
        <v>257</v>
      </c>
      <c r="J29" s="129">
        <v>0.05</v>
      </c>
      <c r="K29" s="129" t="s">
        <v>1</v>
      </c>
      <c r="L29" s="129"/>
      <c r="M29" s="186">
        <v>300</v>
      </c>
      <c r="N29" s="128">
        <f t="shared" si="6"/>
        <v>2</v>
      </c>
      <c r="O29" s="128">
        <f>IF(M29="",0,IF(M29&lt;=SelectionCriteria!$G$5,1, IF(M29&lt;=SelectionCriteria!$G$4,2, IF(M29&lt;=SelectionCriteria!$G$3,3,4))))</f>
        <v>4</v>
      </c>
      <c r="P29" s="128">
        <f t="shared" si="33"/>
        <v>1</v>
      </c>
      <c r="Q29" s="128">
        <f t="shared" si="34"/>
        <v>0</v>
      </c>
      <c r="R29" s="179">
        <f t="shared" si="35"/>
        <v>3.3333333333333335</v>
      </c>
      <c r="S29" s="179"/>
      <c r="T29" s="180" t="str">
        <f t="shared" si="7"/>
        <v>High</v>
      </c>
      <c r="U29" s="187" t="s">
        <v>246</v>
      </c>
      <c r="V29" s="187"/>
      <c r="W29" s="188"/>
      <c r="X29" s="187"/>
      <c r="Y29" s="129">
        <v>0</v>
      </c>
      <c r="Z29" s="129"/>
      <c r="AA29" s="129"/>
      <c r="AB29" s="129"/>
      <c r="AC29" s="129"/>
      <c r="AD29" s="129"/>
      <c r="AE29" s="129"/>
      <c r="AF29" s="129"/>
      <c r="AG29" s="129"/>
      <c r="AH29" s="128">
        <f t="shared" si="2"/>
        <v>0</v>
      </c>
      <c r="AI29" s="128">
        <f>IF(AC29="",0,IF(AC29&lt;=SelectionCriteria!$G$5,1, IF(AC29&lt;=SelectionCriteria!$G$4,2, IF(AC29&lt;=SelectionCriteria!$G$3,3,4))))</f>
        <v>0</v>
      </c>
      <c r="AJ29" s="128">
        <f t="shared" si="14"/>
        <v>0</v>
      </c>
      <c r="AK29" s="128">
        <f t="shared" si="15"/>
        <v>0</v>
      </c>
      <c r="AL29" s="179">
        <f t="shared" si="4"/>
        <v>0</v>
      </c>
      <c r="AM29" s="4" t="str">
        <f t="shared" si="12"/>
        <v>Not Residual</v>
      </c>
      <c r="AN29" s="129"/>
      <c r="AO29" s="179">
        <f t="shared" si="9"/>
        <v>0</v>
      </c>
      <c r="AP29" s="179">
        <f t="shared" si="10"/>
        <v>0</v>
      </c>
      <c r="AQ29" s="190" t="s">
        <v>289</v>
      </c>
      <c r="AR29" s="86" t="str">
        <f t="shared" si="13"/>
        <v>Not Residual</v>
      </c>
      <c r="AS29" s="86" t="str">
        <f t="shared" si="5"/>
        <v>Not Residual</v>
      </c>
      <c r="AT29" s="86"/>
      <c r="AU29" s="86"/>
      <c r="AV29" s="86"/>
      <c r="AW29" s="86" t="s">
        <v>589</v>
      </c>
      <c r="AX29" s="86"/>
      <c r="AY29" s="192" t="s">
        <v>620</v>
      </c>
    </row>
    <row r="30" spans="1:51" s="192" customFormat="1" ht="28.5" customHeight="1" x14ac:dyDescent="0.25">
      <c r="A30" s="171">
        <v>24</v>
      </c>
      <c r="B30" s="209" t="s">
        <v>164</v>
      </c>
      <c r="C30" s="210" t="s">
        <v>303</v>
      </c>
      <c r="D30" s="183" t="s">
        <v>106</v>
      </c>
      <c r="E30" s="183" t="s">
        <v>159</v>
      </c>
      <c r="F30" s="211"/>
      <c r="G30" s="212" t="s">
        <v>160</v>
      </c>
      <c r="H30" s="250" t="s">
        <v>167</v>
      </c>
      <c r="I30" s="187" t="s">
        <v>256</v>
      </c>
      <c r="J30" s="129">
        <v>0.25</v>
      </c>
      <c r="K30" s="129" t="s">
        <v>1</v>
      </c>
      <c r="L30" s="129"/>
      <c r="M30" s="186">
        <v>50</v>
      </c>
      <c r="N30" s="128">
        <f t="shared" si="6"/>
        <v>3</v>
      </c>
      <c r="O30" s="128">
        <f>IF(M30="",0,IF(M30&lt;=SelectionCriteria!$G$5,1, IF(M30&lt;=SelectionCriteria!$G$4,2, IF(M30&lt;=SelectionCriteria!$G$3,3,4))))</f>
        <v>2</v>
      </c>
      <c r="P30" s="128">
        <f t="shared" si="33"/>
        <v>1</v>
      </c>
      <c r="Q30" s="128">
        <f t="shared" si="34"/>
        <v>0</v>
      </c>
      <c r="R30" s="179">
        <f t="shared" si="35"/>
        <v>3</v>
      </c>
      <c r="S30" s="179"/>
      <c r="T30" s="180" t="str">
        <f t="shared" si="7"/>
        <v>Moderate</v>
      </c>
      <c r="U30" s="187" t="s">
        <v>247</v>
      </c>
      <c r="V30" s="187"/>
      <c r="W30" s="188"/>
      <c r="X30" s="187"/>
      <c r="Y30" s="262">
        <v>0.1</v>
      </c>
      <c r="Z30" s="220" t="s">
        <v>2</v>
      </c>
      <c r="AA30" s="129"/>
      <c r="AB30" s="263">
        <v>0</v>
      </c>
      <c r="AC30" s="263">
        <v>0</v>
      </c>
      <c r="AD30" s="263">
        <v>0</v>
      </c>
      <c r="AE30" s="264">
        <v>0.2</v>
      </c>
      <c r="AF30" s="264">
        <v>0.5</v>
      </c>
      <c r="AG30" s="264">
        <v>1</v>
      </c>
      <c r="AH30" s="128">
        <f t="shared" si="2"/>
        <v>2</v>
      </c>
      <c r="AI30" s="128">
        <f>IF(AC30="",0,IF(AC30&lt;=SelectionCriteria!$G$5,1, IF(AC30&lt;=SelectionCriteria!$G$4,2, IF(AC30&lt;=SelectionCriteria!$G$3,3,4))))</f>
        <v>1</v>
      </c>
      <c r="AJ30" s="128">
        <f t="shared" si="14"/>
        <v>2</v>
      </c>
      <c r="AK30" s="128">
        <f t="shared" si="15"/>
        <v>0</v>
      </c>
      <c r="AL30" s="179">
        <f t="shared" si="4"/>
        <v>2</v>
      </c>
      <c r="AM30" s="259" t="str">
        <f t="shared" si="12"/>
        <v>Low</v>
      </c>
      <c r="AN30" s="129"/>
      <c r="AO30" s="179">
        <f t="shared" si="9"/>
        <v>0</v>
      </c>
      <c r="AP30" s="179">
        <f t="shared" si="10"/>
        <v>0</v>
      </c>
      <c r="AQ30" s="190" t="s">
        <v>672</v>
      </c>
      <c r="AR30" s="86" t="str">
        <f t="shared" si="13"/>
        <v>Unlikely</v>
      </c>
      <c r="AS30" s="86" t="str">
        <f t="shared" si="5"/>
        <v>Low</v>
      </c>
      <c r="AT30" s="86"/>
      <c r="AU30" s="86"/>
      <c r="AV30" s="86"/>
      <c r="AW30" s="190"/>
      <c r="AX30" s="190"/>
    </row>
    <row r="31" spans="1:51" s="192" customFormat="1" ht="28.5" customHeight="1" x14ac:dyDescent="0.25">
      <c r="A31" s="171">
        <v>25</v>
      </c>
      <c r="B31" s="209" t="s">
        <v>165</v>
      </c>
      <c r="C31" s="210" t="s">
        <v>304</v>
      </c>
      <c r="D31" s="183" t="s">
        <v>106</v>
      </c>
      <c r="E31" s="183" t="s">
        <v>159</v>
      </c>
      <c r="F31" s="211"/>
      <c r="G31" s="212" t="s">
        <v>160</v>
      </c>
      <c r="H31" s="250" t="s">
        <v>168</v>
      </c>
      <c r="I31" s="187" t="s">
        <v>255</v>
      </c>
      <c r="J31" s="129">
        <v>0.4</v>
      </c>
      <c r="K31" s="129" t="s">
        <v>1</v>
      </c>
      <c r="L31" s="129"/>
      <c r="M31" s="186">
        <v>30</v>
      </c>
      <c r="N31" s="128">
        <f t="shared" si="6"/>
        <v>3</v>
      </c>
      <c r="O31" s="128">
        <f>IF(M31="",0,IF(M31&lt;=SelectionCriteria!$G$5,1, IF(M31&lt;=SelectionCriteria!$G$4,2, IF(M31&lt;=SelectionCriteria!$G$3,3,4))))</f>
        <v>2</v>
      </c>
      <c r="P31" s="128">
        <f t="shared" si="33"/>
        <v>1</v>
      </c>
      <c r="Q31" s="128">
        <f t="shared" si="34"/>
        <v>0</v>
      </c>
      <c r="R31" s="179">
        <f t="shared" si="35"/>
        <v>3</v>
      </c>
      <c r="S31" s="179"/>
      <c r="T31" s="180" t="str">
        <f t="shared" si="7"/>
        <v>Moderate</v>
      </c>
      <c r="U31" s="187" t="s">
        <v>248</v>
      </c>
      <c r="V31" s="187"/>
      <c r="W31" s="188"/>
      <c r="X31" s="187"/>
      <c r="Y31" s="262">
        <v>0.1</v>
      </c>
      <c r="Z31" s="220" t="s">
        <v>2</v>
      </c>
      <c r="AA31" s="129"/>
      <c r="AB31" s="263">
        <v>0</v>
      </c>
      <c r="AC31" s="263">
        <v>0</v>
      </c>
      <c r="AD31" s="263">
        <v>0</v>
      </c>
      <c r="AE31" s="264">
        <v>0.2</v>
      </c>
      <c r="AF31" s="264">
        <v>0.5</v>
      </c>
      <c r="AG31" s="264">
        <v>1</v>
      </c>
      <c r="AH31" s="128">
        <f t="shared" si="2"/>
        <v>2</v>
      </c>
      <c r="AI31" s="128">
        <f>IF(AC31="",0,IF(AC31&lt;=SelectionCriteria!$G$5,1, IF(AC31&lt;=SelectionCriteria!$G$4,2, IF(AC31&lt;=SelectionCriteria!$G$3,3,4))))</f>
        <v>1</v>
      </c>
      <c r="AJ31" s="128">
        <f t="shared" si="14"/>
        <v>2</v>
      </c>
      <c r="AK31" s="128">
        <f t="shared" si="15"/>
        <v>0</v>
      </c>
      <c r="AL31" s="179">
        <f t="shared" si="4"/>
        <v>2</v>
      </c>
      <c r="AM31" s="259" t="str">
        <f t="shared" si="12"/>
        <v>Low</v>
      </c>
      <c r="AN31" s="129"/>
      <c r="AO31" s="179">
        <f t="shared" si="9"/>
        <v>0</v>
      </c>
      <c r="AP31" s="179">
        <f t="shared" si="10"/>
        <v>0</v>
      </c>
      <c r="AQ31" s="190" t="s">
        <v>672</v>
      </c>
      <c r="AR31" s="86" t="str">
        <f t="shared" si="13"/>
        <v>Unlikely</v>
      </c>
      <c r="AS31" s="86" t="str">
        <f t="shared" si="5"/>
        <v>Low</v>
      </c>
      <c r="AT31" s="86"/>
      <c r="AU31" s="86"/>
      <c r="AV31" s="86"/>
      <c r="AW31" s="190"/>
      <c r="AX31" s="190"/>
    </row>
    <row r="32" spans="1:51" s="192" customFormat="1" ht="30" hidden="1" customHeight="1" x14ac:dyDescent="0.25">
      <c r="A32" s="171">
        <v>26</v>
      </c>
      <c r="B32" s="183" t="s">
        <v>166</v>
      </c>
      <c r="C32" s="217">
        <v>1.03</v>
      </c>
      <c r="D32" s="183" t="s">
        <v>106</v>
      </c>
      <c r="E32" s="183" t="s">
        <v>159</v>
      </c>
      <c r="F32" s="211"/>
      <c r="G32" s="218" t="s">
        <v>160</v>
      </c>
      <c r="H32" s="250" t="s">
        <v>170</v>
      </c>
      <c r="I32" s="187" t="s">
        <v>254</v>
      </c>
      <c r="J32" s="129">
        <v>0.3</v>
      </c>
      <c r="K32" s="129"/>
      <c r="L32" s="129"/>
      <c r="M32" s="186">
        <v>58</v>
      </c>
      <c r="N32" s="128">
        <f t="shared" si="6"/>
        <v>3</v>
      </c>
      <c r="O32" s="128">
        <f>IF(M32="",0,IF(M32&lt;=SelectionCriteria!$G$5,1, IF(M32&lt;=SelectionCriteria!$G$4,2, IF(M32&lt;=SelectionCriteria!$G$3,3,4))))</f>
        <v>2</v>
      </c>
      <c r="P32" s="128">
        <f t="shared" si="33"/>
        <v>0</v>
      </c>
      <c r="Q32" s="128">
        <f t="shared" si="34"/>
        <v>0</v>
      </c>
      <c r="R32" s="179">
        <f t="shared" si="35"/>
        <v>2</v>
      </c>
      <c r="S32" s="179"/>
      <c r="T32" s="180" t="str">
        <f t="shared" si="7"/>
        <v>Low</v>
      </c>
      <c r="U32" s="187" t="s">
        <v>249</v>
      </c>
      <c r="V32" s="187"/>
      <c r="W32" s="188"/>
      <c r="X32" s="187"/>
      <c r="Y32" s="129">
        <v>0</v>
      </c>
      <c r="Z32" s="129"/>
      <c r="AA32" s="129"/>
      <c r="AB32" s="128">
        <v>0</v>
      </c>
      <c r="AC32" s="128">
        <v>0</v>
      </c>
      <c r="AD32" s="128">
        <v>0</v>
      </c>
      <c r="AE32" s="189">
        <v>0.5</v>
      </c>
      <c r="AF32" s="189">
        <v>1</v>
      </c>
      <c r="AG32" s="189">
        <v>4</v>
      </c>
      <c r="AH32" s="128">
        <f t="shared" si="2"/>
        <v>0</v>
      </c>
      <c r="AI32" s="128">
        <f>IF(AC32="",0,IF(AC32&lt;=SelectionCriteria!$G$5,1, IF(AC32&lt;=SelectionCriteria!$G$4,2, IF(AC32&lt;=SelectionCriteria!$G$3,3,4))))</f>
        <v>1</v>
      </c>
      <c r="AJ32" s="128">
        <f t="shared" si="14"/>
        <v>0</v>
      </c>
      <c r="AK32" s="128">
        <f t="shared" si="15"/>
        <v>0</v>
      </c>
      <c r="AL32" s="179">
        <f t="shared" si="4"/>
        <v>0</v>
      </c>
      <c r="AM32" s="4" t="str">
        <f t="shared" si="12"/>
        <v>Not Residual</v>
      </c>
      <c r="AN32" s="129"/>
      <c r="AO32" s="179">
        <f t="shared" si="9"/>
        <v>0</v>
      </c>
      <c r="AP32" s="179">
        <f t="shared" si="10"/>
        <v>0</v>
      </c>
      <c r="AQ32" s="190"/>
      <c r="AR32" s="86" t="str">
        <f t="shared" si="13"/>
        <v>Not Residual</v>
      </c>
      <c r="AS32" s="86" t="str">
        <f t="shared" si="5"/>
        <v>Not Residual</v>
      </c>
      <c r="AT32" s="86"/>
      <c r="AU32" s="86"/>
      <c r="AV32" s="86"/>
      <c r="AW32" s="86" t="s">
        <v>357</v>
      </c>
      <c r="AX32" s="86"/>
      <c r="AY32" s="192" t="s">
        <v>620</v>
      </c>
    </row>
    <row r="33" spans="1:143" s="192" customFormat="1" ht="30" hidden="1" customHeight="1" x14ac:dyDescent="0.25">
      <c r="A33" s="171">
        <v>27</v>
      </c>
      <c r="B33" s="209" t="s">
        <v>171</v>
      </c>
      <c r="C33" s="210" t="s">
        <v>305</v>
      </c>
      <c r="D33" s="183" t="s">
        <v>106</v>
      </c>
      <c r="E33" s="183" t="s">
        <v>159</v>
      </c>
      <c r="F33" s="211"/>
      <c r="G33" s="212" t="s">
        <v>160</v>
      </c>
      <c r="H33" s="250" t="s">
        <v>583</v>
      </c>
      <c r="I33" s="187" t="s">
        <v>253</v>
      </c>
      <c r="J33" s="129">
        <v>0.15</v>
      </c>
      <c r="K33" s="129" t="s">
        <v>2</v>
      </c>
      <c r="L33" s="129"/>
      <c r="M33" s="186">
        <v>169</v>
      </c>
      <c r="N33" s="128">
        <f t="shared" si="6"/>
        <v>3</v>
      </c>
      <c r="O33" s="128">
        <f>IF(M33="",0,IF(M33&lt;=SelectionCriteria!$G$5,1, IF(M33&lt;=SelectionCriteria!$G$4,2, IF(M33&lt;=SelectionCriteria!$G$3,3,4))))</f>
        <v>3</v>
      </c>
      <c r="P33" s="128">
        <f t="shared" si="33"/>
        <v>2</v>
      </c>
      <c r="Q33" s="128">
        <f t="shared" si="34"/>
        <v>0</v>
      </c>
      <c r="R33" s="179">
        <f t="shared" si="35"/>
        <v>5</v>
      </c>
      <c r="S33" s="179"/>
      <c r="T33" s="180" t="str">
        <f t="shared" si="7"/>
        <v>High</v>
      </c>
      <c r="U33" s="187" t="s">
        <v>250</v>
      </c>
      <c r="V33" s="187"/>
      <c r="W33" s="188"/>
      <c r="X33" s="187"/>
      <c r="Y33" s="220">
        <v>0</v>
      </c>
      <c r="Z33" s="220" t="s">
        <v>2</v>
      </c>
      <c r="AA33" s="129"/>
      <c r="AB33" s="221">
        <v>300</v>
      </c>
      <c r="AC33" s="221">
        <v>300</v>
      </c>
      <c r="AD33" s="221">
        <v>300</v>
      </c>
      <c r="AE33" s="222">
        <v>0.25</v>
      </c>
      <c r="AF33" s="222">
        <v>0.5</v>
      </c>
      <c r="AG33" s="222">
        <v>1.5</v>
      </c>
      <c r="AH33" s="128">
        <f t="shared" si="2"/>
        <v>0</v>
      </c>
      <c r="AI33" s="128">
        <f>IF(AC33="",0,IF(AC33&lt;=SelectionCriteria!$G$5,1, IF(AC33&lt;=SelectionCriteria!$G$4,2, IF(AC33&lt;=SelectionCriteria!$G$3,3,4))))</f>
        <v>4</v>
      </c>
      <c r="AJ33" s="128">
        <f t="shared" si="14"/>
        <v>2</v>
      </c>
      <c r="AK33" s="128">
        <f t="shared" si="15"/>
        <v>0</v>
      </c>
      <c r="AL33" s="179">
        <f t="shared" si="4"/>
        <v>0</v>
      </c>
      <c r="AM33" s="4" t="str">
        <f t="shared" si="12"/>
        <v>Not Residual</v>
      </c>
      <c r="AN33" s="129"/>
      <c r="AO33" s="179">
        <f t="shared" si="9"/>
        <v>0</v>
      </c>
      <c r="AP33" s="179">
        <f t="shared" si="10"/>
        <v>0</v>
      </c>
      <c r="AQ33" s="190" t="s">
        <v>250</v>
      </c>
      <c r="AR33" s="86" t="str">
        <f t="shared" si="13"/>
        <v>Not Residual</v>
      </c>
      <c r="AS33" s="86" t="str">
        <f t="shared" si="5"/>
        <v>Not Residual</v>
      </c>
      <c r="AT33" s="86"/>
      <c r="AU33" s="86"/>
      <c r="AV33" s="86"/>
      <c r="AW33" s="86" t="s">
        <v>599</v>
      </c>
      <c r="AX33" s="86" t="s">
        <v>602</v>
      </c>
      <c r="AY33" s="192" t="s">
        <v>619</v>
      </c>
    </row>
    <row r="34" spans="1:143" s="192" customFormat="1" ht="30" hidden="1" customHeight="1" x14ac:dyDescent="0.25">
      <c r="A34" s="171">
        <v>28</v>
      </c>
      <c r="B34" s="183" t="s">
        <v>172</v>
      </c>
      <c r="C34" s="217">
        <v>1.03</v>
      </c>
      <c r="D34" s="183" t="s">
        <v>106</v>
      </c>
      <c r="E34" s="183" t="s">
        <v>159</v>
      </c>
      <c r="F34" s="211"/>
      <c r="G34" s="218" t="s">
        <v>160</v>
      </c>
      <c r="H34" s="250" t="s">
        <v>173</v>
      </c>
      <c r="I34" s="187" t="s">
        <v>252</v>
      </c>
      <c r="J34" s="129">
        <v>0.1</v>
      </c>
      <c r="K34" s="129"/>
      <c r="L34" s="129"/>
      <c r="M34" s="186">
        <v>6</v>
      </c>
      <c r="N34" s="128">
        <f>IF(J34=0,0,IF(J34&lt;=0.01,1, IF(J34&lt;=0.1,2, IF(J34&lt;=0.5,3,4))))</f>
        <v>2</v>
      </c>
      <c r="O34" s="128">
        <f>IF(M34="",0,IF(M34&lt;=SelectionCriteria!$G$5,1, IF(M34&lt;=SelectionCriteria!$G$4,2, IF(M34&lt;=SelectionCriteria!$G$3,3,4))))</f>
        <v>1</v>
      </c>
      <c r="P34" s="128">
        <f t="shared" ref="P34:Q36" si="36">IF(K34="",0,IF(K34="Negligible",1,IF(K34="Low",2,IF(K34="Moderate",3,4))))</f>
        <v>0</v>
      </c>
      <c r="Q34" s="128">
        <f t="shared" si="36"/>
        <v>0</v>
      </c>
      <c r="R34" s="179">
        <f>N34*((O34+P34+Q34)/3)</f>
        <v>0.66666666666666663</v>
      </c>
      <c r="S34" s="179"/>
      <c r="T34" s="180" t="str">
        <f t="shared" si="7"/>
        <v>Negligible</v>
      </c>
      <c r="U34" s="187" t="s">
        <v>251</v>
      </c>
      <c r="V34" s="187"/>
      <c r="W34" s="188"/>
      <c r="X34" s="187"/>
      <c r="Y34" s="129">
        <v>0</v>
      </c>
      <c r="Z34" s="129"/>
      <c r="AA34" s="129"/>
      <c r="AB34" s="128"/>
      <c r="AC34" s="128"/>
      <c r="AD34" s="128"/>
      <c r="AE34" s="189"/>
      <c r="AF34" s="189"/>
      <c r="AG34" s="189"/>
      <c r="AH34" s="128">
        <f>IF(Y34=0,0,IF(Y34&lt;=0.01,1, IF(Y34&lt;=0.1,2, IF(Y34&lt;=0.5,3,4))))</f>
        <v>0</v>
      </c>
      <c r="AI34" s="128">
        <f>IF(AC34="",0,IF(AC34&lt;=SelectionCriteria!$G$5,1, IF(AC34&lt;=SelectionCriteria!$G$4,2, IF(AC34&lt;=SelectionCriteria!$G$3,3,4))))</f>
        <v>0</v>
      </c>
      <c r="AJ34" s="128">
        <f>IF(Z34="",0,IF(Z34="Negligible",1,IF(Z34="Low",2,IF(Z34="Moderate",3,4))))</f>
        <v>0</v>
      </c>
      <c r="AK34" s="128">
        <f>IF(AA34="",0,IF(AA34="Negligible",1,IF(AA34="Low",2,IF(AA34="Moderate",3,4))))</f>
        <v>0</v>
      </c>
      <c r="AL34" s="179">
        <f>AH34*((AI34+AJ34+AK34)/3)</f>
        <v>0</v>
      </c>
      <c r="AM34" s="4" t="str">
        <f t="shared" si="12"/>
        <v>Not Residual</v>
      </c>
      <c r="AN34" s="129"/>
      <c r="AO34" s="179">
        <f t="shared" si="9"/>
        <v>0</v>
      </c>
      <c r="AP34" s="179">
        <f t="shared" si="10"/>
        <v>0</v>
      </c>
      <c r="AQ34" s="190"/>
      <c r="AR34" s="86" t="str">
        <f t="shared" si="13"/>
        <v>Not Residual</v>
      </c>
      <c r="AS34" s="86" t="str">
        <f t="shared" si="5"/>
        <v>Not Residual</v>
      </c>
      <c r="AT34" s="86"/>
      <c r="AU34" s="86"/>
      <c r="AV34" s="86"/>
      <c r="AW34" s="86" t="s">
        <v>329</v>
      </c>
      <c r="AX34" s="86"/>
      <c r="AY34" s="192" t="s">
        <v>620</v>
      </c>
    </row>
    <row r="35" spans="1:143" s="192" customFormat="1" ht="30" customHeight="1" x14ac:dyDescent="0.25">
      <c r="A35" s="171">
        <v>29</v>
      </c>
      <c r="B35" s="209" t="s">
        <v>282</v>
      </c>
      <c r="C35" s="210">
        <v>172800</v>
      </c>
      <c r="D35" s="183" t="s">
        <v>106</v>
      </c>
      <c r="E35" s="183" t="s">
        <v>159</v>
      </c>
      <c r="F35" s="211"/>
      <c r="G35" s="212" t="s">
        <v>160</v>
      </c>
      <c r="H35" s="250" t="s">
        <v>318</v>
      </c>
      <c r="I35" s="187" t="s">
        <v>286</v>
      </c>
      <c r="J35" s="129">
        <v>0</v>
      </c>
      <c r="K35" s="129"/>
      <c r="L35" s="129"/>
      <c r="M35" s="186">
        <v>0</v>
      </c>
      <c r="N35" s="128">
        <f>IF(J35=0,0,IF(J35&lt;=0.01,1, IF(J35&lt;=0.1,2, IF(J35&lt;=0.5,3,4))))</f>
        <v>0</v>
      </c>
      <c r="O35" s="128">
        <f>IF(M35="",0,IF(M35&lt;=SelectionCriteria!$G$5,1, IF(M35&lt;=SelectionCriteria!$G$4,2, IF(M35&lt;=SelectionCriteria!$G$3,3,4))))</f>
        <v>1</v>
      </c>
      <c r="P35" s="128">
        <f t="shared" si="36"/>
        <v>0</v>
      </c>
      <c r="Q35" s="128">
        <f t="shared" si="36"/>
        <v>0</v>
      </c>
      <c r="R35" s="179">
        <f>N35*((O35+P35+Q35)/3)</f>
        <v>0</v>
      </c>
      <c r="S35" s="179"/>
      <c r="T35" s="180" t="str">
        <f t="shared" si="7"/>
        <v>Not Primary</v>
      </c>
      <c r="U35" s="187" t="s">
        <v>319</v>
      </c>
      <c r="V35" s="187" t="s">
        <v>315</v>
      </c>
      <c r="W35" s="188"/>
      <c r="X35" s="187"/>
      <c r="Y35" s="262">
        <v>0.05</v>
      </c>
      <c r="Z35" s="220" t="s">
        <v>1</v>
      </c>
      <c r="AA35" s="131"/>
      <c r="AB35" s="367">
        <v>0</v>
      </c>
      <c r="AC35" s="367">
        <v>100</v>
      </c>
      <c r="AD35" s="367">
        <v>0</v>
      </c>
      <c r="AE35" s="367">
        <v>3</v>
      </c>
      <c r="AF35" s="367">
        <v>6</v>
      </c>
      <c r="AG35" s="368">
        <v>6</v>
      </c>
      <c r="AH35" s="128">
        <f t="shared" si="2"/>
        <v>2</v>
      </c>
      <c r="AI35" s="128">
        <f>IF(AC35="",0,IF(AC35&lt;=SelectionCriteria!$G$5,1, IF(AC35&lt;=SelectionCriteria!$G$4,2, IF(AC35&lt;=SelectionCriteria!$G$3,3,4))))</f>
        <v>2</v>
      </c>
      <c r="AJ35" s="128">
        <f t="shared" si="14"/>
        <v>1</v>
      </c>
      <c r="AK35" s="128">
        <f t="shared" si="15"/>
        <v>0</v>
      </c>
      <c r="AL35" s="179">
        <f t="shared" si="4"/>
        <v>2</v>
      </c>
      <c r="AM35" s="259" t="str">
        <f t="shared" si="12"/>
        <v>Low</v>
      </c>
      <c r="AN35" s="129"/>
      <c r="AO35" s="179">
        <f t="shared" si="9"/>
        <v>5</v>
      </c>
      <c r="AP35" s="179">
        <f t="shared" si="10"/>
        <v>1.666666666666667</v>
      </c>
      <c r="AQ35" s="366" t="s">
        <v>285</v>
      </c>
      <c r="AR35" s="86" t="str">
        <f t="shared" si="13"/>
        <v>Unlikely</v>
      </c>
      <c r="AS35" s="86" t="str">
        <f t="shared" si="5"/>
        <v>Low</v>
      </c>
      <c r="AT35" s="190" t="s">
        <v>654</v>
      </c>
      <c r="AU35" s="190"/>
      <c r="AV35" s="190"/>
      <c r="AW35" s="190"/>
      <c r="AX35" s="191"/>
    </row>
    <row r="36" spans="1:143" s="192" customFormat="1" ht="35.25" customHeight="1" x14ac:dyDescent="0.25">
      <c r="A36" s="171">
        <v>30</v>
      </c>
      <c r="B36" s="209" t="s">
        <v>284</v>
      </c>
      <c r="C36" s="210" t="s">
        <v>303</v>
      </c>
      <c r="D36" s="183" t="s">
        <v>106</v>
      </c>
      <c r="E36" s="183" t="s">
        <v>159</v>
      </c>
      <c r="F36" s="211"/>
      <c r="G36" s="212" t="s">
        <v>160</v>
      </c>
      <c r="H36" s="250" t="s">
        <v>320</v>
      </c>
      <c r="I36" s="187" t="s">
        <v>287</v>
      </c>
      <c r="J36" s="129">
        <v>0</v>
      </c>
      <c r="K36" s="129"/>
      <c r="L36" s="129"/>
      <c r="M36" s="186">
        <v>0</v>
      </c>
      <c r="N36" s="128">
        <f>IF(J36=0,0,IF(J36&lt;=0.01,1, IF(J36&lt;=0.1,2, IF(J36&lt;=0.5,3,4))))</f>
        <v>0</v>
      </c>
      <c r="O36" s="128">
        <f>IF(M36="",0,IF(M36&lt;=SelectionCriteria!$G$5,1, IF(M36&lt;=SelectionCriteria!$G$4,2, IF(M36&lt;=SelectionCriteria!$G$3,3,4))))</f>
        <v>1</v>
      </c>
      <c r="P36" s="128">
        <f t="shared" si="36"/>
        <v>0</v>
      </c>
      <c r="Q36" s="128">
        <f t="shared" si="36"/>
        <v>0</v>
      </c>
      <c r="R36" s="179">
        <f>N36*((O36+P36+Q36)/3)</f>
        <v>0</v>
      </c>
      <c r="S36" s="179"/>
      <c r="T36" s="180" t="str">
        <f t="shared" si="7"/>
        <v>Not Primary</v>
      </c>
      <c r="U36" s="187" t="s">
        <v>319</v>
      </c>
      <c r="V36" s="187" t="s">
        <v>316</v>
      </c>
      <c r="W36" s="188"/>
      <c r="X36" s="187"/>
      <c r="Y36" s="262">
        <v>0.1</v>
      </c>
      <c r="Z36" s="220" t="s">
        <v>3</v>
      </c>
      <c r="AA36" s="131"/>
      <c r="AB36" s="367">
        <v>0</v>
      </c>
      <c r="AC36" s="367">
        <v>0</v>
      </c>
      <c r="AD36" s="367">
        <v>0</v>
      </c>
      <c r="AE36" s="367">
        <v>3</v>
      </c>
      <c r="AF36" s="367">
        <v>6</v>
      </c>
      <c r="AG36" s="368">
        <v>6</v>
      </c>
      <c r="AH36" s="128">
        <f t="shared" si="2"/>
        <v>2</v>
      </c>
      <c r="AI36" s="128">
        <f>IF(AC36="",0,IF(AC36&lt;=SelectionCriteria!$G$5,1, IF(AC36&lt;=SelectionCriteria!$G$4,2, IF(AC36&lt;=SelectionCriteria!$G$3,3,4))))</f>
        <v>1</v>
      </c>
      <c r="AJ36" s="128">
        <f t="shared" si="14"/>
        <v>3</v>
      </c>
      <c r="AK36" s="128">
        <f t="shared" si="15"/>
        <v>0</v>
      </c>
      <c r="AL36" s="179">
        <f t="shared" si="4"/>
        <v>2.6666666666666665</v>
      </c>
      <c r="AM36" s="259" t="str">
        <f t="shared" si="12"/>
        <v>Moderate</v>
      </c>
      <c r="AN36" s="129"/>
      <c r="AO36" s="179">
        <f t="shared" si="9"/>
        <v>0</v>
      </c>
      <c r="AP36" s="179">
        <f t="shared" si="10"/>
        <v>0</v>
      </c>
      <c r="AQ36" s="366" t="s">
        <v>283</v>
      </c>
      <c r="AR36" s="86" t="str">
        <f t="shared" si="13"/>
        <v>Unlikely</v>
      </c>
      <c r="AS36" s="86" t="str">
        <f t="shared" si="5"/>
        <v>Moderate</v>
      </c>
      <c r="AT36" s="190" t="s">
        <v>655</v>
      </c>
      <c r="AU36" s="190"/>
      <c r="AV36" s="190"/>
      <c r="AW36" s="190"/>
      <c r="AX36" s="191"/>
    </row>
    <row r="37" spans="1:143" s="192" customFormat="1" ht="30" customHeight="1" x14ac:dyDescent="0.25">
      <c r="A37" s="171">
        <v>31</v>
      </c>
      <c r="B37" s="209" t="s">
        <v>290</v>
      </c>
      <c r="C37" s="210" t="s">
        <v>304</v>
      </c>
      <c r="D37" s="183" t="s">
        <v>106</v>
      </c>
      <c r="E37" s="183" t="s">
        <v>159</v>
      </c>
      <c r="F37" s="211"/>
      <c r="G37" s="212" t="s">
        <v>160</v>
      </c>
      <c r="H37" s="250" t="s">
        <v>342</v>
      </c>
      <c r="I37" s="187" t="s">
        <v>673</v>
      </c>
      <c r="J37" s="129">
        <v>0.1</v>
      </c>
      <c r="K37" s="129" t="s">
        <v>3</v>
      </c>
      <c r="L37" s="129"/>
      <c r="M37" s="186">
        <v>6</v>
      </c>
      <c r="N37" s="128">
        <f t="shared" si="6"/>
        <v>2</v>
      </c>
      <c r="O37" s="128">
        <f>IF(M37="",0,IF(M37&lt;=SelectionCriteria!$G$5,1, IF(M37&lt;=SelectionCriteria!$G$4,2, IF(M37&lt;=SelectionCriteria!$G$3,3,4))))</f>
        <v>1</v>
      </c>
      <c r="P37" s="128">
        <f t="shared" si="33"/>
        <v>3</v>
      </c>
      <c r="Q37" s="128">
        <f t="shared" si="34"/>
        <v>0</v>
      </c>
      <c r="R37" s="179">
        <f t="shared" si="35"/>
        <v>2.6666666666666665</v>
      </c>
      <c r="S37" s="179"/>
      <c r="T37" s="180" t="str">
        <f t="shared" si="7"/>
        <v>Moderate</v>
      </c>
      <c r="U37" s="187" t="s">
        <v>319</v>
      </c>
      <c r="V37" s="187" t="s">
        <v>313</v>
      </c>
      <c r="W37" s="188"/>
      <c r="X37" s="187"/>
      <c r="Y37" s="262">
        <v>0.1</v>
      </c>
      <c r="Z37" s="220" t="s">
        <v>3</v>
      </c>
      <c r="AA37" s="129"/>
      <c r="AB37" s="263">
        <v>0</v>
      </c>
      <c r="AC37" s="263">
        <v>0</v>
      </c>
      <c r="AD37" s="263">
        <v>200</v>
      </c>
      <c r="AE37" s="367">
        <v>1</v>
      </c>
      <c r="AF37" s="367">
        <v>3</v>
      </c>
      <c r="AG37" s="368">
        <v>6</v>
      </c>
      <c r="AH37" s="128">
        <f t="shared" si="2"/>
        <v>2</v>
      </c>
      <c r="AI37" s="128">
        <f>IF(AC37="",0,IF(AC37&lt;=SelectionCriteria!$G$5,1, IF(AC37&lt;=SelectionCriteria!$G$4,2, IF(AC37&lt;=SelectionCriteria!$G$3,3,4))))</f>
        <v>1</v>
      </c>
      <c r="AJ37" s="128">
        <f t="shared" si="14"/>
        <v>3</v>
      </c>
      <c r="AK37" s="128">
        <f t="shared" si="15"/>
        <v>0</v>
      </c>
      <c r="AL37" s="179">
        <f t="shared" si="4"/>
        <v>2.6666666666666665</v>
      </c>
      <c r="AM37" s="259" t="str">
        <f t="shared" si="12"/>
        <v>Moderate</v>
      </c>
      <c r="AN37" s="129"/>
      <c r="AO37" s="179">
        <f t="shared" si="9"/>
        <v>0</v>
      </c>
      <c r="AP37" s="179">
        <f t="shared" si="10"/>
        <v>6.6666666666666679</v>
      </c>
      <c r="AQ37" s="190" t="s">
        <v>672</v>
      </c>
      <c r="AR37" s="86" t="str">
        <f t="shared" si="13"/>
        <v>Unlikely</v>
      </c>
      <c r="AS37" s="86" t="str">
        <f t="shared" si="5"/>
        <v>Moderate</v>
      </c>
      <c r="AT37" s="190" t="s">
        <v>656</v>
      </c>
      <c r="AU37" s="190"/>
      <c r="AV37" s="190"/>
      <c r="AW37" s="190"/>
      <c r="AX37" s="191"/>
    </row>
    <row r="38" spans="1:143" s="266" customFormat="1" ht="30" customHeight="1" x14ac:dyDescent="0.25">
      <c r="A38" s="192"/>
      <c r="B38" s="243" t="s">
        <v>687</v>
      </c>
      <c r="C38" s="277"/>
      <c r="D38" s="268"/>
      <c r="E38" s="268"/>
      <c r="F38" s="269"/>
      <c r="G38" s="270"/>
      <c r="H38" s="250" t="s">
        <v>681</v>
      </c>
      <c r="I38" s="187" t="s">
        <v>691</v>
      </c>
      <c r="J38" s="271"/>
      <c r="K38" s="271"/>
      <c r="L38" s="271"/>
      <c r="M38" s="278"/>
      <c r="N38" s="275"/>
      <c r="O38" s="275"/>
      <c r="P38" s="275"/>
      <c r="Q38" s="275"/>
      <c r="R38" s="272"/>
      <c r="S38" s="272"/>
      <c r="T38" s="273"/>
      <c r="U38" s="187" t="s">
        <v>692</v>
      </c>
      <c r="V38" s="187"/>
      <c r="W38" s="188"/>
      <c r="X38" s="187"/>
      <c r="Y38" s="279">
        <v>0.3</v>
      </c>
      <c r="Z38" s="274"/>
      <c r="AA38" s="271"/>
      <c r="AB38" s="263">
        <v>0</v>
      </c>
      <c r="AC38" s="263">
        <v>100</v>
      </c>
      <c r="AD38" s="263">
        <v>100</v>
      </c>
      <c r="AE38" s="367">
        <v>1</v>
      </c>
      <c r="AF38" s="367">
        <v>2</v>
      </c>
      <c r="AG38" s="368">
        <v>3</v>
      </c>
      <c r="AH38" s="128">
        <f t="shared" ref="AH38" si="37">IF(Y38=0,0,IF(Y38&lt;=0.01,1, IF(Y38&lt;=0.1,2, IF(Y38&lt;=0.5,3,4))))</f>
        <v>3</v>
      </c>
      <c r="AI38" s="128">
        <f>IF(AC38="",0,IF(AC38&lt;=SelectionCriteria!$G$5,1, IF(AC38&lt;=SelectionCriteria!$G$4,2, IF(AC38&lt;=SelectionCriteria!$G$3,3,4))))</f>
        <v>2</v>
      </c>
      <c r="AJ38" s="128">
        <f t="shared" ref="AJ38" si="38">IF(Z38="",0,IF(Z38="Negligible",1,IF(Z38="Low",2,IF(Z38="Moderate",3,4))))</f>
        <v>0</v>
      </c>
      <c r="AK38" s="128">
        <f t="shared" ref="AK38" si="39">IF(AA38="",0,IF(AA38="Negligible",1,IF(AA38="Low",2,IF(AA38="Moderate",3,4))))</f>
        <v>0</v>
      </c>
      <c r="AL38" s="179">
        <f t="shared" ref="AL38" si="40">AH38*((AI38+AJ38+AK38)/3)</f>
        <v>2</v>
      </c>
      <c r="AM38" s="259" t="str">
        <f t="shared" ref="AM38" si="41">IF(AL38=0,"Not Residual",IF(AL38&lt;=1,"Negligible",IF(AL38&lt;=2,"Low",IF(AL38&lt;3,"Moderate","High"))))</f>
        <v>Low</v>
      </c>
      <c r="AN38" s="271"/>
      <c r="AO38" s="179">
        <f t="shared" ref="AO38" si="42">Y38*AC38</f>
        <v>30</v>
      </c>
      <c r="AP38" s="179">
        <f t="shared" ref="AP38" si="43">Y38*(SUM(AB38:AD38)/3)</f>
        <v>20</v>
      </c>
      <c r="AQ38" s="190" t="s">
        <v>695</v>
      </c>
      <c r="AR38" s="276"/>
      <c r="AS38" s="276"/>
      <c r="AT38" s="276"/>
      <c r="AU38" s="276"/>
      <c r="AV38" s="276"/>
      <c r="AW38" s="190"/>
      <c r="AX38" s="191"/>
    </row>
    <row r="39" spans="1:143" s="192" customFormat="1" ht="30" hidden="1" customHeight="1" x14ac:dyDescent="0.25">
      <c r="A39" s="171">
        <v>32</v>
      </c>
      <c r="B39" s="258" t="s">
        <v>591</v>
      </c>
      <c r="C39" s="210" t="s">
        <v>304</v>
      </c>
      <c r="D39" s="183" t="s">
        <v>106</v>
      </c>
      <c r="E39" s="183" t="s">
        <v>159</v>
      </c>
      <c r="F39" s="211"/>
      <c r="G39" s="212" t="s">
        <v>160</v>
      </c>
      <c r="H39" s="298" t="s">
        <v>592</v>
      </c>
      <c r="I39" s="187" t="s">
        <v>291</v>
      </c>
      <c r="J39" s="188"/>
      <c r="K39" s="188"/>
      <c r="L39" s="188"/>
      <c r="M39" s="188"/>
      <c r="N39" s="188"/>
      <c r="O39" s="188"/>
      <c r="P39" s="188"/>
      <c r="Q39" s="188"/>
      <c r="R39" s="188"/>
      <c r="S39" s="188"/>
      <c r="T39" s="188"/>
      <c r="U39" s="188"/>
      <c r="V39" s="188"/>
      <c r="W39" s="188"/>
      <c r="X39" s="187"/>
      <c r="Y39" s="220">
        <v>0</v>
      </c>
      <c r="Z39" s="220" t="s">
        <v>3</v>
      </c>
      <c r="AA39" s="129"/>
      <c r="AB39" s="221">
        <v>150</v>
      </c>
      <c r="AC39" s="221">
        <v>300</v>
      </c>
      <c r="AD39" s="221">
        <v>450</v>
      </c>
      <c r="AE39" s="132">
        <v>1</v>
      </c>
      <c r="AF39" s="132">
        <v>3</v>
      </c>
      <c r="AG39" s="133">
        <v>6</v>
      </c>
      <c r="AH39" s="128">
        <f t="shared" ref="AH39:AH40" si="44">IF(Y39=0,0,IF(Y39&lt;=0.01,1, IF(Y39&lt;=0.1,2, IF(Y39&lt;=0.5,3,4))))</f>
        <v>0</v>
      </c>
      <c r="AI39" s="128">
        <f>IF(AC39="",0,IF(AC39&lt;=SelectionCriteria!$G$5,1, IF(AC39&lt;=SelectionCriteria!$G$4,2, IF(AC39&lt;=SelectionCriteria!$G$3,3,4))))</f>
        <v>4</v>
      </c>
      <c r="AJ39" s="128">
        <f t="shared" ref="AJ39:AJ40" si="45">IF(Z39="",0,IF(Z39="Negligible",1,IF(Z39="Low",2,IF(Z39="Moderate",3,4))))</f>
        <v>3</v>
      </c>
      <c r="AK39" s="128">
        <f t="shared" ref="AK39:AK40" si="46">IF(AA39="",0,IF(AA39="Negligible",1,IF(AA39="Low",2,IF(AA39="Moderate",3,4))))</f>
        <v>0</v>
      </c>
      <c r="AL39" s="179">
        <f t="shared" ref="AL39:AL40" si="47">AH39*((AI39+AJ39+AK39)/3)</f>
        <v>0</v>
      </c>
      <c r="AM39" s="4" t="str">
        <f t="shared" si="12"/>
        <v>Not Residual</v>
      </c>
      <c r="AN39" s="129"/>
      <c r="AO39" s="179">
        <f t="shared" ref="AO39" si="48">Y39*AC39</f>
        <v>0</v>
      </c>
      <c r="AP39" s="179">
        <f t="shared" ref="AP39" si="49">Y39*(SUM(AB39:AD39)/3)</f>
        <v>0</v>
      </c>
      <c r="AQ39" s="190"/>
      <c r="AR39" s="86" t="str">
        <f t="shared" ref="AR39" si="50">IF(Y39=0,"Not Residual",IF(AH39=4,("Very Likely"),(IF(AH39=3,("Possible"),(IF(AH39=2,("Unlikely"),("Rare")))))))</f>
        <v>Not Residual</v>
      </c>
      <c r="AS39" s="86" t="str">
        <f t="shared" ref="AS39" si="51">AM39</f>
        <v>Not Residual</v>
      </c>
      <c r="AT39" s="190"/>
      <c r="AU39" s="190"/>
      <c r="AV39" s="190"/>
      <c r="AW39" s="190" t="s">
        <v>632</v>
      </c>
      <c r="AX39" s="191"/>
    </row>
    <row r="40" spans="1:143" s="192" customFormat="1" ht="30" customHeight="1" x14ac:dyDescent="0.25">
      <c r="B40" s="243" t="s">
        <v>690</v>
      </c>
      <c r="C40" s="210"/>
      <c r="D40" s="183"/>
      <c r="E40" s="183"/>
      <c r="F40" s="211"/>
      <c r="G40" s="212"/>
      <c r="H40" s="250" t="s">
        <v>688</v>
      </c>
      <c r="I40" s="187" t="s">
        <v>689</v>
      </c>
      <c r="J40" s="188"/>
      <c r="K40" s="188"/>
      <c r="L40" s="188"/>
      <c r="M40" s="188"/>
      <c r="N40" s="188"/>
      <c r="O40" s="188"/>
      <c r="P40" s="188"/>
      <c r="Q40" s="188"/>
      <c r="R40" s="188"/>
      <c r="S40" s="188"/>
      <c r="T40" s="188"/>
      <c r="U40" s="187" t="s">
        <v>693</v>
      </c>
      <c r="V40" s="188"/>
      <c r="W40" s="188"/>
      <c r="X40" s="187"/>
      <c r="Y40" s="220">
        <v>0.5</v>
      </c>
      <c r="Z40" s="220"/>
      <c r="AA40" s="129"/>
      <c r="AB40" s="221">
        <v>0</v>
      </c>
      <c r="AC40" s="221">
        <v>200</v>
      </c>
      <c r="AD40" s="221">
        <v>200</v>
      </c>
      <c r="AE40" s="369">
        <v>0</v>
      </c>
      <c r="AF40" s="369">
        <v>0</v>
      </c>
      <c r="AG40" s="370">
        <v>0</v>
      </c>
      <c r="AH40" s="292">
        <f t="shared" si="44"/>
        <v>3</v>
      </c>
      <c r="AI40" s="292">
        <f>IF(AC40="",0,IF(AC40&lt;=SelectionCriteria!$G$5,1, IF(AC40&lt;=SelectionCriteria!$G$4,2, IF(AC40&lt;=SelectionCriteria!$G$3,3,4))))</f>
        <v>3</v>
      </c>
      <c r="AJ40" s="292">
        <f t="shared" si="45"/>
        <v>0</v>
      </c>
      <c r="AK40" s="292">
        <f t="shared" si="46"/>
        <v>0</v>
      </c>
      <c r="AL40" s="293">
        <f t="shared" si="47"/>
        <v>3</v>
      </c>
      <c r="AM40" s="296" t="str">
        <f t="shared" ref="AM40" si="52">IF(AL40=0,"Not Residual",IF(AL40&lt;=1,"Negligible",IF(AL40&lt;=2,"Low",IF(AL40&lt;3,"Moderate","High"))))</f>
        <v>High</v>
      </c>
      <c r="AN40" s="129"/>
      <c r="AO40" s="3">
        <f>Y40*AC40</f>
        <v>100</v>
      </c>
      <c r="AP40" s="3">
        <f>Y40*(SUM(AB40:AD40)/3)</f>
        <v>66.666666666666671</v>
      </c>
      <c r="AQ40" s="190" t="s">
        <v>695</v>
      </c>
      <c r="AR40" s="86"/>
      <c r="AS40" s="86"/>
      <c r="AT40" s="190"/>
      <c r="AU40" s="190"/>
      <c r="AV40" s="190"/>
      <c r="AW40" s="190"/>
      <c r="AX40" s="191"/>
    </row>
    <row r="41" spans="1:143" s="192" customFormat="1" ht="30" hidden="1" customHeight="1" x14ac:dyDescent="0.25">
      <c r="A41" s="171">
        <v>33</v>
      </c>
      <c r="B41" s="258" t="s">
        <v>174</v>
      </c>
      <c r="C41" s="210" t="s">
        <v>300</v>
      </c>
      <c r="D41" s="183" t="s">
        <v>106</v>
      </c>
      <c r="E41" s="183" t="s">
        <v>178</v>
      </c>
      <c r="F41" s="211"/>
      <c r="G41" s="223" t="s">
        <v>175</v>
      </c>
      <c r="H41" s="298" t="s">
        <v>169</v>
      </c>
      <c r="I41" s="187" t="s">
        <v>176</v>
      </c>
      <c r="J41" s="129">
        <v>0.1</v>
      </c>
      <c r="K41" s="129" t="s">
        <v>3</v>
      </c>
      <c r="L41" s="129"/>
      <c r="M41" s="186">
        <v>2380</v>
      </c>
      <c r="N41" s="128">
        <f t="shared" si="6"/>
        <v>2</v>
      </c>
      <c r="O41" s="128">
        <f>IF(M41="",0,IF(M41&lt;=SelectionCriteria!$G$5,1, IF(M41&lt;=SelectionCriteria!$G$4,2, IF(M41&lt;=SelectionCriteria!$G$3,3,4))))</f>
        <v>4</v>
      </c>
      <c r="P41" s="128">
        <f t="shared" ref="P41:Q44" si="53">IF(K41="",0,IF(K41="Negligible",1,IF(K41="Low",2,IF(K41="Moderate",3,4))))</f>
        <v>3</v>
      </c>
      <c r="Q41" s="128">
        <f t="shared" si="53"/>
        <v>0</v>
      </c>
      <c r="R41" s="179">
        <f>N41*((O41+P41+Q41)/3)</f>
        <v>4.666666666666667</v>
      </c>
      <c r="S41" s="179"/>
      <c r="T41" s="180" t="str">
        <f t="shared" si="7"/>
        <v>High</v>
      </c>
      <c r="U41" s="187" t="s">
        <v>260</v>
      </c>
      <c r="V41" s="187" t="s">
        <v>312</v>
      </c>
      <c r="W41" s="188"/>
      <c r="X41" s="187"/>
      <c r="Y41" s="220">
        <v>0</v>
      </c>
      <c r="Z41" s="220" t="s">
        <v>3</v>
      </c>
      <c r="AA41" s="129"/>
      <c r="AB41" s="221">
        <v>0</v>
      </c>
      <c r="AC41" s="221">
        <v>160</v>
      </c>
      <c r="AD41" s="221">
        <v>160</v>
      </c>
      <c r="AE41" s="222">
        <v>0</v>
      </c>
      <c r="AF41" s="222">
        <v>12</v>
      </c>
      <c r="AG41" s="222">
        <v>12</v>
      </c>
      <c r="AH41" s="128">
        <f t="shared" si="2"/>
        <v>0</v>
      </c>
      <c r="AI41" s="128">
        <f>IF(AC41="",0,IF(AC41&lt;=SelectionCriteria!$G$5,1, IF(AC41&lt;=SelectionCriteria!$G$4,2, IF(AC41&lt;=SelectionCriteria!$G$3,3,4))))</f>
        <v>3</v>
      </c>
      <c r="AJ41" s="128">
        <f t="shared" si="14"/>
        <v>3</v>
      </c>
      <c r="AK41" s="128">
        <f t="shared" si="15"/>
        <v>0</v>
      </c>
      <c r="AL41" s="179">
        <f t="shared" si="4"/>
        <v>0</v>
      </c>
      <c r="AM41" s="4" t="str">
        <f t="shared" si="12"/>
        <v>Not Residual</v>
      </c>
      <c r="AN41" s="129"/>
      <c r="AO41" s="179">
        <f t="shared" si="9"/>
        <v>0</v>
      </c>
      <c r="AP41" s="179">
        <f t="shared" si="10"/>
        <v>0</v>
      </c>
      <c r="AQ41" s="224" t="s">
        <v>311</v>
      </c>
      <c r="AR41" s="86" t="str">
        <f t="shared" si="13"/>
        <v>Not Residual</v>
      </c>
      <c r="AS41" s="86" t="str">
        <f t="shared" si="5"/>
        <v>Not Residual</v>
      </c>
      <c r="AT41" s="190"/>
      <c r="AU41" s="190"/>
      <c r="AV41" s="190"/>
      <c r="AW41" s="190" t="s">
        <v>593</v>
      </c>
      <c r="AX41" s="191"/>
      <c r="AY41" s="192" t="s">
        <v>620</v>
      </c>
    </row>
    <row r="42" spans="1:143" s="192" customFormat="1" ht="30" hidden="1" customHeight="1" x14ac:dyDescent="0.25">
      <c r="A42" s="171">
        <v>34</v>
      </c>
      <c r="B42" s="258" t="s">
        <v>179</v>
      </c>
      <c r="C42" s="217">
        <v>1.04</v>
      </c>
      <c r="D42" s="183" t="s">
        <v>106</v>
      </c>
      <c r="E42" s="183" t="s">
        <v>178</v>
      </c>
      <c r="F42" s="211"/>
      <c r="G42" s="185" t="s">
        <v>175</v>
      </c>
      <c r="H42" s="298" t="s">
        <v>177</v>
      </c>
      <c r="I42" s="187" t="s">
        <v>180</v>
      </c>
      <c r="J42" s="129">
        <v>0.1</v>
      </c>
      <c r="K42" s="129"/>
      <c r="L42" s="129"/>
      <c r="M42" s="186">
        <v>26</v>
      </c>
      <c r="N42" s="128">
        <f t="shared" si="6"/>
        <v>2</v>
      </c>
      <c r="O42" s="128">
        <f>IF(M42="",0,IF(M42&lt;=SelectionCriteria!$G$5,1, IF(M42&lt;=SelectionCriteria!$G$4,2, IF(M42&lt;=SelectionCriteria!$G$3,3,4))))</f>
        <v>2</v>
      </c>
      <c r="P42" s="128">
        <f t="shared" si="53"/>
        <v>0</v>
      </c>
      <c r="Q42" s="128">
        <f t="shared" si="53"/>
        <v>0</v>
      </c>
      <c r="R42" s="179">
        <f>N42*((O42+P42+Q42)/3)</f>
        <v>1.3333333333333333</v>
      </c>
      <c r="S42" s="179"/>
      <c r="T42" s="180" t="str">
        <f t="shared" si="7"/>
        <v>Low</v>
      </c>
      <c r="U42" s="187" t="s">
        <v>261</v>
      </c>
      <c r="V42" s="187"/>
      <c r="W42" s="188"/>
      <c r="X42" s="187"/>
      <c r="Y42" s="129">
        <v>0</v>
      </c>
      <c r="Z42" s="129"/>
      <c r="AA42" s="129"/>
      <c r="AB42" s="128"/>
      <c r="AC42" s="128"/>
      <c r="AD42" s="128"/>
      <c r="AE42" s="189"/>
      <c r="AF42" s="189"/>
      <c r="AG42" s="189"/>
      <c r="AH42" s="128">
        <f t="shared" si="2"/>
        <v>0</v>
      </c>
      <c r="AI42" s="128">
        <f>IF(AC42="",0,IF(AC42&lt;=SelectionCriteria!$G$5,1, IF(AC42&lt;=SelectionCriteria!$G$4,2, IF(AC42&lt;=SelectionCriteria!$G$3,3,4))))</f>
        <v>0</v>
      </c>
      <c r="AJ42" s="128">
        <f t="shared" si="14"/>
        <v>0</v>
      </c>
      <c r="AK42" s="128">
        <f t="shared" si="15"/>
        <v>0</v>
      </c>
      <c r="AL42" s="179">
        <f t="shared" si="4"/>
        <v>0</v>
      </c>
      <c r="AM42" s="4" t="str">
        <f t="shared" si="12"/>
        <v>Not Residual</v>
      </c>
      <c r="AN42" s="129"/>
      <c r="AO42" s="179">
        <f t="shared" si="9"/>
        <v>0</v>
      </c>
      <c r="AP42" s="179">
        <f t="shared" si="10"/>
        <v>0</v>
      </c>
      <c r="AQ42" s="190"/>
      <c r="AR42" s="86" t="str">
        <f t="shared" si="13"/>
        <v>Not Residual</v>
      </c>
      <c r="AS42" s="86" t="str">
        <f t="shared" si="5"/>
        <v>Not Residual</v>
      </c>
      <c r="AT42" s="190"/>
      <c r="AU42" s="190"/>
      <c r="AV42" s="190"/>
      <c r="AW42" s="190" t="s">
        <v>353</v>
      </c>
      <c r="AX42" s="191"/>
      <c r="AY42" s="192" t="s">
        <v>620</v>
      </c>
    </row>
    <row r="43" spans="1:143" s="192" customFormat="1" ht="30" hidden="1" customHeight="1" x14ac:dyDescent="0.25">
      <c r="A43" s="171">
        <v>35</v>
      </c>
      <c r="B43" s="258" t="s">
        <v>259</v>
      </c>
      <c r="C43" s="210" t="s">
        <v>301</v>
      </c>
      <c r="D43" s="183" t="s">
        <v>106</v>
      </c>
      <c r="E43" s="183" t="s">
        <v>178</v>
      </c>
      <c r="F43" s="211"/>
      <c r="G43" s="223" t="s">
        <v>175</v>
      </c>
      <c r="H43" s="298" t="s">
        <v>321</v>
      </c>
      <c r="I43" s="187" t="s">
        <v>293</v>
      </c>
      <c r="J43" s="129">
        <v>0</v>
      </c>
      <c r="K43" s="129"/>
      <c r="L43" s="129"/>
      <c r="M43" s="186">
        <v>150</v>
      </c>
      <c r="N43" s="128">
        <f>IF(J43=0,0,IF(J43&lt;=0.01,1, IF(J43&lt;=0.1,2, IF(J43&lt;=0.5,3,4))))</f>
        <v>0</v>
      </c>
      <c r="O43" s="128">
        <f>IF(M43="",0,IF(M43&lt;=SelectionCriteria!$G$5,1, IF(M43&lt;=SelectionCriteria!$G$4,2, IF(M43&lt;=SelectionCriteria!$G$3,3,4))))</f>
        <v>3</v>
      </c>
      <c r="P43" s="128">
        <f>IF(K43="",0,IF(K43="Negligible",1,IF(K43="Low",2,IF(K43="Moderate",3,4))))</f>
        <v>0</v>
      </c>
      <c r="Q43" s="128">
        <f>IF(L43="",0,IF(L43="Negligible",1,IF(L43="Low",2,IF(L43="Moderate",3,4))))</f>
        <v>0</v>
      </c>
      <c r="R43" s="179">
        <f>N43*((O43+P43+Q43)/3)</f>
        <v>0</v>
      </c>
      <c r="S43" s="179"/>
      <c r="T43" s="180" t="str">
        <f t="shared" si="7"/>
        <v>Not Primary</v>
      </c>
      <c r="U43" s="187" t="s">
        <v>241</v>
      </c>
      <c r="V43" s="187" t="s">
        <v>314</v>
      </c>
      <c r="W43" s="188"/>
      <c r="X43" s="187"/>
      <c r="Y43" s="220">
        <v>0</v>
      </c>
      <c r="Z43" s="220" t="s">
        <v>2</v>
      </c>
      <c r="AA43" s="129"/>
      <c r="AB43" s="221">
        <v>0</v>
      </c>
      <c r="AC43" s="221">
        <v>0</v>
      </c>
      <c r="AD43" s="221">
        <v>72</v>
      </c>
      <c r="AE43" s="222">
        <v>1</v>
      </c>
      <c r="AF43" s="222">
        <v>2</v>
      </c>
      <c r="AG43" s="222">
        <v>2</v>
      </c>
      <c r="AH43" s="128">
        <f t="shared" si="2"/>
        <v>0</v>
      </c>
      <c r="AI43" s="128">
        <f>IF(AC43="",0,IF(AC43&lt;=SelectionCriteria!$G$5,1, IF(AC43&lt;=SelectionCriteria!$G$4,2, IF(AC43&lt;=SelectionCriteria!$G$3,3,4))))</f>
        <v>1</v>
      </c>
      <c r="AJ43" s="128">
        <f>IF(Z43="",0,IF(Z43="Negligible",1,IF(Z43="Low",2,IF(Z43="Moderate",3,4))))</f>
        <v>2</v>
      </c>
      <c r="AK43" s="128">
        <f>IF(AA43="",0,IF(AA43="Negligible",1,IF(AA43="Low",2,IF(AA43="Moderate",3,4))))</f>
        <v>0</v>
      </c>
      <c r="AL43" s="179">
        <f>AH43*((AI43+AJ43+AK43)/3)</f>
        <v>0</v>
      </c>
      <c r="AM43" s="4" t="str">
        <f t="shared" si="12"/>
        <v>Not Residual</v>
      </c>
      <c r="AN43" s="129"/>
      <c r="AO43" s="179">
        <f t="shared" si="9"/>
        <v>0</v>
      </c>
      <c r="AP43" s="179">
        <f t="shared" si="10"/>
        <v>0</v>
      </c>
      <c r="AQ43" s="130" t="s">
        <v>280</v>
      </c>
      <c r="AR43" s="86" t="str">
        <f t="shared" si="13"/>
        <v>Not Residual</v>
      </c>
      <c r="AS43" s="86" t="str">
        <f t="shared" si="5"/>
        <v>Not Residual</v>
      </c>
      <c r="AT43" s="190"/>
      <c r="AU43" s="190"/>
      <c r="AV43" s="190"/>
      <c r="AW43" s="190" t="s">
        <v>593</v>
      </c>
      <c r="AX43" s="191"/>
      <c r="AY43" s="192" t="s">
        <v>620</v>
      </c>
    </row>
    <row r="44" spans="1:143" s="192" customFormat="1" ht="30" hidden="1" customHeight="1" x14ac:dyDescent="0.25">
      <c r="A44" s="171">
        <v>36</v>
      </c>
      <c r="B44" s="258" t="s">
        <v>275</v>
      </c>
      <c r="C44" s="210" t="s">
        <v>302</v>
      </c>
      <c r="D44" s="183" t="s">
        <v>106</v>
      </c>
      <c r="E44" s="183" t="s">
        <v>178</v>
      </c>
      <c r="F44" s="211"/>
      <c r="G44" s="223" t="s">
        <v>175</v>
      </c>
      <c r="H44" s="298" t="s">
        <v>322</v>
      </c>
      <c r="I44" s="187" t="s">
        <v>293</v>
      </c>
      <c r="J44" s="129">
        <v>0.15</v>
      </c>
      <c r="K44" s="129"/>
      <c r="L44" s="129"/>
      <c r="M44" s="186">
        <v>150</v>
      </c>
      <c r="N44" s="128">
        <f t="shared" si="6"/>
        <v>3</v>
      </c>
      <c r="O44" s="128">
        <f>IF(M44="",0,IF(M44&lt;=SelectionCriteria!$G$5,1, IF(M44&lt;=SelectionCriteria!$G$4,2, IF(M44&lt;=SelectionCriteria!$G$3,3,4))))</f>
        <v>3</v>
      </c>
      <c r="P44" s="128">
        <f t="shared" si="53"/>
        <v>0</v>
      </c>
      <c r="Q44" s="128">
        <f t="shared" si="53"/>
        <v>0</v>
      </c>
      <c r="R44" s="179">
        <f>N44*((O44+P44+Q44)/3)</f>
        <v>3</v>
      </c>
      <c r="S44" s="179"/>
      <c r="T44" s="180" t="str">
        <f t="shared" si="7"/>
        <v>Moderate</v>
      </c>
      <c r="U44" s="187" t="s">
        <v>241</v>
      </c>
      <c r="V44" s="187" t="s">
        <v>313</v>
      </c>
      <c r="W44" s="188"/>
      <c r="X44" s="187"/>
      <c r="Y44" s="220">
        <v>0</v>
      </c>
      <c r="Z44" s="220" t="s">
        <v>2</v>
      </c>
      <c r="AA44" s="129"/>
      <c r="AB44" s="221">
        <v>0</v>
      </c>
      <c r="AC44" s="221">
        <v>0</v>
      </c>
      <c r="AD44" s="221">
        <v>648</v>
      </c>
      <c r="AE44" s="222">
        <v>0</v>
      </c>
      <c r="AF44" s="222">
        <v>2</v>
      </c>
      <c r="AG44" s="222">
        <v>4</v>
      </c>
      <c r="AH44" s="128">
        <f t="shared" si="2"/>
        <v>0</v>
      </c>
      <c r="AI44" s="128">
        <f>IF(AC44="",0,IF(AC44&lt;=SelectionCriteria!$G$5,1, IF(AC44&lt;=SelectionCriteria!$G$4,2, IF(AC44&lt;=SelectionCriteria!$G$3,3,4))))</f>
        <v>1</v>
      </c>
      <c r="AJ44" s="128">
        <f t="shared" si="14"/>
        <v>2</v>
      </c>
      <c r="AK44" s="128">
        <f t="shared" si="15"/>
        <v>0</v>
      </c>
      <c r="AL44" s="179">
        <f t="shared" si="4"/>
        <v>0</v>
      </c>
      <c r="AM44" s="4" t="str">
        <f t="shared" si="12"/>
        <v>Not Residual</v>
      </c>
      <c r="AN44" s="129"/>
      <c r="AO44" s="179">
        <f t="shared" si="9"/>
        <v>0</v>
      </c>
      <c r="AP44" s="179">
        <f t="shared" si="10"/>
        <v>0</v>
      </c>
      <c r="AQ44" s="130" t="s">
        <v>280</v>
      </c>
      <c r="AR44" s="86" t="str">
        <f t="shared" si="13"/>
        <v>Not Residual</v>
      </c>
      <c r="AS44" s="86" t="str">
        <f t="shared" si="5"/>
        <v>Not Residual</v>
      </c>
      <c r="AT44" s="190"/>
      <c r="AU44" s="190"/>
      <c r="AV44" s="190"/>
      <c r="AW44" s="190" t="s">
        <v>633</v>
      </c>
      <c r="AX44" s="191"/>
    </row>
    <row r="45" spans="1:143" ht="31.5" customHeight="1" x14ac:dyDescent="0.25">
      <c r="B45" s="233" t="s">
        <v>660</v>
      </c>
      <c r="C45" s="288"/>
      <c r="D45" s="289"/>
      <c r="E45" s="289"/>
      <c r="F45" s="211"/>
      <c r="G45" s="290"/>
      <c r="H45" s="250" t="s">
        <v>668</v>
      </c>
      <c r="I45" s="298" t="s">
        <v>669</v>
      </c>
      <c r="J45" s="291"/>
      <c r="K45" s="291"/>
      <c r="L45" s="291"/>
      <c r="M45" s="213"/>
      <c r="N45" s="292"/>
      <c r="O45" s="292"/>
      <c r="P45" s="292"/>
      <c r="Q45" s="292"/>
      <c r="R45" s="293"/>
      <c r="S45" s="293"/>
      <c r="T45" s="294"/>
      <c r="U45" s="187" t="s">
        <v>670</v>
      </c>
      <c r="V45" s="187"/>
      <c r="W45" s="188"/>
      <c r="X45" s="187"/>
      <c r="Y45" s="295">
        <v>0.25</v>
      </c>
      <c r="Z45" s="295"/>
      <c r="AA45" s="291"/>
      <c r="AB45" s="221">
        <v>0</v>
      </c>
      <c r="AC45" s="221">
        <v>0</v>
      </c>
      <c r="AD45" s="221">
        <v>0</v>
      </c>
      <c r="AE45" s="222">
        <v>0.5</v>
      </c>
      <c r="AF45" s="222">
        <v>1</v>
      </c>
      <c r="AG45" s="222">
        <v>2</v>
      </c>
      <c r="AH45" s="292">
        <f t="shared" si="2"/>
        <v>3</v>
      </c>
      <c r="AI45" s="292">
        <f>IF(AC45="",0,IF(AC45&lt;=SelectionCriteria!$G$5,1, IF(AC45&lt;=SelectionCriteria!$G$4,2, IF(AC45&lt;=SelectionCriteria!$G$3,3,4))))</f>
        <v>1</v>
      </c>
      <c r="AJ45" s="292">
        <f t="shared" si="14"/>
        <v>0</v>
      </c>
      <c r="AK45" s="292">
        <f t="shared" si="15"/>
        <v>0</v>
      </c>
      <c r="AL45" s="293">
        <f t="shared" si="4"/>
        <v>1</v>
      </c>
      <c r="AM45" s="296" t="str">
        <f t="shared" si="12"/>
        <v>Negligible</v>
      </c>
      <c r="AN45" s="291"/>
      <c r="AO45" s="179">
        <f t="shared" ref="AO45" si="54">Y45*AC45</f>
        <v>0</v>
      </c>
      <c r="AP45" s="179">
        <f t="shared" ref="AP45" si="55">Y45*(SUM(AB45:AD45)/3)</f>
        <v>0</v>
      </c>
      <c r="AQ45" s="366" t="s">
        <v>671</v>
      </c>
      <c r="AR45" s="297"/>
      <c r="AS45" s="297"/>
      <c r="AT45" s="297"/>
      <c r="AU45" s="297"/>
      <c r="AV45" s="297"/>
      <c r="AW45" s="190"/>
      <c r="AX45" s="191"/>
      <c r="AY45" s="172"/>
      <c r="AZ45" s="172"/>
      <c r="BA45" s="172"/>
      <c r="BB45" s="172"/>
      <c r="BC45" s="172"/>
      <c r="BD45" s="172"/>
      <c r="BE45" s="172"/>
      <c r="BF45" s="172"/>
      <c r="BG45" s="172"/>
      <c r="BH45" s="172"/>
      <c r="BI45" s="172"/>
      <c r="BJ45" s="172"/>
      <c r="BK45" s="172"/>
      <c r="BL45" s="172"/>
      <c r="BM45" s="172"/>
      <c r="BN45" s="172"/>
      <c r="BO45" s="172"/>
      <c r="BP45" s="172"/>
      <c r="BQ45" s="172"/>
      <c r="BR45" s="172"/>
      <c r="BS45" s="172"/>
      <c r="BT45" s="172"/>
      <c r="BU45" s="172"/>
      <c r="BV45" s="172"/>
      <c r="BW45" s="172"/>
      <c r="BX45" s="172"/>
      <c r="BY45" s="172"/>
      <c r="BZ45" s="172"/>
      <c r="CA45" s="172"/>
      <c r="CB45" s="172"/>
      <c r="CC45" s="172"/>
      <c r="CD45" s="172"/>
      <c r="CE45" s="172"/>
      <c r="CF45" s="172"/>
      <c r="CG45" s="172"/>
      <c r="CH45" s="172"/>
      <c r="CI45" s="172"/>
      <c r="CJ45" s="172"/>
      <c r="CK45" s="172"/>
      <c r="CL45" s="172"/>
      <c r="CM45" s="172"/>
      <c r="CN45" s="172"/>
      <c r="CO45" s="172"/>
      <c r="CP45" s="172"/>
      <c r="CQ45" s="172"/>
      <c r="CR45" s="172"/>
      <c r="CS45" s="172"/>
      <c r="CT45" s="172"/>
      <c r="CU45" s="172"/>
      <c r="CV45" s="172"/>
      <c r="CW45" s="172"/>
      <c r="CX45" s="172"/>
      <c r="CY45" s="172"/>
      <c r="CZ45" s="172"/>
      <c r="DA45" s="172"/>
      <c r="DB45" s="172"/>
      <c r="DC45" s="172"/>
      <c r="DD45" s="172"/>
      <c r="DE45" s="172"/>
      <c r="DF45" s="172"/>
      <c r="DG45" s="172"/>
      <c r="DH45" s="172"/>
      <c r="DI45" s="172"/>
      <c r="DJ45" s="172"/>
      <c r="DK45" s="172"/>
      <c r="DL45" s="172"/>
      <c r="DM45" s="172"/>
      <c r="DN45" s="172"/>
      <c r="DO45" s="172"/>
      <c r="DP45" s="172"/>
      <c r="DQ45" s="172"/>
      <c r="DR45" s="172"/>
      <c r="DS45" s="172"/>
      <c r="DT45" s="172"/>
      <c r="DU45" s="172"/>
      <c r="DV45" s="172"/>
      <c r="DW45" s="172"/>
      <c r="DX45" s="172"/>
      <c r="DY45" s="172"/>
      <c r="DZ45" s="172"/>
      <c r="EA45" s="172"/>
      <c r="EB45" s="172"/>
      <c r="EC45" s="172"/>
      <c r="ED45" s="172"/>
      <c r="EE45" s="172"/>
      <c r="EF45" s="172"/>
      <c r="EG45" s="172"/>
      <c r="EH45" s="172"/>
      <c r="EI45" s="172"/>
      <c r="EJ45" s="172"/>
      <c r="EK45" s="172"/>
      <c r="EL45" s="172"/>
      <c r="EM45" s="172"/>
    </row>
    <row r="46" spans="1:143" s="192" customFormat="1" ht="30" hidden="1" customHeight="1" x14ac:dyDescent="0.25">
      <c r="A46" s="171">
        <v>37</v>
      </c>
      <c r="B46" s="258" t="s">
        <v>181</v>
      </c>
      <c r="C46" s="217" t="s">
        <v>269</v>
      </c>
      <c r="D46" s="183" t="s">
        <v>106</v>
      </c>
      <c r="E46" s="183" t="s">
        <v>182</v>
      </c>
      <c r="F46" s="184"/>
      <c r="G46" s="185" t="s">
        <v>183</v>
      </c>
      <c r="H46" s="298" t="s">
        <v>192</v>
      </c>
      <c r="I46" s="187" t="s">
        <v>270</v>
      </c>
      <c r="J46" s="129">
        <v>0.15</v>
      </c>
      <c r="K46" s="129"/>
      <c r="L46" s="129"/>
      <c r="M46" s="186">
        <v>11</v>
      </c>
      <c r="N46" s="128">
        <f>IF(J46=0,0,IF(J46&lt;=0.01,1, IF(J46&lt;=0.1,2, IF(J46&lt;=0.5,3,4))))</f>
        <v>3</v>
      </c>
      <c r="O46" s="128">
        <f>IF(M46="",0,IF(M46&lt;=SelectionCriteria!$G$5,1, IF(M46&lt;=SelectionCriteria!$G$4,2, IF(M46&lt;=SelectionCriteria!$G$3,3,4))))</f>
        <v>1</v>
      </c>
      <c r="P46" s="128">
        <f>IF(K46="",0,IF(K46="Negligible",1,IF(K46="Low",2,IF(K46="Moderate",3,4))))</f>
        <v>0</v>
      </c>
      <c r="Q46" s="128">
        <f>IF(L46="",0,IF(L46="Negligible",1,IF(L46="Low",2,IF(L46="Moderate",3,4))))</f>
        <v>0</v>
      </c>
      <c r="R46" s="179">
        <f>N46*((O46+P46+Q46)/3)</f>
        <v>1</v>
      </c>
      <c r="S46" s="179"/>
      <c r="T46" s="180" t="str">
        <f t="shared" si="7"/>
        <v>Negligible</v>
      </c>
      <c r="U46" s="187"/>
      <c r="V46" s="187"/>
      <c r="W46" s="188"/>
      <c r="X46" s="187"/>
      <c r="Y46" s="129">
        <v>0</v>
      </c>
      <c r="Z46" s="129"/>
      <c r="AA46" s="129"/>
      <c r="AB46" s="128"/>
      <c r="AC46" s="128"/>
      <c r="AD46" s="128"/>
      <c r="AE46" s="189"/>
      <c r="AF46" s="189"/>
      <c r="AG46" s="189"/>
      <c r="AH46" s="128">
        <f t="shared" si="2"/>
        <v>0</v>
      </c>
      <c r="AI46" s="128">
        <f>IF(AC46="",0,IF(AC46&lt;=SelectionCriteria!$G$5,1, IF(AC46&lt;=SelectionCriteria!$G$4,2, IF(AC46&lt;=SelectionCriteria!$G$3,3,4))))</f>
        <v>0</v>
      </c>
      <c r="AJ46" s="128">
        <f t="shared" si="14"/>
        <v>0</v>
      </c>
      <c r="AK46" s="128">
        <f t="shared" si="15"/>
        <v>0</v>
      </c>
      <c r="AL46" s="179">
        <f t="shared" si="4"/>
        <v>0</v>
      </c>
      <c r="AM46" s="4" t="str">
        <f t="shared" si="12"/>
        <v>Not Residual</v>
      </c>
      <c r="AN46" s="129"/>
      <c r="AO46" s="179">
        <f t="shared" si="9"/>
        <v>0</v>
      </c>
      <c r="AP46" s="179">
        <f t="shared" si="10"/>
        <v>0</v>
      </c>
      <c r="AQ46" s="190"/>
      <c r="AR46" s="86" t="str">
        <f t="shared" si="13"/>
        <v>Not Residual</v>
      </c>
      <c r="AS46" s="86" t="str">
        <f t="shared" si="5"/>
        <v>Not Residual</v>
      </c>
      <c r="AT46" s="190"/>
      <c r="AU46" s="190"/>
      <c r="AV46" s="190"/>
      <c r="AW46" s="190" t="s">
        <v>279</v>
      </c>
      <c r="AX46" s="191"/>
      <c r="AY46" s="192" t="s">
        <v>620</v>
      </c>
    </row>
    <row r="47" spans="1:143" s="192" customFormat="1" ht="30" hidden="1" customHeight="1" x14ac:dyDescent="0.25">
      <c r="A47" s="171">
        <v>38</v>
      </c>
      <c r="B47" s="258" t="s">
        <v>272</v>
      </c>
      <c r="C47" s="217">
        <v>1.05</v>
      </c>
      <c r="D47" s="183" t="s">
        <v>106</v>
      </c>
      <c r="E47" s="183" t="s">
        <v>182</v>
      </c>
      <c r="F47" s="184"/>
      <c r="G47" s="185" t="s">
        <v>183</v>
      </c>
      <c r="H47" s="298" t="s">
        <v>192</v>
      </c>
      <c r="I47" s="187" t="s">
        <v>271</v>
      </c>
      <c r="J47" s="129">
        <v>0.15</v>
      </c>
      <c r="K47" s="129"/>
      <c r="L47" s="129"/>
      <c r="M47" s="186">
        <v>11</v>
      </c>
      <c r="N47" s="128">
        <f t="shared" si="6"/>
        <v>3</v>
      </c>
      <c r="O47" s="128">
        <f>IF(M47="",0,IF(M47&lt;=SelectionCriteria!$G$5,1, IF(M47&lt;=SelectionCriteria!$G$4,2, IF(M47&lt;=SelectionCriteria!$G$3,3,4))))</f>
        <v>1</v>
      </c>
      <c r="P47" s="128">
        <f t="shared" ref="P47:P53" si="56">IF(K47="",0,IF(K47="Negligible",1,IF(K47="Low",2,IF(K47="Moderate",3,4))))</f>
        <v>0</v>
      </c>
      <c r="Q47" s="128">
        <f t="shared" ref="Q47:Q53" si="57">IF(L47="",0,IF(L47="Negligible",1,IF(L47="Low",2,IF(L47="Moderate",3,4))))</f>
        <v>0</v>
      </c>
      <c r="R47" s="179">
        <f t="shared" ref="R47:R55" si="58">N47*((O47+P47+Q47)/3)</f>
        <v>1</v>
      </c>
      <c r="S47" s="179"/>
      <c r="T47" s="180" t="str">
        <f t="shared" si="7"/>
        <v>Negligible</v>
      </c>
      <c r="U47" s="187"/>
      <c r="V47" s="187"/>
      <c r="W47" s="188"/>
      <c r="X47" s="187"/>
      <c r="Y47" s="129">
        <v>0</v>
      </c>
      <c r="Z47" s="129"/>
      <c r="AA47" s="129"/>
      <c r="AB47" s="128"/>
      <c r="AC47" s="128"/>
      <c r="AD47" s="128"/>
      <c r="AE47" s="189"/>
      <c r="AF47" s="189"/>
      <c r="AG47" s="189"/>
      <c r="AH47" s="128">
        <f t="shared" si="2"/>
        <v>0</v>
      </c>
      <c r="AI47" s="128">
        <f>IF(AC47="",0,IF(AC47&lt;=SelectionCriteria!$G$5,1, IF(AC47&lt;=SelectionCriteria!$G$4,2, IF(AC47&lt;=SelectionCriteria!$G$3,3,4))))</f>
        <v>0</v>
      </c>
      <c r="AJ47" s="128">
        <f t="shared" si="14"/>
        <v>0</v>
      </c>
      <c r="AK47" s="128">
        <f t="shared" si="15"/>
        <v>0</v>
      </c>
      <c r="AL47" s="179">
        <f t="shared" si="4"/>
        <v>0</v>
      </c>
      <c r="AM47" s="4" t="str">
        <f t="shared" si="12"/>
        <v>Not Residual</v>
      </c>
      <c r="AN47" s="129"/>
      <c r="AO47" s="179">
        <f t="shared" si="9"/>
        <v>0</v>
      </c>
      <c r="AP47" s="179">
        <f t="shared" si="10"/>
        <v>0</v>
      </c>
      <c r="AQ47" s="190"/>
      <c r="AR47" s="86" t="str">
        <f t="shared" si="13"/>
        <v>Not Residual</v>
      </c>
      <c r="AS47" s="86" t="str">
        <f t="shared" si="5"/>
        <v>Not Residual</v>
      </c>
      <c r="AT47" s="190"/>
      <c r="AU47" s="190"/>
      <c r="AV47" s="190"/>
      <c r="AW47" s="190" t="s">
        <v>624</v>
      </c>
      <c r="AX47" s="191"/>
      <c r="AY47" s="192" t="s">
        <v>620</v>
      </c>
    </row>
    <row r="48" spans="1:143" s="192" customFormat="1" ht="30" hidden="1" customHeight="1" x14ac:dyDescent="0.25">
      <c r="A48" s="171">
        <v>39</v>
      </c>
      <c r="B48" s="258" t="s">
        <v>184</v>
      </c>
      <c r="C48" s="217">
        <v>1.05</v>
      </c>
      <c r="D48" s="183" t="s">
        <v>106</v>
      </c>
      <c r="E48" s="183" t="s">
        <v>182</v>
      </c>
      <c r="F48" s="184"/>
      <c r="G48" s="185" t="s">
        <v>183</v>
      </c>
      <c r="H48" s="298" t="s">
        <v>193</v>
      </c>
      <c r="I48" s="187" t="s">
        <v>191</v>
      </c>
      <c r="J48" s="129">
        <v>0.2</v>
      </c>
      <c r="K48" s="129"/>
      <c r="L48" s="129"/>
      <c r="M48" s="186">
        <v>11</v>
      </c>
      <c r="N48" s="128">
        <f t="shared" si="6"/>
        <v>3</v>
      </c>
      <c r="O48" s="128">
        <f>IF(M48="",0,IF(M48&lt;=SelectionCriteria!$G$5,1, IF(M48&lt;=SelectionCriteria!$G$4,2, IF(M48&lt;=SelectionCriteria!$G$3,3,4))))</f>
        <v>1</v>
      </c>
      <c r="P48" s="128">
        <f t="shared" si="56"/>
        <v>0</v>
      </c>
      <c r="Q48" s="128">
        <f t="shared" si="57"/>
        <v>0</v>
      </c>
      <c r="R48" s="179">
        <f t="shared" si="58"/>
        <v>1</v>
      </c>
      <c r="S48" s="179"/>
      <c r="T48" s="180" t="str">
        <f t="shared" si="7"/>
        <v>Negligible</v>
      </c>
      <c r="U48" s="187"/>
      <c r="V48" s="187"/>
      <c r="W48" s="188"/>
      <c r="X48" s="187"/>
      <c r="Y48" s="129">
        <v>0</v>
      </c>
      <c r="Z48" s="129"/>
      <c r="AA48" s="129"/>
      <c r="AB48" s="128"/>
      <c r="AC48" s="128"/>
      <c r="AD48" s="128"/>
      <c r="AE48" s="189"/>
      <c r="AF48" s="189"/>
      <c r="AG48" s="189"/>
      <c r="AH48" s="128">
        <f t="shared" si="2"/>
        <v>0</v>
      </c>
      <c r="AI48" s="128">
        <f>IF(AC48="",0,IF(AC48&lt;=SelectionCriteria!$G$5,1, IF(AC48&lt;=SelectionCriteria!$G$4,2, IF(AC48&lt;=SelectionCriteria!$G$3,3,4))))</f>
        <v>0</v>
      </c>
      <c r="AJ48" s="128">
        <f t="shared" si="14"/>
        <v>0</v>
      </c>
      <c r="AK48" s="128">
        <f t="shared" si="15"/>
        <v>0</v>
      </c>
      <c r="AL48" s="179">
        <f t="shared" si="4"/>
        <v>0</v>
      </c>
      <c r="AM48" s="4" t="str">
        <f t="shared" si="12"/>
        <v>Not Residual</v>
      </c>
      <c r="AN48" s="129"/>
      <c r="AO48" s="179">
        <f t="shared" si="9"/>
        <v>0</v>
      </c>
      <c r="AP48" s="179">
        <f t="shared" si="10"/>
        <v>0</v>
      </c>
      <c r="AQ48" s="190"/>
      <c r="AR48" s="86" t="str">
        <f t="shared" si="13"/>
        <v>Not Residual</v>
      </c>
      <c r="AS48" s="86" t="str">
        <f t="shared" si="5"/>
        <v>Not Residual</v>
      </c>
      <c r="AT48" s="190"/>
      <c r="AU48" s="190"/>
      <c r="AV48" s="190"/>
      <c r="AW48" s="190" t="s">
        <v>624</v>
      </c>
      <c r="AX48" s="191"/>
      <c r="AY48" s="192" t="s">
        <v>620</v>
      </c>
    </row>
    <row r="49" spans="1:51" s="192" customFormat="1" ht="30" hidden="1" customHeight="1" x14ac:dyDescent="0.25">
      <c r="A49" s="171">
        <v>40</v>
      </c>
      <c r="B49" s="258" t="s">
        <v>185</v>
      </c>
      <c r="C49" s="217">
        <v>1.05</v>
      </c>
      <c r="D49" s="183" t="s">
        <v>106</v>
      </c>
      <c r="E49" s="183" t="s">
        <v>182</v>
      </c>
      <c r="F49" s="184"/>
      <c r="G49" s="185" t="s">
        <v>183</v>
      </c>
      <c r="H49" s="298" t="s">
        <v>194</v>
      </c>
      <c r="I49" s="187" t="s">
        <v>200</v>
      </c>
      <c r="J49" s="129">
        <v>0.2</v>
      </c>
      <c r="K49" s="129"/>
      <c r="L49" s="129"/>
      <c r="M49" s="186">
        <v>25</v>
      </c>
      <c r="N49" s="128">
        <f t="shared" si="6"/>
        <v>3</v>
      </c>
      <c r="O49" s="128">
        <f>IF(M49="",0,IF(M49&lt;=SelectionCriteria!$G$5,1, IF(M49&lt;=SelectionCriteria!$G$4,2, IF(M49&lt;=SelectionCriteria!$G$3,3,4))))</f>
        <v>1</v>
      </c>
      <c r="P49" s="128">
        <f t="shared" si="56"/>
        <v>0</v>
      </c>
      <c r="Q49" s="128">
        <f t="shared" si="57"/>
        <v>0</v>
      </c>
      <c r="R49" s="179">
        <f t="shared" si="58"/>
        <v>1</v>
      </c>
      <c r="S49" s="179"/>
      <c r="T49" s="180" t="str">
        <f t="shared" si="7"/>
        <v>Negligible</v>
      </c>
      <c r="U49" s="187"/>
      <c r="V49" s="187"/>
      <c r="W49" s="188"/>
      <c r="X49" s="187"/>
      <c r="Y49" s="129">
        <v>0</v>
      </c>
      <c r="Z49" s="129"/>
      <c r="AA49" s="129"/>
      <c r="AB49" s="128"/>
      <c r="AC49" s="128"/>
      <c r="AD49" s="128"/>
      <c r="AE49" s="189"/>
      <c r="AF49" s="189"/>
      <c r="AG49" s="189"/>
      <c r="AH49" s="128">
        <f t="shared" si="2"/>
        <v>0</v>
      </c>
      <c r="AI49" s="128">
        <f>IF(AC49="",0,IF(AC49&lt;=SelectionCriteria!$G$5,1, IF(AC49&lt;=SelectionCriteria!$G$4,2, IF(AC49&lt;=SelectionCriteria!$G$3,3,4))))</f>
        <v>0</v>
      </c>
      <c r="AJ49" s="128">
        <f t="shared" si="14"/>
        <v>0</v>
      </c>
      <c r="AK49" s="128">
        <f t="shared" si="15"/>
        <v>0</v>
      </c>
      <c r="AL49" s="179">
        <f t="shared" si="4"/>
        <v>0</v>
      </c>
      <c r="AM49" s="4" t="str">
        <f t="shared" si="12"/>
        <v>Not Residual</v>
      </c>
      <c r="AN49" s="129"/>
      <c r="AO49" s="179">
        <f t="shared" si="9"/>
        <v>0</v>
      </c>
      <c r="AP49" s="179">
        <f t="shared" si="10"/>
        <v>0</v>
      </c>
      <c r="AQ49" s="190"/>
      <c r="AR49" s="86" t="str">
        <f t="shared" si="13"/>
        <v>Not Residual</v>
      </c>
      <c r="AS49" s="86" t="str">
        <f t="shared" si="5"/>
        <v>Not Residual</v>
      </c>
      <c r="AT49" s="190"/>
      <c r="AU49" s="190"/>
      <c r="AV49" s="190"/>
      <c r="AW49" s="190" t="s">
        <v>625</v>
      </c>
      <c r="AX49" s="190"/>
      <c r="AY49" s="192" t="s">
        <v>620</v>
      </c>
    </row>
    <row r="50" spans="1:51" s="192" customFormat="1" ht="30" hidden="1" customHeight="1" x14ac:dyDescent="0.25">
      <c r="A50" s="171">
        <v>41</v>
      </c>
      <c r="B50" s="258" t="s">
        <v>186</v>
      </c>
      <c r="C50" s="217">
        <v>1.05</v>
      </c>
      <c r="D50" s="183" t="s">
        <v>106</v>
      </c>
      <c r="E50" s="183" t="s">
        <v>182</v>
      </c>
      <c r="F50" s="184"/>
      <c r="G50" s="185" t="s">
        <v>183</v>
      </c>
      <c r="H50" s="298" t="s">
        <v>195</v>
      </c>
      <c r="I50" s="187" t="s">
        <v>199</v>
      </c>
      <c r="J50" s="129">
        <v>0.2</v>
      </c>
      <c r="K50" s="129"/>
      <c r="L50" s="129"/>
      <c r="M50" s="186">
        <v>25</v>
      </c>
      <c r="N50" s="128">
        <f t="shared" si="6"/>
        <v>3</v>
      </c>
      <c r="O50" s="128">
        <f>IF(M50="",0,IF(M50&lt;=SelectionCriteria!$G$5,1, IF(M50&lt;=SelectionCriteria!$G$4,2, IF(M50&lt;=SelectionCriteria!$G$3,3,4))))</f>
        <v>1</v>
      </c>
      <c r="P50" s="128">
        <f t="shared" si="56"/>
        <v>0</v>
      </c>
      <c r="Q50" s="128">
        <f t="shared" si="57"/>
        <v>0</v>
      </c>
      <c r="R50" s="179">
        <f t="shared" si="58"/>
        <v>1</v>
      </c>
      <c r="S50" s="179"/>
      <c r="T50" s="180" t="str">
        <f t="shared" si="7"/>
        <v>Negligible</v>
      </c>
      <c r="U50" s="187"/>
      <c r="V50" s="187"/>
      <c r="W50" s="188"/>
      <c r="X50" s="187"/>
      <c r="Y50" s="129">
        <v>0</v>
      </c>
      <c r="Z50" s="129"/>
      <c r="AA50" s="129"/>
      <c r="AB50" s="128"/>
      <c r="AC50" s="128"/>
      <c r="AD50" s="128"/>
      <c r="AE50" s="189"/>
      <c r="AF50" s="189"/>
      <c r="AG50" s="189"/>
      <c r="AH50" s="128">
        <f t="shared" si="2"/>
        <v>0</v>
      </c>
      <c r="AI50" s="128">
        <f>IF(AC50="",0,IF(AC50&lt;=SelectionCriteria!$G$5,1, IF(AC50&lt;=SelectionCriteria!$G$4,2, IF(AC50&lt;=SelectionCriteria!$G$3,3,4))))</f>
        <v>0</v>
      </c>
      <c r="AJ50" s="128">
        <f t="shared" si="14"/>
        <v>0</v>
      </c>
      <c r="AK50" s="128">
        <f t="shared" si="15"/>
        <v>0</v>
      </c>
      <c r="AL50" s="179">
        <f t="shared" si="4"/>
        <v>0</v>
      </c>
      <c r="AM50" s="4" t="str">
        <f t="shared" si="12"/>
        <v>Not Residual</v>
      </c>
      <c r="AN50" s="129"/>
      <c r="AO50" s="179">
        <f t="shared" si="9"/>
        <v>0</v>
      </c>
      <c r="AP50" s="179">
        <f t="shared" si="10"/>
        <v>0</v>
      </c>
      <c r="AQ50" s="190"/>
      <c r="AR50" s="86" t="str">
        <f t="shared" si="13"/>
        <v>Not Residual</v>
      </c>
      <c r="AS50" s="86" t="str">
        <f t="shared" si="5"/>
        <v>Not Residual</v>
      </c>
      <c r="AT50" s="190"/>
      <c r="AU50" s="190"/>
      <c r="AV50" s="190"/>
      <c r="AW50" s="190" t="s">
        <v>279</v>
      </c>
      <c r="AX50" s="190"/>
      <c r="AY50" s="192" t="s">
        <v>620</v>
      </c>
    </row>
    <row r="51" spans="1:51" s="192" customFormat="1" ht="30" hidden="1" customHeight="1" x14ac:dyDescent="0.25">
      <c r="A51" s="171">
        <v>42</v>
      </c>
      <c r="B51" s="258" t="s">
        <v>187</v>
      </c>
      <c r="C51" s="217">
        <v>1.05</v>
      </c>
      <c r="D51" s="183" t="s">
        <v>106</v>
      </c>
      <c r="E51" s="183" t="s">
        <v>182</v>
      </c>
      <c r="F51" s="184"/>
      <c r="G51" s="185" t="s">
        <v>183</v>
      </c>
      <c r="H51" s="298" t="s">
        <v>196</v>
      </c>
      <c r="I51" s="187" t="s">
        <v>201</v>
      </c>
      <c r="J51" s="129">
        <v>0.5</v>
      </c>
      <c r="K51" s="129"/>
      <c r="L51" s="129"/>
      <c r="M51" s="186">
        <v>43</v>
      </c>
      <c r="N51" s="128">
        <f t="shared" si="6"/>
        <v>3</v>
      </c>
      <c r="O51" s="128">
        <f>IF(M51="",0,IF(M51&lt;=SelectionCriteria!$G$5,1, IF(M51&lt;=SelectionCriteria!$G$4,2, IF(M51&lt;=SelectionCriteria!$G$3,3,4))))</f>
        <v>2</v>
      </c>
      <c r="P51" s="128">
        <f t="shared" si="56"/>
        <v>0</v>
      </c>
      <c r="Q51" s="128">
        <f t="shared" si="57"/>
        <v>0</v>
      </c>
      <c r="R51" s="179">
        <f t="shared" si="58"/>
        <v>2</v>
      </c>
      <c r="S51" s="179"/>
      <c r="T51" s="180" t="str">
        <f t="shared" si="7"/>
        <v>Low</v>
      </c>
      <c r="U51" s="187"/>
      <c r="V51" s="187"/>
      <c r="W51" s="188"/>
      <c r="X51" s="187"/>
      <c r="Y51" s="129">
        <v>0</v>
      </c>
      <c r="Z51" s="129"/>
      <c r="AA51" s="129"/>
      <c r="AB51" s="128"/>
      <c r="AC51" s="128"/>
      <c r="AD51" s="128"/>
      <c r="AE51" s="189"/>
      <c r="AF51" s="189"/>
      <c r="AG51" s="189"/>
      <c r="AH51" s="128">
        <f t="shared" si="2"/>
        <v>0</v>
      </c>
      <c r="AI51" s="128">
        <f>IF(AC51="",0,IF(AC51&lt;=SelectionCriteria!$G$5,1, IF(AC51&lt;=SelectionCriteria!$G$4,2, IF(AC51&lt;=SelectionCriteria!$G$3,3,4))))</f>
        <v>0</v>
      </c>
      <c r="AJ51" s="128">
        <f t="shared" si="14"/>
        <v>0</v>
      </c>
      <c r="AK51" s="128">
        <f t="shared" si="15"/>
        <v>0</v>
      </c>
      <c r="AL51" s="179">
        <f t="shared" si="4"/>
        <v>0</v>
      </c>
      <c r="AM51" s="4" t="str">
        <f t="shared" si="12"/>
        <v>Not Residual</v>
      </c>
      <c r="AN51" s="129"/>
      <c r="AO51" s="179">
        <f t="shared" si="9"/>
        <v>0</v>
      </c>
      <c r="AP51" s="179">
        <f t="shared" si="10"/>
        <v>0</v>
      </c>
      <c r="AQ51" s="190"/>
      <c r="AR51" s="86" t="str">
        <f t="shared" si="13"/>
        <v>Not Residual</v>
      </c>
      <c r="AS51" s="86" t="str">
        <f t="shared" si="5"/>
        <v>Not Residual</v>
      </c>
      <c r="AT51" s="190"/>
      <c r="AU51" s="190"/>
      <c r="AV51" s="190"/>
      <c r="AW51" s="190" t="s">
        <v>626</v>
      </c>
      <c r="AX51" s="190"/>
      <c r="AY51" s="192" t="s">
        <v>620</v>
      </c>
    </row>
    <row r="52" spans="1:51" s="192" customFormat="1" ht="30" hidden="1" customHeight="1" x14ac:dyDescent="0.25">
      <c r="A52" s="171">
        <v>43</v>
      </c>
      <c r="B52" s="258" t="s">
        <v>188</v>
      </c>
      <c r="C52" s="217">
        <v>1.05</v>
      </c>
      <c r="D52" s="183" t="s">
        <v>106</v>
      </c>
      <c r="E52" s="183" t="s">
        <v>182</v>
      </c>
      <c r="F52" s="184"/>
      <c r="G52" s="185" t="s">
        <v>183</v>
      </c>
      <c r="H52" s="298" t="s">
        <v>197</v>
      </c>
      <c r="I52" s="187" t="s">
        <v>616</v>
      </c>
      <c r="J52" s="129">
        <v>0.1</v>
      </c>
      <c r="K52" s="129"/>
      <c r="L52" s="129"/>
      <c r="M52" s="186">
        <v>100</v>
      </c>
      <c r="N52" s="128">
        <f t="shared" si="6"/>
        <v>2</v>
      </c>
      <c r="O52" s="128">
        <f>IF(M52="",0,IF(M52&lt;=SelectionCriteria!$G$5,1, IF(M52&lt;=SelectionCriteria!$G$4,2, IF(M52&lt;=SelectionCriteria!$G$3,3,4))))</f>
        <v>2</v>
      </c>
      <c r="P52" s="128">
        <f t="shared" si="56"/>
        <v>0</v>
      </c>
      <c r="Q52" s="128">
        <f t="shared" si="57"/>
        <v>0</v>
      </c>
      <c r="R52" s="179">
        <f t="shared" si="58"/>
        <v>1.3333333333333333</v>
      </c>
      <c r="S52" s="179"/>
      <c r="T52" s="180" t="str">
        <f t="shared" si="7"/>
        <v>Low</v>
      </c>
      <c r="U52" s="187"/>
      <c r="V52" s="187"/>
      <c r="W52" s="188"/>
      <c r="X52" s="187"/>
      <c r="Y52" s="129">
        <v>0</v>
      </c>
      <c r="Z52" s="129"/>
      <c r="AA52" s="129"/>
      <c r="AB52" s="128"/>
      <c r="AC52" s="128"/>
      <c r="AD52" s="128"/>
      <c r="AE52" s="128"/>
      <c r="AF52" s="128"/>
      <c r="AG52" s="128"/>
      <c r="AH52" s="128">
        <f t="shared" si="2"/>
        <v>0</v>
      </c>
      <c r="AI52" s="128">
        <f>IF(AC52="",0,IF(AC52&lt;=SelectionCriteria!$G$5,1, IF(AC52&lt;=SelectionCriteria!$G$4,2, IF(AC52&lt;=SelectionCriteria!$G$3,3,4))))</f>
        <v>0</v>
      </c>
      <c r="AJ52" s="128">
        <f t="shared" si="14"/>
        <v>0</v>
      </c>
      <c r="AK52" s="128">
        <f t="shared" si="15"/>
        <v>0</v>
      </c>
      <c r="AL52" s="179">
        <f t="shared" si="4"/>
        <v>0</v>
      </c>
      <c r="AM52" s="4" t="str">
        <f t="shared" si="12"/>
        <v>Not Residual</v>
      </c>
      <c r="AN52" s="129"/>
      <c r="AO52" s="179">
        <f t="shared" si="9"/>
        <v>0</v>
      </c>
      <c r="AP52" s="179">
        <f t="shared" si="10"/>
        <v>0</v>
      </c>
      <c r="AQ52" s="190"/>
      <c r="AR52" s="86" t="str">
        <f t="shared" si="13"/>
        <v>Not Residual</v>
      </c>
      <c r="AS52" s="86" t="str">
        <f t="shared" si="5"/>
        <v>Not Residual</v>
      </c>
      <c r="AT52" s="190"/>
      <c r="AU52" s="190"/>
      <c r="AV52" s="190"/>
      <c r="AW52" s="190" t="s">
        <v>623</v>
      </c>
      <c r="AX52" s="190"/>
      <c r="AY52" s="192" t="s">
        <v>620</v>
      </c>
    </row>
    <row r="53" spans="1:51" s="192" customFormat="1" ht="30" hidden="1" customHeight="1" x14ac:dyDescent="0.25">
      <c r="A53" s="171">
        <v>44</v>
      </c>
      <c r="B53" s="258" t="s">
        <v>189</v>
      </c>
      <c r="C53" s="210" t="s">
        <v>308</v>
      </c>
      <c r="D53" s="183" t="s">
        <v>106</v>
      </c>
      <c r="E53" s="183" t="s">
        <v>182</v>
      </c>
      <c r="F53" s="184"/>
      <c r="G53" s="223" t="s">
        <v>183</v>
      </c>
      <c r="H53" s="298" t="s">
        <v>198</v>
      </c>
      <c r="I53" s="187" t="s">
        <v>615</v>
      </c>
      <c r="J53" s="129">
        <v>0.15</v>
      </c>
      <c r="K53" s="129"/>
      <c r="L53" s="129"/>
      <c r="M53" s="186">
        <v>100</v>
      </c>
      <c r="N53" s="128">
        <f t="shared" si="6"/>
        <v>3</v>
      </c>
      <c r="O53" s="128">
        <f>IF(M53="",0,IF(M53&lt;=SelectionCriteria!$G$5,1, IF(M53&lt;=SelectionCriteria!$G$4,2, IF(M53&lt;=SelectionCriteria!$G$3,3,4))))</f>
        <v>2</v>
      </c>
      <c r="P53" s="128">
        <f t="shared" si="56"/>
        <v>0</v>
      </c>
      <c r="Q53" s="128">
        <f t="shared" si="57"/>
        <v>0</v>
      </c>
      <c r="R53" s="179">
        <f t="shared" si="58"/>
        <v>2</v>
      </c>
      <c r="S53" s="179"/>
      <c r="T53" s="180" t="str">
        <f t="shared" si="7"/>
        <v>Low</v>
      </c>
      <c r="U53" s="187"/>
      <c r="V53" s="187"/>
      <c r="W53" s="188"/>
      <c r="X53" s="187"/>
      <c r="Y53" s="220">
        <v>0</v>
      </c>
      <c r="Z53" s="220" t="s">
        <v>2</v>
      </c>
      <c r="AA53" s="129"/>
      <c r="AB53" s="221">
        <v>0</v>
      </c>
      <c r="AC53" s="221">
        <v>0</v>
      </c>
      <c r="AD53" s="221">
        <v>107</v>
      </c>
      <c r="AE53" s="222">
        <v>1</v>
      </c>
      <c r="AF53" s="222">
        <v>2</v>
      </c>
      <c r="AG53" s="222">
        <v>2</v>
      </c>
      <c r="AH53" s="128">
        <f t="shared" si="2"/>
        <v>0</v>
      </c>
      <c r="AI53" s="128">
        <f>IF(AC53="",0,IF(AC53&lt;=SelectionCriteria!$G$5,1, IF(AC53&lt;=SelectionCriteria!$G$4,2, IF(AC53&lt;=SelectionCriteria!$G$3,3,4))))</f>
        <v>1</v>
      </c>
      <c r="AJ53" s="128">
        <f t="shared" si="14"/>
        <v>2</v>
      </c>
      <c r="AK53" s="128">
        <f t="shared" si="15"/>
        <v>0</v>
      </c>
      <c r="AL53" s="179">
        <f t="shared" si="4"/>
        <v>0</v>
      </c>
      <c r="AM53" s="4" t="str">
        <f t="shared" si="12"/>
        <v>Not Residual</v>
      </c>
      <c r="AN53" s="129"/>
      <c r="AO53" s="179">
        <f t="shared" si="9"/>
        <v>0</v>
      </c>
      <c r="AP53" s="179">
        <f t="shared" si="10"/>
        <v>0</v>
      </c>
      <c r="AQ53" s="190"/>
      <c r="AR53" s="86" t="str">
        <f t="shared" si="13"/>
        <v>Not Residual</v>
      </c>
      <c r="AS53" s="86" t="str">
        <f t="shared" si="5"/>
        <v>Not Residual</v>
      </c>
      <c r="AT53" s="190"/>
      <c r="AU53" s="190"/>
      <c r="AV53" s="190"/>
      <c r="AW53" s="190" t="s">
        <v>590</v>
      </c>
      <c r="AX53" s="190"/>
      <c r="AY53" s="192" t="s">
        <v>620</v>
      </c>
    </row>
    <row r="54" spans="1:51" s="192" customFormat="1" ht="30" hidden="1" customHeight="1" x14ac:dyDescent="0.25">
      <c r="A54" s="171">
        <v>45</v>
      </c>
      <c r="B54" s="258" t="s">
        <v>374</v>
      </c>
      <c r="C54" s="210" t="s">
        <v>375</v>
      </c>
      <c r="D54" s="183" t="s">
        <v>106</v>
      </c>
      <c r="E54" s="183" t="s">
        <v>182</v>
      </c>
      <c r="F54" s="184"/>
      <c r="G54" s="223" t="s">
        <v>183</v>
      </c>
      <c r="H54" s="298" t="s">
        <v>376</v>
      </c>
      <c r="I54" s="187" t="s">
        <v>614</v>
      </c>
      <c r="J54" s="129"/>
      <c r="K54" s="129"/>
      <c r="L54" s="129"/>
      <c r="M54" s="129"/>
      <c r="N54" s="129"/>
      <c r="O54" s="129"/>
      <c r="P54" s="129"/>
      <c r="Q54" s="129"/>
      <c r="R54" s="179">
        <f t="shared" si="58"/>
        <v>0</v>
      </c>
      <c r="S54" s="179"/>
      <c r="T54" s="180" t="str">
        <f t="shared" ref="T54:T59" si="59">IF(R54=0,"Not Primary",IF(R54&lt;=1,"Negligible",IF(R54&lt;=2,"Low",IF(R54&lt;=3,"Moderate","High"))))</f>
        <v>Not Primary</v>
      </c>
      <c r="U54" s="187"/>
      <c r="V54" s="187"/>
      <c r="W54" s="188"/>
      <c r="X54" s="187"/>
      <c r="Y54" s="220">
        <v>0</v>
      </c>
      <c r="Z54" s="220" t="s">
        <v>2</v>
      </c>
      <c r="AA54" s="129"/>
      <c r="AB54" s="221">
        <v>161</v>
      </c>
      <c r="AC54" s="221">
        <v>161</v>
      </c>
      <c r="AD54" s="221">
        <v>161</v>
      </c>
      <c r="AE54" s="222">
        <v>0</v>
      </c>
      <c r="AF54" s="222">
        <v>0</v>
      </c>
      <c r="AG54" s="222">
        <v>0</v>
      </c>
      <c r="AH54" s="128">
        <f t="shared" ref="AH54:AH59" si="60">IF(Y54=0,0,IF(Y54&lt;=0.01,1, IF(Y54&lt;=0.1,2, IF(Y54&lt;=0.5,3,4))))</f>
        <v>0</v>
      </c>
      <c r="AI54" s="128">
        <f>IF(AC54="",0,IF(AC54&lt;=SelectionCriteria!$G$5,1, IF(AC54&lt;=SelectionCriteria!$G$4,2, IF(AC54&lt;=SelectionCriteria!$G$3,3,4))))</f>
        <v>3</v>
      </c>
      <c r="AJ54" s="128">
        <f t="shared" ref="AJ54:AK59" si="61">IF(Z54="",0,IF(Z54="Negligible",1,IF(Z54="Low",2,IF(Z54="Moderate",3,4))))</f>
        <v>2</v>
      </c>
      <c r="AK54" s="128">
        <f t="shared" si="61"/>
        <v>0</v>
      </c>
      <c r="AL54" s="179">
        <f t="shared" ref="AL54:AL59" si="62">AH54*((AI54+AJ54+AK54)/3)</f>
        <v>0</v>
      </c>
      <c r="AM54" s="4" t="str">
        <f t="shared" si="12"/>
        <v>Not Residual</v>
      </c>
      <c r="AN54" s="129"/>
      <c r="AO54" s="179">
        <f t="shared" ref="AO54:AO59" si="63">Y54*AC54</f>
        <v>0</v>
      </c>
      <c r="AP54" s="179">
        <f t="shared" ref="AP54:AP59" si="64">Y54*(SUM(AB54:AD54)/3)</f>
        <v>0</v>
      </c>
      <c r="AQ54" s="190"/>
      <c r="AR54" s="86" t="str">
        <f t="shared" ref="AR54:AR59" si="65">IF(Y54=0,"Not Residual",IF(AH54=4,("Very Likely"),(IF(AH54=3,("Possible"),(IF(AH54=2,("Unlikely"),("Rare")))))))</f>
        <v>Not Residual</v>
      </c>
      <c r="AS54" s="86" t="str">
        <f t="shared" ref="AS54:AS59" si="66">AM54</f>
        <v>Not Residual</v>
      </c>
      <c r="AT54" s="190"/>
      <c r="AU54" s="190"/>
      <c r="AV54" s="190"/>
      <c r="AW54" s="190" t="s">
        <v>590</v>
      </c>
      <c r="AX54" s="190"/>
      <c r="AY54" s="192" t="s">
        <v>620</v>
      </c>
    </row>
    <row r="55" spans="1:51" s="192" customFormat="1" ht="31.5" hidden="1" customHeight="1" x14ac:dyDescent="0.25">
      <c r="A55" s="171">
        <v>46</v>
      </c>
      <c r="B55" s="258" t="s">
        <v>377</v>
      </c>
      <c r="C55" s="233">
        <v>229300</v>
      </c>
      <c r="D55" s="183" t="s">
        <v>106</v>
      </c>
      <c r="E55" s="183" t="s">
        <v>182</v>
      </c>
      <c r="F55" s="184"/>
      <c r="G55" s="223" t="s">
        <v>183</v>
      </c>
      <c r="H55" s="300" t="s">
        <v>380</v>
      </c>
      <c r="I55" s="298" t="s">
        <v>609</v>
      </c>
      <c r="J55" s="129"/>
      <c r="K55" s="129"/>
      <c r="L55" s="129"/>
      <c r="M55" s="129"/>
      <c r="N55" s="129"/>
      <c r="O55" s="129"/>
      <c r="P55" s="129"/>
      <c r="Q55" s="129"/>
      <c r="R55" s="179">
        <f t="shared" si="58"/>
        <v>0</v>
      </c>
      <c r="S55" s="179"/>
      <c r="T55" s="180" t="str">
        <f t="shared" si="59"/>
        <v>Not Primary</v>
      </c>
      <c r="U55" s="187"/>
      <c r="V55" s="187"/>
      <c r="W55" s="188"/>
      <c r="X55" s="187"/>
      <c r="Y55" s="262">
        <v>0</v>
      </c>
      <c r="Z55" s="220" t="s">
        <v>2</v>
      </c>
      <c r="AA55" s="129"/>
      <c r="AB55" s="263">
        <v>0</v>
      </c>
      <c r="AC55" s="263">
        <v>0</v>
      </c>
      <c r="AD55" s="263">
        <v>0</v>
      </c>
      <c r="AE55" s="264">
        <v>1</v>
      </c>
      <c r="AF55" s="264">
        <v>3</v>
      </c>
      <c r="AG55" s="264">
        <v>6</v>
      </c>
      <c r="AH55" s="128">
        <f t="shared" si="60"/>
        <v>0</v>
      </c>
      <c r="AI55" s="128">
        <f>IF(AC55="",0,IF(AC55&lt;=SelectionCriteria!$G$5,1, IF(AC55&lt;=SelectionCriteria!$G$4,2, IF(AC55&lt;=SelectionCriteria!$G$3,3,4))))</f>
        <v>1</v>
      </c>
      <c r="AJ55" s="128">
        <f t="shared" si="61"/>
        <v>2</v>
      </c>
      <c r="AK55" s="128">
        <f t="shared" si="61"/>
        <v>0</v>
      </c>
      <c r="AL55" s="179">
        <f t="shared" si="62"/>
        <v>0</v>
      </c>
      <c r="AM55" s="259" t="str">
        <f t="shared" si="12"/>
        <v>Not Residual</v>
      </c>
      <c r="AN55" s="129"/>
      <c r="AO55" s="179">
        <f t="shared" si="63"/>
        <v>0</v>
      </c>
      <c r="AP55" s="179">
        <f t="shared" si="64"/>
        <v>0</v>
      </c>
      <c r="AQ55" s="190"/>
      <c r="AR55" s="86" t="str">
        <f t="shared" si="65"/>
        <v>Not Residual</v>
      </c>
      <c r="AS55" s="86" t="str">
        <f t="shared" si="66"/>
        <v>Not Residual</v>
      </c>
      <c r="AT55" s="190"/>
      <c r="AU55" s="190"/>
      <c r="AV55" s="190"/>
      <c r="AW55" s="285" t="s">
        <v>667</v>
      </c>
      <c r="AX55" s="190"/>
      <c r="AY55" s="192" t="s">
        <v>619</v>
      </c>
    </row>
    <row r="56" spans="1:51" s="192" customFormat="1" ht="30" hidden="1" customHeight="1" x14ac:dyDescent="0.25">
      <c r="A56" s="171">
        <v>47</v>
      </c>
      <c r="B56" s="258" t="s">
        <v>378</v>
      </c>
      <c r="C56" s="234">
        <v>240600</v>
      </c>
      <c r="D56" s="183" t="s">
        <v>106</v>
      </c>
      <c r="E56" s="183" t="s">
        <v>182</v>
      </c>
      <c r="F56" s="184"/>
      <c r="G56" s="223" t="s">
        <v>183</v>
      </c>
      <c r="H56" s="298" t="s">
        <v>381</v>
      </c>
      <c r="I56" s="298" t="s">
        <v>613</v>
      </c>
      <c r="J56" s="129"/>
      <c r="K56" s="129"/>
      <c r="L56" s="129"/>
      <c r="M56" s="129"/>
      <c r="N56" s="129"/>
      <c r="O56" s="129"/>
      <c r="P56" s="129"/>
      <c r="Q56" s="129"/>
      <c r="R56" s="179">
        <f>N56*((O56+P56+Q56)/3)</f>
        <v>0</v>
      </c>
      <c r="S56" s="179"/>
      <c r="T56" s="180" t="str">
        <f t="shared" si="59"/>
        <v>Not Primary</v>
      </c>
      <c r="U56" s="187"/>
      <c r="V56" s="187"/>
      <c r="W56" s="188"/>
      <c r="X56" s="187"/>
      <c r="Y56" s="220">
        <v>0</v>
      </c>
      <c r="Z56" s="220" t="s">
        <v>2</v>
      </c>
      <c r="AA56" s="129"/>
      <c r="AB56" s="221">
        <v>161</v>
      </c>
      <c r="AC56" s="221">
        <v>161</v>
      </c>
      <c r="AD56" s="221">
        <v>161</v>
      </c>
      <c r="AE56" s="222">
        <v>0</v>
      </c>
      <c r="AF56" s="222">
        <v>0</v>
      </c>
      <c r="AG56" s="222">
        <v>0</v>
      </c>
      <c r="AH56" s="128">
        <f t="shared" si="60"/>
        <v>0</v>
      </c>
      <c r="AI56" s="128">
        <f>IF(AC56="",0,IF(AC56&lt;=SelectionCriteria!$G$5,1, IF(AC56&lt;=SelectionCriteria!$G$4,2, IF(AC56&lt;=SelectionCriteria!$G$3,3,4))))</f>
        <v>3</v>
      </c>
      <c r="AJ56" s="128">
        <f t="shared" si="61"/>
        <v>2</v>
      </c>
      <c r="AK56" s="128">
        <f t="shared" si="61"/>
        <v>0</v>
      </c>
      <c r="AL56" s="179">
        <f t="shared" si="62"/>
        <v>0</v>
      </c>
      <c r="AM56" s="4" t="str">
        <f t="shared" si="12"/>
        <v>Not Residual</v>
      </c>
      <c r="AN56" s="129"/>
      <c r="AO56" s="179">
        <f t="shared" si="63"/>
        <v>0</v>
      </c>
      <c r="AP56" s="179">
        <f t="shared" si="64"/>
        <v>0</v>
      </c>
      <c r="AQ56" s="190"/>
      <c r="AR56" s="86" t="str">
        <f t="shared" si="65"/>
        <v>Not Residual</v>
      </c>
      <c r="AS56" s="86" t="str">
        <f t="shared" si="66"/>
        <v>Not Residual</v>
      </c>
      <c r="AT56" s="190"/>
      <c r="AU56" s="190"/>
      <c r="AV56" s="190"/>
      <c r="AW56" s="190" t="s">
        <v>590</v>
      </c>
      <c r="AX56" s="190"/>
      <c r="AY56" s="192" t="s">
        <v>620</v>
      </c>
    </row>
    <row r="57" spans="1:51" s="192" customFormat="1" ht="30" hidden="1" customHeight="1" x14ac:dyDescent="0.25">
      <c r="A57" s="171">
        <v>48</v>
      </c>
      <c r="B57" s="258" t="s">
        <v>382</v>
      </c>
      <c r="C57" s="233">
        <v>252900</v>
      </c>
      <c r="D57" s="183" t="s">
        <v>106</v>
      </c>
      <c r="E57" s="183" t="s">
        <v>182</v>
      </c>
      <c r="F57" s="184"/>
      <c r="G57" s="223" t="s">
        <v>183</v>
      </c>
      <c r="H57" s="298" t="s">
        <v>610</v>
      </c>
      <c r="I57" s="298" t="s">
        <v>611</v>
      </c>
      <c r="J57" s="129"/>
      <c r="K57" s="129"/>
      <c r="L57" s="129"/>
      <c r="M57" s="129"/>
      <c r="N57" s="129"/>
      <c r="O57" s="129"/>
      <c r="P57" s="129"/>
      <c r="Q57" s="129"/>
      <c r="R57" s="179">
        <f>N57*((O57+P57+Q57)/3)</f>
        <v>0</v>
      </c>
      <c r="S57" s="179"/>
      <c r="T57" s="180" t="str">
        <f t="shared" si="59"/>
        <v>Not Primary</v>
      </c>
      <c r="U57" s="187"/>
      <c r="V57" s="187"/>
      <c r="W57" s="188"/>
      <c r="X57" s="187"/>
      <c r="Y57" s="262">
        <v>0</v>
      </c>
      <c r="Z57" s="220" t="s">
        <v>2</v>
      </c>
      <c r="AA57" s="129"/>
      <c r="AB57" s="263">
        <v>0</v>
      </c>
      <c r="AC57" s="263">
        <v>0</v>
      </c>
      <c r="AD57" s="263">
        <v>0</v>
      </c>
      <c r="AE57" s="264">
        <v>1</v>
      </c>
      <c r="AF57" s="264">
        <v>3</v>
      </c>
      <c r="AG57" s="264">
        <v>6</v>
      </c>
      <c r="AH57" s="128">
        <f t="shared" si="60"/>
        <v>0</v>
      </c>
      <c r="AI57" s="128">
        <f>IF(AC57="",0,IF(AC57&lt;=SelectionCriteria!$G$5,1, IF(AC57&lt;=SelectionCriteria!$G$4,2, IF(AC57&lt;=SelectionCriteria!$G$3,3,4))))</f>
        <v>1</v>
      </c>
      <c r="AJ57" s="128">
        <f t="shared" si="61"/>
        <v>2</v>
      </c>
      <c r="AK57" s="128">
        <f t="shared" si="61"/>
        <v>0</v>
      </c>
      <c r="AL57" s="179">
        <f t="shared" si="62"/>
        <v>0</v>
      </c>
      <c r="AM57" s="259" t="str">
        <f t="shared" si="12"/>
        <v>Not Residual</v>
      </c>
      <c r="AN57" s="129"/>
      <c r="AO57" s="179">
        <f t="shared" si="63"/>
        <v>0</v>
      </c>
      <c r="AP57" s="179">
        <f t="shared" si="64"/>
        <v>0</v>
      </c>
      <c r="AQ57" s="190"/>
      <c r="AR57" s="86" t="str">
        <f t="shared" si="65"/>
        <v>Not Residual</v>
      </c>
      <c r="AS57" s="86" t="str">
        <f t="shared" si="66"/>
        <v>Not Residual</v>
      </c>
      <c r="AT57" s="190"/>
      <c r="AU57" s="190"/>
      <c r="AV57" s="190"/>
      <c r="AW57" s="285" t="s">
        <v>667</v>
      </c>
      <c r="AX57" s="190"/>
      <c r="AY57" s="192" t="s">
        <v>619</v>
      </c>
    </row>
    <row r="58" spans="1:51" s="192" customFormat="1" ht="30" customHeight="1" x14ac:dyDescent="0.25">
      <c r="A58" s="171">
        <v>49</v>
      </c>
      <c r="B58" s="209" t="s">
        <v>383</v>
      </c>
      <c r="C58" s="233">
        <v>252700</v>
      </c>
      <c r="D58" s="183" t="s">
        <v>106</v>
      </c>
      <c r="E58" s="183" t="s">
        <v>182</v>
      </c>
      <c r="F58" s="184"/>
      <c r="G58" s="223" t="s">
        <v>183</v>
      </c>
      <c r="H58" s="250" t="s">
        <v>385</v>
      </c>
      <c r="I58" s="298" t="s">
        <v>612</v>
      </c>
      <c r="J58" s="129"/>
      <c r="K58" s="129"/>
      <c r="L58" s="129"/>
      <c r="M58" s="129"/>
      <c r="N58" s="129"/>
      <c r="O58" s="129"/>
      <c r="P58" s="129"/>
      <c r="Q58" s="129"/>
      <c r="R58" s="179">
        <f>N58*((O58+P58+Q58)/3)</f>
        <v>0</v>
      </c>
      <c r="S58" s="179"/>
      <c r="T58" s="180" t="str">
        <f t="shared" si="59"/>
        <v>Not Primary</v>
      </c>
      <c r="U58" s="187" t="s">
        <v>51</v>
      </c>
      <c r="V58" s="187"/>
      <c r="W58" s="188"/>
      <c r="X58" s="187"/>
      <c r="Y58" s="262">
        <v>0.7</v>
      </c>
      <c r="Z58" s="220" t="s">
        <v>2</v>
      </c>
      <c r="AA58" s="129"/>
      <c r="AB58" s="263">
        <v>117</v>
      </c>
      <c r="AC58" s="263">
        <v>117</v>
      </c>
      <c r="AD58" s="263">
        <v>117</v>
      </c>
      <c r="AE58" s="264">
        <v>0</v>
      </c>
      <c r="AF58" s="264">
        <v>0</v>
      </c>
      <c r="AG58" s="264">
        <v>0</v>
      </c>
      <c r="AH58" s="128">
        <f t="shared" si="60"/>
        <v>4</v>
      </c>
      <c r="AI58" s="128">
        <f>IF(AC58="",0,IF(AC58&lt;=SelectionCriteria!$G$5,1, IF(AC58&lt;=SelectionCriteria!$G$4,2, IF(AC58&lt;=SelectionCriteria!$G$3,3,4))))</f>
        <v>3</v>
      </c>
      <c r="AJ58" s="128">
        <f t="shared" si="61"/>
        <v>2</v>
      </c>
      <c r="AK58" s="128">
        <f t="shared" si="61"/>
        <v>0</v>
      </c>
      <c r="AL58" s="179">
        <f t="shared" si="62"/>
        <v>6.666666666666667</v>
      </c>
      <c r="AM58" s="259" t="str">
        <f t="shared" si="12"/>
        <v>High</v>
      </c>
      <c r="AN58" s="129"/>
      <c r="AO58" s="179">
        <f t="shared" si="63"/>
        <v>81.899999999999991</v>
      </c>
      <c r="AP58" s="179">
        <f t="shared" si="64"/>
        <v>81.899999999999991</v>
      </c>
      <c r="AQ58" s="190" t="s">
        <v>678</v>
      </c>
      <c r="AR58" s="86" t="str">
        <f t="shared" si="65"/>
        <v>Very Likely</v>
      </c>
      <c r="AS58" s="86" t="str">
        <f t="shared" si="66"/>
        <v>High</v>
      </c>
      <c r="AT58" s="190"/>
      <c r="AU58" s="190"/>
      <c r="AV58" s="190"/>
      <c r="AW58" s="190"/>
      <c r="AX58" s="190"/>
    </row>
    <row r="59" spans="1:51" s="192" customFormat="1" ht="30" customHeight="1" x14ac:dyDescent="0.25">
      <c r="A59" s="171">
        <v>50</v>
      </c>
      <c r="B59" s="209" t="s">
        <v>384</v>
      </c>
      <c r="C59" s="210" t="s">
        <v>379</v>
      </c>
      <c r="D59" s="183" t="s">
        <v>106</v>
      </c>
      <c r="E59" s="183" t="s">
        <v>182</v>
      </c>
      <c r="F59" s="184"/>
      <c r="G59" s="223" t="s">
        <v>183</v>
      </c>
      <c r="H59" s="250" t="s">
        <v>386</v>
      </c>
      <c r="I59" s="298" t="s">
        <v>675</v>
      </c>
      <c r="J59" s="129"/>
      <c r="K59" s="129"/>
      <c r="L59" s="129"/>
      <c r="M59" s="129"/>
      <c r="N59" s="129"/>
      <c r="O59" s="129"/>
      <c r="P59" s="129"/>
      <c r="Q59" s="129"/>
      <c r="R59" s="179">
        <f>N59*((O59+P59+Q59)/3)</f>
        <v>0</v>
      </c>
      <c r="S59" s="179"/>
      <c r="T59" s="180" t="str">
        <f t="shared" si="59"/>
        <v>Not Primary</v>
      </c>
      <c r="U59" s="187" t="s">
        <v>677</v>
      </c>
      <c r="V59" s="187"/>
      <c r="W59" s="188"/>
      <c r="X59" s="187"/>
      <c r="Y59" s="262">
        <v>0.1</v>
      </c>
      <c r="Z59" s="220" t="s">
        <v>2</v>
      </c>
      <c r="AA59" s="129"/>
      <c r="AB59" s="263">
        <v>0</v>
      </c>
      <c r="AC59" s="263">
        <v>0</v>
      </c>
      <c r="AD59" s="263">
        <v>0</v>
      </c>
      <c r="AE59" s="264">
        <v>1</v>
      </c>
      <c r="AF59" s="264">
        <v>3</v>
      </c>
      <c r="AG59" s="264">
        <v>6</v>
      </c>
      <c r="AH59" s="128">
        <f t="shared" si="60"/>
        <v>2</v>
      </c>
      <c r="AI59" s="128">
        <f>IF(AC59="",0,IF(AC59&lt;=SelectionCriteria!$G$5,1, IF(AC59&lt;=SelectionCriteria!$G$4,2, IF(AC59&lt;=SelectionCriteria!$G$3,3,4))))</f>
        <v>1</v>
      </c>
      <c r="AJ59" s="128">
        <f t="shared" si="61"/>
        <v>2</v>
      </c>
      <c r="AK59" s="128">
        <f t="shared" si="61"/>
        <v>0</v>
      </c>
      <c r="AL59" s="179">
        <f t="shared" si="62"/>
        <v>2</v>
      </c>
      <c r="AM59" s="259" t="str">
        <f t="shared" si="12"/>
        <v>Low</v>
      </c>
      <c r="AN59" s="129"/>
      <c r="AO59" s="179">
        <f t="shared" si="63"/>
        <v>0</v>
      </c>
      <c r="AP59" s="179">
        <f t="shared" si="64"/>
        <v>0</v>
      </c>
      <c r="AQ59" s="190" t="s">
        <v>679</v>
      </c>
      <c r="AR59" s="86" t="str">
        <f t="shared" si="65"/>
        <v>Unlikely</v>
      </c>
      <c r="AS59" s="86" t="str">
        <f t="shared" si="66"/>
        <v>Low</v>
      </c>
      <c r="AT59" s="190"/>
      <c r="AU59" s="190"/>
      <c r="AV59" s="190"/>
      <c r="AW59" s="190"/>
      <c r="AX59" s="190"/>
    </row>
    <row r="60" spans="1:51" s="192" customFormat="1" ht="30" hidden="1" customHeight="1" x14ac:dyDescent="0.25">
      <c r="A60" s="171">
        <v>51</v>
      </c>
      <c r="B60" s="258" t="s">
        <v>584</v>
      </c>
      <c r="C60" s="210" t="s">
        <v>379</v>
      </c>
      <c r="D60" s="183" t="s">
        <v>106</v>
      </c>
      <c r="E60" s="183" t="s">
        <v>182</v>
      </c>
      <c r="F60" s="184"/>
      <c r="G60" s="223" t="s">
        <v>183</v>
      </c>
      <c r="H60" s="250" t="s">
        <v>585</v>
      </c>
      <c r="I60" s="187" t="s">
        <v>190</v>
      </c>
      <c r="J60" s="129"/>
      <c r="K60" s="129"/>
      <c r="L60" s="129"/>
      <c r="M60" s="129"/>
      <c r="N60" s="129"/>
      <c r="O60" s="129"/>
      <c r="P60" s="129"/>
      <c r="Q60" s="129"/>
      <c r="R60" s="187"/>
      <c r="S60" s="179"/>
      <c r="T60" s="180" t="str">
        <f t="shared" ref="T60" si="67">IF(R60=0,"Not Primary",IF(R60&lt;=1,"Negligible",IF(R60&lt;=2,"Low",IF(R60&lt;=3,"Moderate","High"))))</f>
        <v>Not Primary</v>
      </c>
      <c r="U60" s="187"/>
      <c r="V60" s="187"/>
      <c r="W60" s="188"/>
      <c r="X60" s="187"/>
      <c r="Y60" s="220">
        <v>0</v>
      </c>
      <c r="Z60" s="220" t="s">
        <v>2</v>
      </c>
      <c r="AA60" s="129"/>
      <c r="AB60" s="221">
        <v>800</v>
      </c>
      <c r="AC60" s="221">
        <v>800</v>
      </c>
      <c r="AD60" s="221">
        <v>800</v>
      </c>
      <c r="AE60" s="222">
        <v>1</v>
      </c>
      <c r="AF60" s="222">
        <v>3</v>
      </c>
      <c r="AG60" s="222">
        <v>6</v>
      </c>
      <c r="AH60" s="128">
        <f t="shared" ref="AH60:AH61" si="68">IF(Y60=0,0,IF(Y60&lt;=0.01,1, IF(Y60&lt;=0.1,2, IF(Y60&lt;=0.5,3,4))))</f>
        <v>0</v>
      </c>
      <c r="AI60" s="128">
        <f>IF(AC60="",0,IF(AC60&lt;=SelectionCriteria!$G$5,1, IF(AC60&lt;=SelectionCriteria!$G$4,2, IF(AC60&lt;=SelectionCriteria!$G$3,3,4))))</f>
        <v>4</v>
      </c>
      <c r="AJ60" s="128">
        <f t="shared" ref="AJ60:AJ61" si="69">IF(Z60="",0,IF(Z60="Negligible",1,IF(Z60="Low",2,IF(Z60="Moderate",3,4))))</f>
        <v>2</v>
      </c>
      <c r="AK60" s="128">
        <f t="shared" ref="AK60:AK61" si="70">IF(AA60="",0,IF(AA60="Negligible",1,IF(AA60="Low",2,IF(AA60="Moderate",3,4))))</f>
        <v>0</v>
      </c>
      <c r="AL60" s="179">
        <f t="shared" ref="AL60:AL61" si="71">AH60*((AI60+AJ60+AK60)/3)</f>
        <v>0</v>
      </c>
      <c r="AM60" s="4" t="str">
        <f t="shared" si="12"/>
        <v>Not Residual</v>
      </c>
      <c r="AN60" s="129"/>
      <c r="AO60" s="179">
        <f t="shared" ref="AO60:AO61" si="72">Y60*AC60</f>
        <v>0</v>
      </c>
      <c r="AP60" s="179">
        <f t="shared" ref="AP60" si="73">Y60*(SUM(AB60:AD60)/3)</f>
        <v>0</v>
      </c>
      <c r="AQ60" s="190"/>
      <c r="AR60" s="86" t="str">
        <f t="shared" ref="AR60" si="74">IF(Y60=0,"Not Residual",IF(AH60=4,("Very Likely"),(IF(AH60=3,("Possible"),(IF(AH60=2,("Unlikely"),("Rare")))))))</f>
        <v>Not Residual</v>
      </c>
      <c r="AS60" s="86" t="str">
        <f t="shared" ref="AS60" si="75">AM60</f>
        <v>Not Residual</v>
      </c>
      <c r="AT60" s="190"/>
      <c r="AU60" s="190"/>
      <c r="AV60" s="190"/>
      <c r="AW60" s="190" t="s">
        <v>599</v>
      </c>
      <c r="AX60" s="190" t="s">
        <v>603</v>
      </c>
      <c r="AY60" s="192" t="s">
        <v>619</v>
      </c>
    </row>
    <row r="61" spans="1:51" s="192" customFormat="1" ht="30" customHeight="1" x14ac:dyDescent="0.25">
      <c r="B61" s="243" t="s">
        <v>658</v>
      </c>
      <c r="C61" s="286"/>
      <c r="D61" s="181"/>
      <c r="E61" s="181"/>
      <c r="F61" s="184"/>
      <c r="G61" s="223"/>
      <c r="H61" s="250" t="s">
        <v>665</v>
      </c>
      <c r="I61" s="298" t="s">
        <v>666</v>
      </c>
      <c r="J61" s="129"/>
      <c r="K61" s="129"/>
      <c r="L61" s="129"/>
      <c r="M61" s="129"/>
      <c r="N61" s="129"/>
      <c r="O61" s="129"/>
      <c r="P61" s="129"/>
      <c r="Q61" s="129"/>
      <c r="R61" s="187"/>
      <c r="S61" s="179"/>
      <c r="T61" s="287"/>
      <c r="U61" s="187" t="s">
        <v>676</v>
      </c>
      <c r="V61" s="187"/>
      <c r="W61" s="188"/>
      <c r="X61" s="187"/>
      <c r="Y61" s="262">
        <v>0.25</v>
      </c>
      <c r="Z61" s="220" t="s">
        <v>2</v>
      </c>
      <c r="AA61" s="129"/>
      <c r="AB61" s="263">
        <v>0</v>
      </c>
      <c r="AC61" s="263">
        <v>0</v>
      </c>
      <c r="AD61" s="263">
        <v>0</v>
      </c>
      <c r="AE61" s="264">
        <v>1</v>
      </c>
      <c r="AF61" s="264">
        <v>3</v>
      </c>
      <c r="AG61" s="264">
        <v>6</v>
      </c>
      <c r="AH61" s="128">
        <f t="shared" si="68"/>
        <v>3</v>
      </c>
      <c r="AI61" s="128">
        <f>IF(AC61="",0,IF(AC61&lt;=SelectionCriteria!$G$5,1, IF(AC61&lt;=SelectionCriteria!$G$4,2, IF(AC61&lt;=SelectionCriteria!$G$3,3,4))))</f>
        <v>1</v>
      </c>
      <c r="AJ61" s="128">
        <f t="shared" si="69"/>
        <v>2</v>
      </c>
      <c r="AK61" s="128">
        <f t="shared" si="70"/>
        <v>0</v>
      </c>
      <c r="AL61" s="179">
        <f t="shared" si="71"/>
        <v>3</v>
      </c>
      <c r="AM61" s="259" t="str">
        <f t="shared" si="12"/>
        <v>High</v>
      </c>
      <c r="AN61" s="129"/>
      <c r="AO61" s="179">
        <f t="shared" si="72"/>
        <v>0</v>
      </c>
      <c r="AP61" s="179">
        <f t="shared" ref="AP61" si="76">Y61*(SUM(AB61:AD61)/3)</f>
        <v>0</v>
      </c>
      <c r="AQ61" s="190" t="s">
        <v>679</v>
      </c>
      <c r="AR61" s="190"/>
      <c r="AS61" s="190"/>
      <c r="AT61" s="190"/>
      <c r="AU61" s="190"/>
      <c r="AV61" s="190"/>
      <c r="AW61" s="190"/>
      <c r="AX61" s="190"/>
    </row>
    <row r="62" spans="1:51" s="192" customFormat="1" ht="30" customHeight="1" x14ac:dyDescent="0.25">
      <c r="A62" s="171">
        <v>52</v>
      </c>
      <c r="B62" s="209" t="s">
        <v>215</v>
      </c>
      <c r="C62" s="210">
        <v>257000</v>
      </c>
      <c r="D62" s="183" t="s">
        <v>106</v>
      </c>
      <c r="E62" s="183" t="s">
        <v>213</v>
      </c>
      <c r="F62" s="184"/>
      <c r="G62" s="223" t="s">
        <v>214</v>
      </c>
      <c r="H62" s="250" t="s">
        <v>202</v>
      </c>
      <c r="I62" s="298" t="s">
        <v>208</v>
      </c>
      <c r="J62" s="129">
        <v>0.1</v>
      </c>
      <c r="K62" s="129"/>
      <c r="L62" s="129"/>
      <c r="M62" s="186">
        <v>10</v>
      </c>
      <c r="N62" s="128">
        <f t="shared" si="6"/>
        <v>2</v>
      </c>
      <c r="O62" s="128">
        <f>IF(M62="",0,IF(M62&lt;=SelectionCriteria!$G$5,1, IF(M62&lt;=SelectionCriteria!$G$4,2, IF(M62&lt;=SelectionCriteria!$G$3,3,4))))</f>
        <v>1</v>
      </c>
      <c r="P62" s="128">
        <f t="shared" ref="P62:Q70" si="77">IF(K62="",0,IF(K62="Negligible",1,IF(K62="Low",2,IF(K62="Moderate",3,4))))</f>
        <v>0</v>
      </c>
      <c r="Q62" s="128">
        <f t="shared" ref="Q62:Q67" si="78">IF(L62="",0,IF(L62="Negligible",1,IF(L62="Low",2,IF(L62="Moderate",3,4))))</f>
        <v>0</v>
      </c>
      <c r="R62" s="179">
        <f t="shared" ref="R62:R70" si="79">N62*((O62+P62+Q62)/3)</f>
        <v>0.66666666666666663</v>
      </c>
      <c r="S62" s="179"/>
      <c r="T62" s="180" t="str">
        <f t="shared" si="7"/>
        <v>Negligible</v>
      </c>
      <c r="U62" s="187" t="s">
        <v>273</v>
      </c>
      <c r="V62" s="187"/>
      <c r="W62" s="188"/>
      <c r="X62" s="187"/>
      <c r="Y62" s="262">
        <v>0.05</v>
      </c>
      <c r="Z62" s="220"/>
      <c r="AA62" s="129"/>
      <c r="AB62" s="128">
        <v>10</v>
      </c>
      <c r="AC62" s="128">
        <v>35</v>
      </c>
      <c r="AD62" s="128">
        <v>74</v>
      </c>
      <c r="AE62" s="189">
        <v>0</v>
      </c>
      <c r="AF62" s="189">
        <v>0</v>
      </c>
      <c r="AG62" s="189">
        <v>0</v>
      </c>
      <c r="AH62" s="128">
        <f t="shared" si="2"/>
        <v>2</v>
      </c>
      <c r="AI62" s="128">
        <f>IF(AC62="",0,IF(AC62&lt;=SelectionCriteria!$G$5,1, IF(AC62&lt;=SelectionCriteria!$G$4,2, IF(AC62&lt;=SelectionCriteria!$G$3,3,4))))</f>
        <v>2</v>
      </c>
      <c r="AJ62" s="128">
        <f t="shared" si="14"/>
        <v>0</v>
      </c>
      <c r="AK62" s="128">
        <f t="shared" si="15"/>
        <v>0</v>
      </c>
      <c r="AL62" s="179">
        <f t="shared" si="4"/>
        <v>1.3333333333333333</v>
      </c>
      <c r="AM62" s="259" t="str">
        <f t="shared" si="12"/>
        <v>Low</v>
      </c>
      <c r="AN62" s="129"/>
      <c r="AO62" s="179">
        <f t="shared" si="9"/>
        <v>1.75</v>
      </c>
      <c r="AP62" s="179">
        <f t="shared" si="10"/>
        <v>1.9833333333333334</v>
      </c>
      <c r="AQ62" s="190" t="s">
        <v>680</v>
      </c>
      <c r="AR62" s="86" t="str">
        <f t="shared" si="13"/>
        <v>Unlikely</v>
      </c>
      <c r="AS62" s="86" t="str">
        <f t="shared" si="5"/>
        <v>Low</v>
      </c>
      <c r="AT62" s="190"/>
      <c r="AU62" s="190"/>
      <c r="AV62" s="190"/>
      <c r="AW62" s="190"/>
      <c r="AX62" s="191"/>
    </row>
    <row r="63" spans="1:51" s="192" customFormat="1" ht="30" hidden="1" customHeight="1" x14ac:dyDescent="0.25">
      <c r="A63" s="171">
        <v>53</v>
      </c>
      <c r="B63" s="258" t="s">
        <v>216</v>
      </c>
      <c r="C63" s="217">
        <v>1.06</v>
      </c>
      <c r="D63" s="183" t="s">
        <v>106</v>
      </c>
      <c r="E63" s="183" t="s">
        <v>213</v>
      </c>
      <c r="F63" s="184"/>
      <c r="G63" s="185" t="s">
        <v>214</v>
      </c>
      <c r="H63" s="298" t="s">
        <v>203</v>
      </c>
      <c r="I63" s="298" t="s">
        <v>617</v>
      </c>
      <c r="J63" s="129">
        <v>0.1</v>
      </c>
      <c r="K63" s="129"/>
      <c r="L63" s="129"/>
      <c r="M63" s="186">
        <v>0</v>
      </c>
      <c r="N63" s="128">
        <f t="shared" si="6"/>
        <v>2</v>
      </c>
      <c r="O63" s="128">
        <f>IF(M63="",0,IF(M63&lt;=SelectionCriteria!$G$5,1, IF(M63&lt;=SelectionCriteria!$G$4,2, IF(M63&lt;=SelectionCriteria!$G$3,3,4))))</f>
        <v>1</v>
      </c>
      <c r="P63" s="128">
        <f t="shared" si="77"/>
        <v>0</v>
      </c>
      <c r="Q63" s="128">
        <f t="shared" si="78"/>
        <v>0</v>
      </c>
      <c r="R63" s="179">
        <f t="shared" si="79"/>
        <v>0.66666666666666663</v>
      </c>
      <c r="S63" s="179"/>
      <c r="T63" s="180" t="str">
        <f t="shared" si="7"/>
        <v>Negligible</v>
      </c>
      <c r="U63" s="187" t="s">
        <v>265</v>
      </c>
      <c r="V63" s="187"/>
      <c r="W63" s="188"/>
      <c r="X63" s="187"/>
      <c r="Y63" s="129">
        <v>0</v>
      </c>
      <c r="Z63" s="129"/>
      <c r="AA63" s="129"/>
      <c r="AB63" s="128"/>
      <c r="AC63" s="128"/>
      <c r="AD63" s="128"/>
      <c r="AE63" s="189"/>
      <c r="AF63" s="189"/>
      <c r="AG63" s="189"/>
      <c r="AH63" s="128">
        <f t="shared" si="2"/>
        <v>0</v>
      </c>
      <c r="AI63" s="128">
        <f>IF(AC63="",0,IF(AC63&lt;=SelectionCriteria!$G$5,1, IF(AC63&lt;=SelectionCriteria!$G$4,2, IF(AC63&lt;=SelectionCriteria!$G$3,3,4))))</f>
        <v>0</v>
      </c>
      <c r="AJ63" s="128">
        <f t="shared" si="14"/>
        <v>0</v>
      </c>
      <c r="AK63" s="128">
        <f t="shared" si="15"/>
        <v>0</v>
      </c>
      <c r="AL63" s="179">
        <f t="shared" si="4"/>
        <v>0</v>
      </c>
      <c r="AM63" s="4" t="str">
        <f t="shared" si="12"/>
        <v>Not Residual</v>
      </c>
      <c r="AN63" s="129"/>
      <c r="AO63" s="179">
        <f t="shared" si="9"/>
        <v>0</v>
      </c>
      <c r="AP63" s="179">
        <f t="shared" si="10"/>
        <v>0</v>
      </c>
      <c r="AQ63" s="190"/>
      <c r="AR63" s="86" t="str">
        <f t="shared" si="13"/>
        <v>Not Residual</v>
      </c>
      <c r="AS63" s="86" t="str">
        <f t="shared" si="5"/>
        <v>Not Residual</v>
      </c>
      <c r="AT63" s="190"/>
      <c r="AU63" s="190"/>
      <c r="AV63" s="190"/>
      <c r="AW63" s="190" t="s">
        <v>369</v>
      </c>
      <c r="AX63" s="191"/>
      <c r="AY63" s="192" t="s">
        <v>620</v>
      </c>
    </row>
    <row r="64" spans="1:51" s="192" customFormat="1" ht="30" hidden="1" customHeight="1" x14ac:dyDescent="0.25">
      <c r="A64" s="171">
        <v>54</v>
      </c>
      <c r="B64" s="258" t="s">
        <v>217</v>
      </c>
      <c r="C64" s="217">
        <v>1.06</v>
      </c>
      <c r="D64" s="183" t="s">
        <v>106</v>
      </c>
      <c r="E64" s="183" t="s">
        <v>213</v>
      </c>
      <c r="F64" s="184"/>
      <c r="G64" s="185" t="s">
        <v>214</v>
      </c>
      <c r="H64" s="298" t="s">
        <v>204</v>
      </c>
      <c r="I64" s="298" t="s">
        <v>209</v>
      </c>
      <c r="J64" s="129">
        <v>0.4</v>
      </c>
      <c r="K64" s="129"/>
      <c r="L64" s="129"/>
      <c r="M64" s="186">
        <v>0</v>
      </c>
      <c r="N64" s="128">
        <f t="shared" si="6"/>
        <v>3</v>
      </c>
      <c r="O64" s="128">
        <f>IF(M64="",0,IF(M64&lt;=SelectionCriteria!$G$5,1, IF(M64&lt;=SelectionCriteria!$G$4,2, IF(M64&lt;=SelectionCriteria!$G$3,3,4))))</f>
        <v>1</v>
      </c>
      <c r="P64" s="128">
        <f t="shared" si="77"/>
        <v>0</v>
      </c>
      <c r="Q64" s="128">
        <f t="shared" si="78"/>
        <v>0</v>
      </c>
      <c r="R64" s="179">
        <f t="shared" si="79"/>
        <v>1</v>
      </c>
      <c r="S64" s="179"/>
      <c r="T64" s="180" t="str">
        <f t="shared" si="7"/>
        <v>Negligible</v>
      </c>
      <c r="U64" s="187" t="s">
        <v>266</v>
      </c>
      <c r="V64" s="187"/>
      <c r="W64" s="188"/>
      <c r="X64" s="187"/>
      <c r="Y64" s="129">
        <v>0</v>
      </c>
      <c r="Z64" s="129"/>
      <c r="AA64" s="129"/>
      <c r="AB64" s="128"/>
      <c r="AC64" s="128"/>
      <c r="AD64" s="128"/>
      <c r="AE64" s="189"/>
      <c r="AF64" s="189"/>
      <c r="AG64" s="189"/>
      <c r="AH64" s="128">
        <f t="shared" si="2"/>
        <v>0</v>
      </c>
      <c r="AI64" s="128">
        <f>IF(AC64="",0,IF(AC64&lt;=SelectionCriteria!$G$5,1, IF(AC64&lt;=SelectionCriteria!$G$4,2, IF(AC64&lt;=SelectionCriteria!$G$3,3,4))))</f>
        <v>0</v>
      </c>
      <c r="AJ64" s="128">
        <f t="shared" si="14"/>
        <v>0</v>
      </c>
      <c r="AK64" s="128">
        <f t="shared" si="15"/>
        <v>0</v>
      </c>
      <c r="AL64" s="179">
        <f t="shared" si="4"/>
        <v>0</v>
      </c>
      <c r="AM64" s="4" t="str">
        <f t="shared" si="12"/>
        <v>Not Residual</v>
      </c>
      <c r="AN64" s="129"/>
      <c r="AO64" s="179">
        <f t="shared" si="9"/>
        <v>0</v>
      </c>
      <c r="AP64" s="179">
        <f t="shared" si="10"/>
        <v>0</v>
      </c>
      <c r="AQ64" s="190"/>
      <c r="AR64" s="86" t="str">
        <f t="shared" si="13"/>
        <v>Not Residual</v>
      </c>
      <c r="AS64" s="86" t="str">
        <f t="shared" si="5"/>
        <v>Not Residual</v>
      </c>
      <c r="AT64" s="190"/>
      <c r="AU64" s="190"/>
      <c r="AV64" s="190"/>
      <c r="AW64" s="190" t="s">
        <v>368</v>
      </c>
      <c r="AX64" s="191"/>
      <c r="AY64" s="192" t="s">
        <v>620</v>
      </c>
    </row>
    <row r="65" spans="1:51" s="192" customFormat="1" ht="30" hidden="1" customHeight="1" x14ac:dyDescent="0.25">
      <c r="A65" s="171">
        <v>55</v>
      </c>
      <c r="B65" s="258" t="s">
        <v>218</v>
      </c>
      <c r="C65" s="217">
        <v>1.06</v>
      </c>
      <c r="D65" s="183" t="s">
        <v>106</v>
      </c>
      <c r="E65" s="183" t="s">
        <v>213</v>
      </c>
      <c r="F65" s="184"/>
      <c r="G65" s="185" t="s">
        <v>214</v>
      </c>
      <c r="H65" s="298" t="s">
        <v>205</v>
      </c>
      <c r="I65" s="298" t="s">
        <v>210</v>
      </c>
      <c r="J65" s="129">
        <v>0.3</v>
      </c>
      <c r="K65" s="129"/>
      <c r="L65" s="129"/>
      <c r="M65" s="186">
        <v>85</v>
      </c>
      <c r="N65" s="128">
        <f t="shared" si="6"/>
        <v>3</v>
      </c>
      <c r="O65" s="128">
        <f>IF(M65="",0,IF(M65&lt;=SelectionCriteria!$G$5,1, IF(M65&lt;=SelectionCriteria!$G$4,2, IF(M65&lt;=SelectionCriteria!$G$3,3,4))))</f>
        <v>2</v>
      </c>
      <c r="P65" s="128">
        <f t="shared" si="77"/>
        <v>0</v>
      </c>
      <c r="Q65" s="128">
        <f t="shared" si="78"/>
        <v>0</v>
      </c>
      <c r="R65" s="179">
        <f t="shared" si="79"/>
        <v>2</v>
      </c>
      <c r="S65" s="179"/>
      <c r="T65" s="180" t="str">
        <f t="shared" si="7"/>
        <v>Low</v>
      </c>
      <c r="U65" s="187" t="s">
        <v>262</v>
      </c>
      <c r="V65" s="187"/>
      <c r="W65" s="188"/>
      <c r="X65" s="187"/>
      <c r="Y65" s="129">
        <v>0</v>
      </c>
      <c r="Z65" s="129"/>
      <c r="AA65" s="129"/>
      <c r="AB65" s="128"/>
      <c r="AC65" s="128"/>
      <c r="AD65" s="128"/>
      <c r="AE65" s="189"/>
      <c r="AF65" s="189"/>
      <c r="AG65" s="189"/>
      <c r="AH65" s="128">
        <f t="shared" si="2"/>
        <v>0</v>
      </c>
      <c r="AI65" s="128">
        <f>IF(AC65="",0,IF(AC65&lt;=SelectionCriteria!$G$5,1, IF(AC65&lt;=SelectionCriteria!$G$4,2, IF(AC65&lt;=SelectionCriteria!$G$3,3,4))))</f>
        <v>0</v>
      </c>
      <c r="AJ65" s="128">
        <f t="shared" si="14"/>
        <v>0</v>
      </c>
      <c r="AK65" s="128">
        <f t="shared" si="15"/>
        <v>0</v>
      </c>
      <c r="AL65" s="179">
        <f t="shared" si="4"/>
        <v>0</v>
      </c>
      <c r="AM65" s="4" t="str">
        <f t="shared" si="12"/>
        <v>Not Residual</v>
      </c>
      <c r="AN65" s="129"/>
      <c r="AO65" s="179">
        <f t="shared" si="9"/>
        <v>0</v>
      </c>
      <c r="AP65" s="179">
        <f t="shared" si="10"/>
        <v>0</v>
      </c>
      <c r="AQ65" s="190"/>
      <c r="AR65" s="86" t="str">
        <f t="shared" si="13"/>
        <v>Not Residual</v>
      </c>
      <c r="AS65" s="86" t="str">
        <f t="shared" si="5"/>
        <v>Not Residual</v>
      </c>
      <c r="AT65" s="190"/>
      <c r="AU65" s="190"/>
      <c r="AV65" s="190"/>
      <c r="AW65" s="190" t="s">
        <v>355</v>
      </c>
      <c r="AX65" s="191"/>
      <c r="AY65" s="192" t="s">
        <v>620</v>
      </c>
    </row>
    <row r="66" spans="1:51" s="192" customFormat="1" ht="30" customHeight="1" x14ac:dyDescent="0.25">
      <c r="A66" s="171">
        <v>56</v>
      </c>
      <c r="B66" s="209" t="s">
        <v>219</v>
      </c>
      <c r="C66" s="210" t="s">
        <v>274</v>
      </c>
      <c r="D66" s="183" t="s">
        <v>106</v>
      </c>
      <c r="E66" s="183" t="s">
        <v>213</v>
      </c>
      <c r="F66" s="184"/>
      <c r="G66" s="223" t="s">
        <v>214</v>
      </c>
      <c r="H66" s="250" t="s">
        <v>206</v>
      </c>
      <c r="I66" s="298" t="s">
        <v>211</v>
      </c>
      <c r="J66" s="129">
        <v>0.3</v>
      </c>
      <c r="K66" s="129"/>
      <c r="L66" s="129"/>
      <c r="M66" s="186">
        <v>100</v>
      </c>
      <c r="N66" s="128">
        <f t="shared" si="6"/>
        <v>3</v>
      </c>
      <c r="O66" s="128">
        <f>IF(M66="",0,IF(M66&lt;=SelectionCriteria!$G$5,1, IF(M66&lt;=SelectionCriteria!$G$4,2, IF(M66&lt;=SelectionCriteria!$G$3,3,4))))</f>
        <v>2</v>
      </c>
      <c r="P66" s="128">
        <f t="shared" si="77"/>
        <v>0</v>
      </c>
      <c r="Q66" s="128">
        <f t="shared" si="78"/>
        <v>0</v>
      </c>
      <c r="R66" s="179">
        <f t="shared" si="79"/>
        <v>2</v>
      </c>
      <c r="S66" s="179"/>
      <c r="T66" s="180" t="str">
        <f t="shared" si="7"/>
        <v>Low</v>
      </c>
      <c r="U66" s="187" t="s">
        <v>264</v>
      </c>
      <c r="V66" s="187"/>
      <c r="W66" s="188"/>
      <c r="X66" s="187"/>
      <c r="Y66" s="262">
        <v>0.3</v>
      </c>
      <c r="Z66" s="129"/>
      <c r="AA66" s="129"/>
      <c r="AB66" s="263">
        <v>50</v>
      </c>
      <c r="AC66" s="263">
        <v>100</v>
      </c>
      <c r="AD66" s="263">
        <v>150</v>
      </c>
      <c r="AE66" s="264">
        <v>0</v>
      </c>
      <c r="AF66" s="264">
        <v>1</v>
      </c>
      <c r="AG66" s="264">
        <v>2</v>
      </c>
      <c r="AH66" s="128">
        <f t="shared" si="2"/>
        <v>3</v>
      </c>
      <c r="AI66" s="128">
        <f>IF(AC66="",0,IF(AC66&lt;=SelectionCriteria!$G$5,1, IF(AC66&lt;=SelectionCriteria!$G$4,2, IF(AC66&lt;=SelectionCriteria!$G$3,3,4))))</f>
        <v>2</v>
      </c>
      <c r="AJ66" s="128">
        <f t="shared" si="14"/>
        <v>0</v>
      </c>
      <c r="AK66" s="128">
        <f t="shared" si="15"/>
        <v>0</v>
      </c>
      <c r="AL66" s="179">
        <f t="shared" si="4"/>
        <v>2</v>
      </c>
      <c r="AM66" s="259" t="str">
        <f t="shared" si="12"/>
        <v>Low</v>
      </c>
      <c r="AN66" s="129"/>
      <c r="AO66" s="179">
        <f t="shared" si="9"/>
        <v>30</v>
      </c>
      <c r="AP66" s="179">
        <f t="shared" si="10"/>
        <v>30</v>
      </c>
      <c r="AQ66" s="190" t="s">
        <v>680</v>
      </c>
      <c r="AR66" s="86" t="str">
        <f t="shared" si="13"/>
        <v>Possible</v>
      </c>
      <c r="AS66" s="86" t="str">
        <f t="shared" si="5"/>
        <v>Low</v>
      </c>
      <c r="AT66" s="190"/>
      <c r="AU66" s="190"/>
      <c r="AV66" s="190"/>
      <c r="AW66" s="190"/>
      <c r="AX66" s="191"/>
    </row>
    <row r="67" spans="1:51" s="192" customFormat="1" ht="30" hidden="1" customHeight="1" x14ac:dyDescent="0.25">
      <c r="A67" s="171">
        <v>57</v>
      </c>
      <c r="B67" s="183" t="s">
        <v>220</v>
      </c>
      <c r="C67" s="217" t="s">
        <v>390</v>
      </c>
      <c r="D67" s="183" t="s">
        <v>106</v>
      </c>
      <c r="E67" s="183" t="s">
        <v>213</v>
      </c>
      <c r="F67" s="184"/>
      <c r="G67" s="185" t="s">
        <v>214</v>
      </c>
      <c r="H67" s="298" t="s">
        <v>207</v>
      </c>
      <c r="I67" s="250" t="s">
        <v>212</v>
      </c>
      <c r="J67" s="129">
        <v>0.1</v>
      </c>
      <c r="K67" s="129"/>
      <c r="L67" s="129"/>
      <c r="M67" s="186">
        <v>100</v>
      </c>
      <c r="N67" s="128">
        <f t="shared" si="6"/>
        <v>2</v>
      </c>
      <c r="O67" s="128">
        <f>IF(M67="",0,IF(M67&lt;=SelectionCriteria!$G$5,1, IF(M67&lt;=SelectionCriteria!$G$4,2, IF(M67&lt;=SelectionCriteria!$G$3,3,4))))</f>
        <v>2</v>
      </c>
      <c r="P67" s="128">
        <f t="shared" si="77"/>
        <v>0</v>
      </c>
      <c r="Q67" s="128">
        <f t="shared" si="78"/>
        <v>0</v>
      </c>
      <c r="R67" s="179">
        <f t="shared" si="79"/>
        <v>1.3333333333333333</v>
      </c>
      <c r="S67" s="179"/>
      <c r="T67" s="180" t="str">
        <f t="shared" si="7"/>
        <v>Low</v>
      </c>
      <c r="U67" s="187" t="s">
        <v>263</v>
      </c>
      <c r="V67" s="187"/>
      <c r="W67" s="188"/>
      <c r="X67" s="187"/>
      <c r="Y67" s="129">
        <v>0</v>
      </c>
      <c r="Z67" s="129"/>
      <c r="AA67" s="129"/>
      <c r="AB67" s="128">
        <v>388</v>
      </c>
      <c r="AC67" s="128">
        <v>388</v>
      </c>
      <c r="AD67" s="128">
        <v>388</v>
      </c>
      <c r="AE67" s="189">
        <v>3</v>
      </c>
      <c r="AF67" s="189">
        <v>3</v>
      </c>
      <c r="AG67" s="189">
        <v>3</v>
      </c>
      <c r="AH67" s="128">
        <f t="shared" ref="AH67:AH114" si="80">IF(Y67=0,0,IF(Y67&lt;=0.01,1, IF(Y67&lt;=0.1,2, IF(Y67&lt;=0.5,3,4))))</f>
        <v>0</v>
      </c>
      <c r="AI67" s="128">
        <f>IF(AC67="",0,IF(AC67&lt;=SelectionCriteria!$G$5,1, IF(AC67&lt;=SelectionCriteria!$G$4,2, IF(AC67&lt;=SelectionCriteria!$G$3,3,4))))</f>
        <v>4</v>
      </c>
      <c r="AJ67" s="128">
        <f t="shared" ref="AJ67:AJ114" si="81">IF(Z67="",0,IF(Z67="Negligible",1,IF(Z67="Low",2,IF(Z67="Moderate",3,4))))</f>
        <v>0</v>
      </c>
      <c r="AK67" s="128">
        <f t="shared" ref="AK67:AK114" si="82">IF(AA67="",0,IF(AA67="Negligible",1,IF(AA67="Low",2,IF(AA67="Moderate",3,4))))</f>
        <v>0</v>
      </c>
      <c r="AL67" s="179">
        <f t="shared" si="4"/>
        <v>0</v>
      </c>
      <c r="AM67" s="4" t="str">
        <f t="shared" si="12"/>
        <v>Not Residual</v>
      </c>
      <c r="AN67" s="129"/>
      <c r="AO67" s="179">
        <f t="shared" si="9"/>
        <v>0</v>
      </c>
      <c r="AP67" s="179">
        <f t="shared" si="10"/>
        <v>0</v>
      </c>
      <c r="AQ67" s="190"/>
      <c r="AR67" s="86" t="str">
        <f t="shared" si="13"/>
        <v>Not Residual</v>
      </c>
      <c r="AS67" s="86" t="str">
        <f t="shared" si="5"/>
        <v>Not Residual</v>
      </c>
      <c r="AT67" s="190"/>
      <c r="AU67" s="190"/>
      <c r="AV67" s="190"/>
      <c r="AW67" s="190" t="s">
        <v>356</v>
      </c>
      <c r="AX67" s="191"/>
      <c r="AY67" s="192" t="s">
        <v>620</v>
      </c>
    </row>
    <row r="68" spans="1:51" s="266" customFormat="1" ht="30" customHeight="1" x14ac:dyDescent="0.25">
      <c r="A68" s="192"/>
      <c r="B68" s="243" t="s">
        <v>659</v>
      </c>
      <c r="C68" s="280"/>
      <c r="D68" s="268"/>
      <c r="E68" s="268"/>
      <c r="F68" s="269"/>
      <c r="G68" s="281"/>
      <c r="H68" s="250" t="s">
        <v>685</v>
      </c>
      <c r="I68" s="250" t="s">
        <v>686</v>
      </c>
      <c r="J68" s="271"/>
      <c r="K68" s="271"/>
      <c r="L68" s="271"/>
      <c r="M68" s="278"/>
      <c r="N68" s="275"/>
      <c r="O68" s="275"/>
      <c r="P68" s="275"/>
      <c r="Q68" s="275"/>
      <c r="R68" s="272"/>
      <c r="S68" s="272"/>
      <c r="T68" s="273"/>
      <c r="U68" s="187" t="s">
        <v>676</v>
      </c>
      <c r="V68" s="187"/>
      <c r="W68" s="188"/>
      <c r="X68" s="187"/>
      <c r="Y68" s="271">
        <v>0.2</v>
      </c>
      <c r="Z68" s="271"/>
      <c r="AA68" s="271"/>
      <c r="AB68" s="128">
        <v>0</v>
      </c>
      <c r="AC68" s="128">
        <v>0</v>
      </c>
      <c r="AD68" s="128">
        <v>0</v>
      </c>
      <c r="AE68" s="189">
        <v>1</v>
      </c>
      <c r="AF68" s="189">
        <v>2</v>
      </c>
      <c r="AG68" s="189">
        <v>3</v>
      </c>
      <c r="AH68" s="128">
        <v>3</v>
      </c>
      <c r="AI68" s="128">
        <v>2</v>
      </c>
      <c r="AJ68" s="128">
        <v>0</v>
      </c>
      <c r="AK68" s="128">
        <v>0</v>
      </c>
      <c r="AL68" s="179">
        <v>2</v>
      </c>
      <c r="AM68" s="259" t="s">
        <v>2</v>
      </c>
      <c r="AN68" s="179">
        <v>30</v>
      </c>
      <c r="AO68" s="179">
        <f t="shared" ref="AO68:AO114" si="83">Y68*AC68</f>
        <v>0</v>
      </c>
      <c r="AP68" s="179">
        <f t="shared" ref="AP68:AP114" si="84">Y68*(SUM(AB68:AD68)/3)</f>
        <v>0</v>
      </c>
      <c r="AQ68" s="190" t="s">
        <v>695</v>
      </c>
      <c r="AR68" s="276"/>
      <c r="AS68" s="276"/>
      <c r="AT68" s="276"/>
      <c r="AU68" s="276"/>
      <c r="AV68" s="276"/>
      <c r="AW68" s="190"/>
      <c r="AX68" s="191"/>
    </row>
    <row r="69" spans="1:51" s="192" customFormat="1" ht="30" customHeight="1" x14ac:dyDescent="0.25">
      <c r="A69" s="171">
        <v>58</v>
      </c>
      <c r="B69" s="243" t="s">
        <v>537</v>
      </c>
      <c r="C69" s="233">
        <v>272600</v>
      </c>
      <c r="D69" s="258" t="s">
        <v>106</v>
      </c>
      <c r="E69" s="282" t="s">
        <v>333</v>
      </c>
      <c r="F69" s="283"/>
      <c r="G69" s="284" t="s">
        <v>334</v>
      </c>
      <c r="H69" s="250" t="s">
        <v>335</v>
      </c>
      <c r="I69" s="298" t="s">
        <v>336</v>
      </c>
      <c r="J69" s="129">
        <v>0.1</v>
      </c>
      <c r="K69" s="129"/>
      <c r="L69" s="129"/>
      <c r="M69" s="186">
        <v>50</v>
      </c>
      <c r="N69" s="128">
        <f t="shared" si="6"/>
        <v>2</v>
      </c>
      <c r="O69" s="128">
        <f>IF(M69="",0,IF(M69&lt;=[1]SelectionCriteria!$G$5,1, IF(M69&lt;=[1]SelectionCriteria!$G$4,2, IF(M69&lt;=[1]SelectionCriteria!$G$3,3,4))))</f>
        <v>2</v>
      </c>
      <c r="P69" s="128">
        <f t="shared" si="77"/>
        <v>0</v>
      </c>
      <c r="Q69" s="128">
        <f t="shared" si="77"/>
        <v>0</v>
      </c>
      <c r="R69" s="179">
        <f t="shared" si="79"/>
        <v>1.3333333333333333</v>
      </c>
      <c r="S69" s="179"/>
      <c r="T69" s="180" t="str">
        <f t="shared" si="7"/>
        <v>Low</v>
      </c>
      <c r="U69" s="187" t="s">
        <v>674</v>
      </c>
      <c r="V69" s="187"/>
      <c r="W69" s="188"/>
      <c r="X69" s="187"/>
      <c r="Y69" s="129">
        <v>0.1</v>
      </c>
      <c r="Z69" s="129"/>
      <c r="AA69" s="129"/>
      <c r="AB69" s="128">
        <v>0</v>
      </c>
      <c r="AC69" s="128">
        <v>0</v>
      </c>
      <c r="AD69" s="128">
        <v>0</v>
      </c>
      <c r="AE69" s="189">
        <v>0</v>
      </c>
      <c r="AF69" s="189">
        <v>2</v>
      </c>
      <c r="AG69" s="189">
        <v>3</v>
      </c>
      <c r="AH69" s="128">
        <f t="shared" si="80"/>
        <v>2</v>
      </c>
      <c r="AI69" s="128">
        <f>IF(AC69="",0,IF(AC69&lt;=SelectionCriteria!$G$5,1, IF(AC69&lt;=SelectionCriteria!$G$4,2, IF(AC69&lt;=SelectionCriteria!$G$3,3,4))))</f>
        <v>1</v>
      </c>
      <c r="AJ69" s="128">
        <f t="shared" si="81"/>
        <v>0</v>
      </c>
      <c r="AK69" s="128">
        <f t="shared" si="82"/>
        <v>0</v>
      </c>
      <c r="AL69" s="179">
        <f t="shared" si="4"/>
        <v>0.66666666666666663</v>
      </c>
      <c r="AM69" s="259" t="str">
        <f t="shared" si="12"/>
        <v>Negligible</v>
      </c>
      <c r="AN69" s="129"/>
      <c r="AO69" s="179">
        <f t="shared" si="83"/>
        <v>0</v>
      </c>
      <c r="AP69" s="179">
        <f t="shared" si="84"/>
        <v>0</v>
      </c>
      <c r="AQ69" s="190" t="s">
        <v>679</v>
      </c>
      <c r="AR69" s="86" t="str">
        <f t="shared" si="13"/>
        <v>Unlikely</v>
      </c>
      <c r="AS69" s="86" t="str">
        <f t="shared" si="5"/>
        <v>Negligible</v>
      </c>
      <c r="AT69" s="190"/>
      <c r="AU69" s="190"/>
      <c r="AV69" s="190"/>
      <c r="AW69" s="190"/>
      <c r="AX69" s="191"/>
    </row>
    <row r="70" spans="1:51" s="192" customFormat="1" ht="30" customHeight="1" x14ac:dyDescent="0.25">
      <c r="A70" s="171">
        <v>59</v>
      </c>
      <c r="B70" s="243" t="s">
        <v>586</v>
      </c>
      <c r="C70" s="233">
        <v>273600</v>
      </c>
      <c r="D70" s="258" t="s">
        <v>106</v>
      </c>
      <c r="E70" s="282" t="s">
        <v>333</v>
      </c>
      <c r="F70" s="283"/>
      <c r="G70" s="284" t="s">
        <v>334</v>
      </c>
      <c r="H70" s="250" t="s">
        <v>337</v>
      </c>
      <c r="I70" s="298" t="s">
        <v>338</v>
      </c>
      <c r="J70" s="129">
        <v>0</v>
      </c>
      <c r="K70" s="129"/>
      <c r="L70" s="129"/>
      <c r="M70" s="186">
        <v>0</v>
      </c>
      <c r="N70" s="128">
        <f>IF(J70=0,0,IF(J70&lt;=0.01,1, IF(J70&lt;=0.1,2, IF(J70&lt;=0.5,3,4))))</f>
        <v>0</v>
      </c>
      <c r="O70" s="128">
        <f>IF(M70="",0,IF(M70&lt;=[1]SelectionCriteria!$G$5,1, IF(M70&lt;=[1]SelectionCriteria!$G$4,2, IF(M70&lt;=[1]SelectionCriteria!$G$3,3,4))))</f>
        <v>1</v>
      </c>
      <c r="P70" s="128">
        <f t="shared" si="77"/>
        <v>0</v>
      </c>
      <c r="Q70" s="128">
        <f t="shared" si="77"/>
        <v>0</v>
      </c>
      <c r="R70" s="179">
        <f t="shared" si="79"/>
        <v>0</v>
      </c>
      <c r="S70" s="179"/>
      <c r="T70" s="180" t="str">
        <f t="shared" si="7"/>
        <v>Not Primary</v>
      </c>
      <c r="U70" s="187" t="s">
        <v>674</v>
      </c>
      <c r="V70" s="187"/>
      <c r="W70" s="188"/>
      <c r="X70" s="187"/>
      <c r="Y70" s="129">
        <v>0.5</v>
      </c>
      <c r="Z70" s="129"/>
      <c r="AA70" s="129"/>
      <c r="AB70" s="263">
        <v>35</v>
      </c>
      <c r="AC70" s="265">
        <v>70</v>
      </c>
      <c r="AD70" s="265">
        <v>105</v>
      </c>
      <c r="AE70" s="189">
        <v>1</v>
      </c>
      <c r="AF70" s="189">
        <v>3</v>
      </c>
      <c r="AG70" s="189">
        <v>6</v>
      </c>
      <c r="AH70" s="128">
        <f t="shared" si="80"/>
        <v>3</v>
      </c>
      <c r="AI70" s="128">
        <f>IF(AC70="",0,IF(AC70&lt;=SelectionCriteria!$G$5,1, IF(AC70&lt;=SelectionCriteria!$G$4,2, IF(AC70&lt;=SelectionCriteria!$G$3,3,4))))</f>
        <v>2</v>
      </c>
      <c r="AJ70" s="128">
        <f t="shared" si="81"/>
        <v>0</v>
      </c>
      <c r="AK70" s="128">
        <f t="shared" si="82"/>
        <v>0</v>
      </c>
      <c r="AL70" s="179">
        <f t="shared" si="4"/>
        <v>2</v>
      </c>
      <c r="AM70" s="259" t="str">
        <f t="shared" si="12"/>
        <v>Low</v>
      </c>
      <c r="AN70" s="129"/>
      <c r="AO70" s="179">
        <f t="shared" si="83"/>
        <v>35</v>
      </c>
      <c r="AP70" s="179">
        <f t="shared" si="84"/>
        <v>35</v>
      </c>
      <c r="AQ70" s="190" t="s">
        <v>679</v>
      </c>
      <c r="AR70" s="86" t="str">
        <f t="shared" si="13"/>
        <v>Possible</v>
      </c>
      <c r="AS70" s="86" t="str">
        <f t="shared" si="5"/>
        <v>Low</v>
      </c>
      <c r="AT70" s="190"/>
      <c r="AU70" s="190"/>
      <c r="AV70" s="190"/>
      <c r="AW70" s="190"/>
      <c r="AX70" s="191"/>
    </row>
    <row r="71" spans="1:51" s="192" customFormat="1" ht="28.35" hidden="1" customHeight="1" x14ac:dyDescent="0.25">
      <c r="A71" s="171">
        <v>60</v>
      </c>
      <c r="B71" s="243" t="s">
        <v>634</v>
      </c>
      <c r="C71" s="233">
        <v>2.0099999999999998</v>
      </c>
      <c r="D71" s="244" t="s">
        <v>106</v>
      </c>
      <c r="E71" s="245" t="s">
        <v>107</v>
      </c>
      <c r="F71" s="246"/>
      <c r="G71" s="223" t="s">
        <v>108</v>
      </c>
      <c r="H71" s="250" t="s">
        <v>635</v>
      </c>
      <c r="I71" s="299" t="s">
        <v>636</v>
      </c>
      <c r="J71" s="220"/>
      <c r="K71" s="220"/>
      <c r="L71" s="220"/>
      <c r="M71" s="247"/>
      <c r="N71" s="221"/>
      <c r="O71" s="221"/>
      <c r="P71" s="221"/>
      <c r="Q71" s="221"/>
      <c r="R71" s="248"/>
      <c r="S71" s="248"/>
      <c r="T71" s="249"/>
      <c r="U71" s="299" t="s">
        <v>637</v>
      </c>
      <c r="V71" s="250"/>
      <c r="W71" s="251"/>
      <c r="X71" s="250"/>
      <c r="Y71" s="220">
        <v>0.1</v>
      </c>
      <c r="Z71" s="220" t="s">
        <v>1</v>
      </c>
      <c r="AA71" s="220"/>
      <c r="AB71" s="221">
        <v>0</v>
      </c>
      <c r="AC71" s="132">
        <v>50</v>
      </c>
      <c r="AD71" s="132">
        <v>80</v>
      </c>
      <c r="AE71" s="222">
        <v>0</v>
      </c>
      <c r="AF71" s="222">
        <v>1</v>
      </c>
      <c r="AG71" s="222">
        <v>2</v>
      </c>
      <c r="AH71" s="252">
        <f t="shared" si="80"/>
        <v>2</v>
      </c>
      <c r="AI71" s="252">
        <f>IF(AC71="",0,IF(AC71&lt;=[2]SelectionCriteria!$G$5,1, IF(AC71&lt;=[2]SelectionCriteria!$G$4,2, IF(AC71&lt;=[2]SelectionCriteria!$G$3,3,4))))</f>
        <v>2</v>
      </c>
      <c r="AJ71" s="252">
        <f t="shared" si="81"/>
        <v>1</v>
      </c>
      <c r="AK71" s="252">
        <f t="shared" si="82"/>
        <v>0</v>
      </c>
      <c r="AL71" s="253">
        <f t="shared" si="4"/>
        <v>2</v>
      </c>
      <c r="AM71" s="220" t="str">
        <f t="shared" ref="AM71:AM74" si="85">IF(AL71&lt;=1,"Negligible",IF(AL71&lt;=2,"Low",IF(AL71&lt;3,"Moderate","High")))</f>
        <v>Low</v>
      </c>
      <c r="AN71" s="254"/>
      <c r="AO71" s="248">
        <f t="shared" si="83"/>
        <v>5</v>
      </c>
      <c r="AP71" s="248">
        <f t="shared" ref="AP71" si="86">Y71*(SUM(AB71:AD71)/3)</f>
        <v>4.3333333333333339</v>
      </c>
      <c r="AQ71" s="255" t="s">
        <v>638</v>
      </c>
      <c r="AR71" s="256" t="str">
        <f t="shared" si="13"/>
        <v>Unlikely</v>
      </c>
      <c r="AS71" s="256" t="str">
        <f t="shared" si="5"/>
        <v>Low</v>
      </c>
      <c r="AT71" s="257" t="s">
        <v>639</v>
      </c>
      <c r="AU71" s="257"/>
      <c r="AV71" s="257"/>
      <c r="AW71" s="257" t="s">
        <v>640</v>
      </c>
      <c r="AX71" s="191"/>
    </row>
    <row r="72" spans="1:51" s="192" customFormat="1" ht="28.35" hidden="1" customHeight="1" x14ac:dyDescent="0.25">
      <c r="A72" s="171">
        <v>61</v>
      </c>
      <c r="B72" s="243" t="s">
        <v>641</v>
      </c>
      <c r="C72" s="233">
        <v>2.0099999999999998</v>
      </c>
      <c r="D72" s="244" t="s">
        <v>106</v>
      </c>
      <c r="E72" s="245" t="s">
        <v>107</v>
      </c>
      <c r="F72" s="246"/>
      <c r="G72" s="223" t="s">
        <v>108</v>
      </c>
      <c r="H72" s="250" t="s">
        <v>642</v>
      </c>
      <c r="I72" s="299" t="s">
        <v>643</v>
      </c>
      <c r="J72" s="220"/>
      <c r="K72" s="220"/>
      <c r="L72" s="220"/>
      <c r="M72" s="247"/>
      <c r="N72" s="221"/>
      <c r="O72" s="221"/>
      <c r="P72" s="221"/>
      <c r="Q72" s="221"/>
      <c r="R72" s="248"/>
      <c r="S72" s="248"/>
      <c r="T72" s="249"/>
      <c r="U72" s="299" t="s">
        <v>644</v>
      </c>
      <c r="V72" s="250"/>
      <c r="W72" s="251"/>
      <c r="X72" s="250"/>
      <c r="Y72" s="220">
        <v>0.1</v>
      </c>
      <c r="Z72" s="220" t="s">
        <v>2</v>
      </c>
      <c r="AA72" s="220"/>
      <c r="AB72" s="221">
        <v>50</v>
      </c>
      <c r="AC72" s="132">
        <v>100</v>
      </c>
      <c r="AD72" s="132">
        <v>130</v>
      </c>
      <c r="AE72" s="222">
        <v>1</v>
      </c>
      <c r="AF72" s="222">
        <v>2</v>
      </c>
      <c r="AG72" s="222">
        <v>3</v>
      </c>
      <c r="AH72" s="252">
        <f t="shared" si="80"/>
        <v>2</v>
      </c>
      <c r="AI72" s="252">
        <f>IF(AC72="",0,IF(AC72&lt;=[2]SelectionCriteria!$G$5,1, IF(AC72&lt;=[2]SelectionCriteria!$G$4,2, IF(AC72&lt;=[2]SelectionCriteria!$G$3,3,4))))</f>
        <v>2</v>
      </c>
      <c r="AJ72" s="252">
        <f t="shared" si="81"/>
        <v>2</v>
      </c>
      <c r="AK72" s="252">
        <f t="shared" si="82"/>
        <v>0</v>
      </c>
      <c r="AL72" s="253">
        <f t="shared" si="4"/>
        <v>2.6666666666666665</v>
      </c>
      <c r="AM72" s="220" t="str">
        <f t="shared" si="85"/>
        <v>Moderate</v>
      </c>
      <c r="AN72" s="254"/>
      <c r="AO72" s="248">
        <f t="shared" si="83"/>
        <v>10</v>
      </c>
      <c r="AP72" s="248">
        <f t="shared" ref="AP72:AP74" si="87">Y72*(SUM(AB72:AD72)/3)</f>
        <v>9.3333333333333339</v>
      </c>
      <c r="AQ72" s="255" t="s">
        <v>638</v>
      </c>
      <c r="AR72" s="256" t="str">
        <f t="shared" si="13"/>
        <v>Unlikely</v>
      </c>
      <c r="AS72" s="256" t="str">
        <f t="shared" si="5"/>
        <v>Moderate</v>
      </c>
      <c r="AT72" s="257" t="s">
        <v>639</v>
      </c>
      <c r="AU72" s="257"/>
      <c r="AV72" s="257"/>
      <c r="AW72" s="257" t="s">
        <v>640</v>
      </c>
      <c r="AX72" s="191"/>
    </row>
    <row r="73" spans="1:51" s="192" customFormat="1" ht="28.35" hidden="1" customHeight="1" x14ac:dyDescent="0.25">
      <c r="A73" s="171">
        <v>62</v>
      </c>
      <c r="B73" s="243" t="s">
        <v>645</v>
      </c>
      <c r="C73" s="233">
        <v>2.0099999999999998</v>
      </c>
      <c r="D73" s="244" t="s">
        <v>106</v>
      </c>
      <c r="E73" s="245" t="s">
        <v>107</v>
      </c>
      <c r="F73" s="246"/>
      <c r="G73" s="223" t="s">
        <v>108</v>
      </c>
      <c r="H73" s="250" t="s">
        <v>646</v>
      </c>
      <c r="I73" s="299" t="s">
        <v>647</v>
      </c>
      <c r="J73" s="220"/>
      <c r="K73" s="220"/>
      <c r="L73" s="220"/>
      <c r="M73" s="247"/>
      <c r="N73" s="221"/>
      <c r="O73" s="221"/>
      <c r="P73" s="221"/>
      <c r="Q73" s="221"/>
      <c r="R73" s="248"/>
      <c r="S73" s="248"/>
      <c r="T73" s="249"/>
      <c r="U73" s="299" t="s">
        <v>648</v>
      </c>
      <c r="V73" s="250"/>
      <c r="W73" s="251"/>
      <c r="X73" s="250"/>
      <c r="Y73" s="220">
        <v>0.1</v>
      </c>
      <c r="Z73" s="220" t="s">
        <v>2</v>
      </c>
      <c r="AA73" s="220"/>
      <c r="AB73" s="221">
        <v>0</v>
      </c>
      <c r="AC73" s="132">
        <v>50</v>
      </c>
      <c r="AD73" s="132">
        <v>100</v>
      </c>
      <c r="AE73" s="222">
        <v>1</v>
      </c>
      <c r="AF73" s="222">
        <v>2</v>
      </c>
      <c r="AG73" s="222">
        <v>3</v>
      </c>
      <c r="AH73" s="252">
        <f t="shared" si="80"/>
        <v>2</v>
      </c>
      <c r="AI73" s="252">
        <f>IF(AC73="",0,IF(AC73&lt;=[2]SelectionCriteria!$G$5,1, IF(AC73&lt;=[2]SelectionCriteria!$G$4,2, IF(AC73&lt;=[2]SelectionCriteria!$G$3,3,4))))</f>
        <v>2</v>
      </c>
      <c r="AJ73" s="252">
        <f t="shared" si="81"/>
        <v>2</v>
      </c>
      <c r="AK73" s="252">
        <f t="shared" si="82"/>
        <v>0</v>
      </c>
      <c r="AL73" s="253">
        <f t="shared" si="4"/>
        <v>2.6666666666666665</v>
      </c>
      <c r="AM73" s="220" t="str">
        <f t="shared" si="85"/>
        <v>Moderate</v>
      </c>
      <c r="AN73" s="254"/>
      <c r="AO73" s="248">
        <f t="shared" si="83"/>
        <v>5</v>
      </c>
      <c r="AP73" s="248">
        <f t="shared" si="87"/>
        <v>5</v>
      </c>
      <c r="AQ73" s="255" t="s">
        <v>638</v>
      </c>
      <c r="AR73" s="256" t="str">
        <f t="shared" si="13"/>
        <v>Unlikely</v>
      </c>
      <c r="AS73" s="256" t="str">
        <f t="shared" si="5"/>
        <v>Moderate</v>
      </c>
      <c r="AT73" s="257" t="s">
        <v>639</v>
      </c>
      <c r="AU73" s="257"/>
      <c r="AV73" s="257"/>
      <c r="AW73" s="257" t="s">
        <v>640</v>
      </c>
      <c r="AX73" s="191"/>
    </row>
    <row r="74" spans="1:51" s="192" customFormat="1" ht="28.35" hidden="1" customHeight="1" x14ac:dyDescent="0.25">
      <c r="A74" s="171">
        <v>63</v>
      </c>
      <c r="B74" s="243" t="s">
        <v>649</v>
      </c>
      <c r="C74" s="233">
        <v>2.0099999999999998</v>
      </c>
      <c r="D74" s="244" t="s">
        <v>106</v>
      </c>
      <c r="E74" s="245" t="s">
        <v>107</v>
      </c>
      <c r="F74" s="246"/>
      <c r="G74" s="223" t="s">
        <v>108</v>
      </c>
      <c r="H74" s="250" t="s">
        <v>650</v>
      </c>
      <c r="I74" s="299" t="s">
        <v>651</v>
      </c>
      <c r="J74" s="220"/>
      <c r="K74" s="220"/>
      <c r="L74" s="220"/>
      <c r="M74" s="247"/>
      <c r="N74" s="221"/>
      <c r="O74" s="221"/>
      <c r="P74" s="221"/>
      <c r="Q74" s="221"/>
      <c r="R74" s="248"/>
      <c r="S74" s="248"/>
      <c r="T74" s="249"/>
      <c r="U74" s="299" t="s">
        <v>652</v>
      </c>
      <c r="V74" s="250"/>
      <c r="W74" s="251"/>
      <c r="X74" s="250"/>
      <c r="Y74" s="220">
        <v>0.1</v>
      </c>
      <c r="Z74" s="220" t="s">
        <v>1</v>
      </c>
      <c r="AA74" s="220"/>
      <c r="AB74" s="221">
        <v>0</v>
      </c>
      <c r="AC74" s="132">
        <v>65</v>
      </c>
      <c r="AD74" s="132">
        <v>130</v>
      </c>
      <c r="AE74" s="222">
        <v>0</v>
      </c>
      <c r="AF74" s="222">
        <v>0</v>
      </c>
      <c r="AG74" s="222">
        <v>0</v>
      </c>
      <c r="AH74" s="252">
        <f t="shared" si="80"/>
        <v>2</v>
      </c>
      <c r="AI74" s="252">
        <f>IF(AC74="",0,IF(AC74&lt;=[2]SelectionCriteria!$G$5,1, IF(AC74&lt;=[2]SelectionCriteria!$G$4,2, IF(AC74&lt;=[2]SelectionCriteria!$G$3,3,4))))</f>
        <v>2</v>
      </c>
      <c r="AJ74" s="252">
        <f t="shared" si="81"/>
        <v>1</v>
      </c>
      <c r="AK74" s="252">
        <f t="shared" si="82"/>
        <v>0</v>
      </c>
      <c r="AL74" s="253">
        <f t="shared" si="4"/>
        <v>2</v>
      </c>
      <c r="AM74" s="220" t="str">
        <f t="shared" si="85"/>
        <v>Low</v>
      </c>
      <c r="AN74" s="254"/>
      <c r="AO74" s="248">
        <f t="shared" si="83"/>
        <v>6.5</v>
      </c>
      <c r="AP74" s="248">
        <f t="shared" si="87"/>
        <v>6.5</v>
      </c>
      <c r="AQ74" s="255" t="s">
        <v>638</v>
      </c>
      <c r="AR74" s="256" t="str">
        <f t="shared" si="13"/>
        <v>Unlikely</v>
      </c>
      <c r="AS74" s="256" t="str">
        <f t="shared" si="5"/>
        <v>Low</v>
      </c>
      <c r="AT74" s="257" t="s">
        <v>639</v>
      </c>
      <c r="AU74" s="257"/>
      <c r="AV74" s="257"/>
      <c r="AW74" s="257" t="s">
        <v>640</v>
      </c>
      <c r="AX74" s="191"/>
    </row>
    <row r="75" spans="1:51" s="192" customFormat="1" ht="30" hidden="1" customHeight="1" x14ac:dyDescent="0.25">
      <c r="A75" s="171">
        <v>64</v>
      </c>
      <c r="B75" s="181" t="s">
        <v>343</v>
      </c>
      <c r="C75" s="225">
        <v>2.02</v>
      </c>
      <c r="D75" s="183" t="s">
        <v>106</v>
      </c>
      <c r="E75" s="181" t="s">
        <v>344</v>
      </c>
      <c r="F75" s="185"/>
      <c r="G75" s="185" t="s">
        <v>345</v>
      </c>
      <c r="H75" s="250" t="s">
        <v>346</v>
      </c>
      <c r="I75" s="187" t="s">
        <v>347</v>
      </c>
      <c r="J75" s="129">
        <v>0.15</v>
      </c>
      <c r="K75" s="129"/>
      <c r="L75" s="129"/>
      <c r="M75" s="186">
        <v>5</v>
      </c>
      <c r="N75" s="128">
        <f>IF(J75=0,0,IF(J75&lt;=0.01,1, IF(J75&lt;=0.1,2, IF(J75&lt;=0.5,3,4))))</f>
        <v>3</v>
      </c>
      <c r="O75" s="128">
        <v>1</v>
      </c>
      <c r="P75" s="128">
        <f t="shared" ref="P75:Q78" si="88">IF(K75="",0,IF(K75="Negligible",1,IF(K75="Low",2,IF(K75="Moderate",3,4))))</f>
        <v>0</v>
      </c>
      <c r="Q75" s="128">
        <f t="shared" si="88"/>
        <v>0</v>
      </c>
      <c r="R75" s="179">
        <f>N75*((O75+P75+Q75)/3)</f>
        <v>1</v>
      </c>
      <c r="S75" s="179"/>
      <c r="T75" s="129" t="str">
        <f t="shared" ref="T75:T83" si="89">IF(R75&lt;=3,"Negligible",IF(R75&lt;=6,"Low",IF(R75&lt;=9,"Moderate","High")))</f>
        <v>Negligible</v>
      </c>
      <c r="U75" s="187" t="s">
        <v>348</v>
      </c>
      <c r="V75" s="187"/>
      <c r="W75" s="188"/>
      <c r="X75" s="187"/>
      <c r="Y75" s="129">
        <v>0</v>
      </c>
      <c r="Z75" s="129"/>
      <c r="AA75" s="129"/>
      <c r="AB75" s="128"/>
      <c r="AC75" s="128"/>
      <c r="AD75" s="128"/>
      <c r="AE75" s="189"/>
      <c r="AF75" s="189"/>
      <c r="AG75" s="189"/>
      <c r="AH75" s="128">
        <f t="shared" si="80"/>
        <v>0</v>
      </c>
      <c r="AI75" s="128">
        <f>IF(AC75="",0,IF(AC75&lt;=SelectionCriteria!$G$5,1, IF(AC75&lt;=SelectionCriteria!$G$4,2, IF(AC75&lt;=SelectionCriteria!$G$3,3,4))))</f>
        <v>0</v>
      </c>
      <c r="AJ75" s="128">
        <f t="shared" si="81"/>
        <v>0</v>
      </c>
      <c r="AK75" s="128">
        <f t="shared" si="82"/>
        <v>0</v>
      </c>
      <c r="AL75" s="179">
        <f t="shared" ref="AL75:AL84" si="90">AH75*((AI75+AJ75+AK75)/3)</f>
        <v>0</v>
      </c>
      <c r="AM75" s="4" t="str">
        <f t="shared" si="12"/>
        <v>Not Residual</v>
      </c>
      <c r="AN75" s="129"/>
      <c r="AO75" s="179">
        <f t="shared" si="83"/>
        <v>0</v>
      </c>
      <c r="AP75" s="179">
        <f t="shared" si="84"/>
        <v>0</v>
      </c>
      <c r="AQ75" s="190"/>
      <c r="AR75" s="86" t="str">
        <f t="shared" ref="AR75:AR83" si="91">IF(Y75=0,"Not Residual",IF(AH75=4,("Very Likely"),(IF(AH75=3,("Possible"),(IF(AH75=2,("Unlikely"),("Rare")))))))</f>
        <v>Not Residual</v>
      </c>
      <c r="AS75" s="86" t="str">
        <f t="shared" ref="AS75:AS83" si="92">AM75</f>
        <v>Not Residual</v>
      </c>
      <c r="AT75" s="190"/>
      <c r="AU75" s="190"/>
      <c r="AV75" s="190"/>
      <c r="AW75" s="190" t="s">
        <v>372</v>
      </c>
      <c r="AX75" s="191"/>
      <c r="AY75" s="192" t="s">
        <v>620</v>
      </c>
    </row>
    <row r="76" spans="1:51" s="192" customFormat="1" ht="30" hidden="1" customHeight="1" x14ac:dyDescent="0.25">
      <c r="A76" s="171">
        <v>65</v>
      </c>
      <c r="B76" s="181" t="s">
        <v>349</v>
      </c>
      <c r="C76" s="225">
        <v>2.02</v>
      </c>
      <c r="D76" s="183" t="s">
        <v>106</v>
      </c>
      <c r="E76" s="181" t="s">
        <v>344</v>
      </c>
      <c r="F76" s="185"/>
      <c r="G76" s="185" t="s">
        <v>345</v>
      </c>
      <c r="H76" s="250" t="s">
        <v>350</v>
      </c>
      <c r="I76" s="187" t="s">
        <v>351</v>
      </c>
      <c r="J76" s="129">
        <v>0.15</v>
      </c>
      <c r="K76" s="129"/>
      <c r="L76" s="129"/>
      <c r="M76" s="186">
        <v>5</v>
      </c>
      <c r="N76" s="128">
        <f>IF(J76=0,0,IF(J76&lt;=0.01,1, IF(J76&lt;=0.1,2, IF(J76&lt;=0.5,3,4))))</f>
        <v>3</v>
      </c>
      <c r="O76" s="128">
        <v>1</v>
      </c>
      <c r="P76" s="128">
        <f t="shared" si="88"/>
        <v>0</v>
      </c>
      <c r="Q76" s="128">
        <f t="shared" si="88"/>
        <v>0</v>
      </c>
      <c r="R76" s="179">
        <f>N76*((O76+P76+Q76)/3)</f>
        <v>1</v>
      </c>
      <c r="S76" s="179"/>
      <c r="T76" s="129" t="str">
        <f t="shared" si="89"/>
        <v>Negligible</v>
      </c>
      <c r="U76" s="187" t="s">
        <v>352</v>
      </c>
      <c r="V76" s="187"/>
      <c r="W76" s="188"/>
      <c r="X76" s="187"/>
      <c r="Y76" s="129">
        <v>0</v>
      </c>
      <c r="Z76" s="129"/>
      <c r="AA76" s="129"/>
      <c r="AB76" s="128"/>
      <c r="AC76" s="128"/>
      <c r="AD76" s="128"/>
      <c r="AE76" s="189"/>
      <c r="AF76" s="189"/>
      <c r="AG76" s="189"/>
      <c r="AH76" s="128">
        <f t="shared" si="80"/>
        <v>0</v>
      </c>
      <c r="AI76" s="128">
        <f>IF(AC76="",0,IF(AC76&lt;=SelectionCriteria!$G$5,1, IF(AC76&lt;=SelectionCriteria!$G$4,2, IF(AC76&lt;=SelectionCriteria!$G$3,3,4))))</f>
        <v>0</v>
      </c>
      <c r="AJ76" s="128">
        <f t="shared" si="81"/>
        <v>0</v>
      </c>
      <c r="AK76" s="128">
        <f t="shared" si="82"/>
        <v>0</v>
      </c>
      <c r="AL76" s="179">
        <f t="shared" si="90"/>
        <v>0</v>
      </c>
      <c r="AM76" s="4" t="str">
        <f t="shared" si="12"/>
        <v>Not Residual</v>
      </c>
      <c r="AN76" s="129"/>
      <c r="AO76" s="179">
        <f t="shared" si="83"/>
        <v>0</v>
      </c>
      <c r="AP76" s="179">
        <f t="shared" si="84"/>
        <v>0</v>
      </c>
      <c r="AQ76" s="190"/>
      <c r="AR76" s="86" t="str">
        <f t="shared" si="91"/>
        <v>Not Residual</v>
      </c>
      <c r="AS76" s="86" t="str">
        <f t="shared" si="92"/>
        <v>Not Residual</v>
      </c>
      <c r="AT76" s="190" t="s">
        <v>354</v>
      </c>
      <c r="AU76" s="190"/>
      <c r="AV76" s="190"/>
      <c r="AW76" s="190" t="s">
        <v>373</v>
      </c>
      <c r="AX76" s="191"/>
      <c r="AY76" s="192" t="s">
        <v>620</v>
      </c>
    </row>
    <row r="77" spans="1:51" s="192" customFormat="1" ht="30" hidden="1" customHeight="1" x14ac:dyDescent="0.25">
      <c r="A77" s="171">
        <v>66</v>
      </c>
      <c r="B77" s="181" t="s">
        <v>387</v>
      </c>
      <c r="C77" s="225">
        <v>2.02</v>
      </c>
      <c r="D77" s="183" t="s">
        <v>106</v>
      </c>
      <c r="E77" s="181" t="s">
        <v>344</v>
      </c>
      <c r="F77" s="185"/>
      <c r="G77" s="185" t="s">
        <v>345</v>
      </c>
      <c r="H77" s="250" t="s">
        <v>395</v>
      </c>
      <c r="I77" s="187" t="s">
        <v>347</v>
      </c>
      <c r="J77" s="129">
        <v>0.15</v>
      </c>
      <c r="K77" s="129"/>
      <c r="L77" s="129"/>
      <c r="M77" s="186">
        <v>5</v>
      </c>
      <c r="N77" s="128">
        <f>IF(J77=0,0,IF(J77&lt;=0.01,1, IF(J77&lt;=0.1,2, IF(J77&lt;=0.5,3,4))))</f>
        <v>3</v>
      </c>
      <c r="O77" s="128">
        <v>1</v>
      </c>
      <c r="P77" s="128">
        <f t="shared" si="88"/>
        <v>0</v>
      </c>
      <c r="Q77" s="128">
        <f t="shared" si="88"/>
        <v>0</v>
      </c>
      <c r="R77" s="179">
        <f>N77*((O77+P77+Q77)/3)</f>
        <v>1</v>
      </c>
      <c r="S77" s="179"/>
      <c r="T77" s="129" t="str">
        <f t="shared" si="89"/>
        <v>Negligible</v>
      </c>
      <c r="U77" s="187" t="s">
        <v>348</v>
      </c>
      <c r="V77" s="187"/>
      <c r="W77" s="188"/>
      <c r="X77" s="187"/>
      <c r="Y77" s="129">
        <v>0</v>
      </c>
      <c r="Z77" s="129" t="s">
        <v>2</v>
      </c>
      <c r="AA77" s="129"/>
      <c r="AB77" s="128">
        <v>42</v>
      </c>
      <c r="AC77" s="128">
        <v>42</v>
      </c>
      <c r="AD77" s="128">
        <v>42</v>
      </c>
      <c r="AE77" s="189">
        <v>0</v>
      </c>
      <c r="AF77" s="189">
        <v>2</v>
      </c>
      <c r="AG77" s="189">
        <v>6</v>
      </c>
      <c r="AH77" s="128">
        <f t="shared" si="80"/>
        <v>0</v>
      </c>
      <c r="AI77" s="128">
        <f>IF(AC77="",0,IF(AC77&lt;=SelectionCriteria!$G$5,1, IF(AC77&lt;=SelectionCriteria!$G$4,2, IF(AC77&lt;=SelectionCriteria!$G$3,3,4))))</f>
        <v>2</v>
      </c>
      <c r="AJ77" s="128">
        <f t="shared" si="81"/>
        <v>2</v>
      </c>
      <c r="AK77" s="128">
        <f t="shared" si="82"/>
        <v>0</v>
      </c>
      <c r="AL77" s="179">
        <f t="shared" si="90"/>
        <v>0</v>
      </c>
      <c r="AM77" s="4" t="str">
        <f t="shared" si="12"/>
        <v>Not Residual</v>
      </c>
      <c r="AN77" s="129"/>
      <c r="AO77" s="179">
        <f t="shared" si="83"/>
        <v>0</v>
      </c>
      <c r="AP77" s="179">
        <f t="shared" si="84"/>
        <v>0</v>
      </c>
      <c r="AQ77" s="190"/>
      <c r="AR77" s="86" t="str">
        <f>IF(Y77=0,"Not Residual",IF(AH77=4,("Very Likely"),(IF(AH77=3,("Possible"),(IF(AH77=2,("Unlikely"),("Rare")))))))</f>
        <v>Not Residual</v>
      </c>
      <c r="AS77" s="86" t="str">
        <f t="shared" si="92"/>
        <v>Not Residual</v>
      </c>
      <c r="AT77" s="190"/>
      <c r="AU77" s="190"/>
      <c r="AV77" s="190"/>
      <c r="AW77" s="190" t="s">
        <v>372</v>
      </c>
      <c r="AX77" s="191"/>
    </row>
    <row r="78" spans="1:51" s="192" customFormat="1" ht="30" hidden="1" customHeight="1" x14ac:dyDescent="0.25">
      <c r="A78" s="171">
        <v>67</v>
      </c>
      <c r="B78" s="181" t="s">
        <v>388</v>
      </c>
      <c r="C78" s="225">
        <v>2.02</v>
      </c>
      <c r="D78" s="183" t="s">
        <v>106</v>
      </c>
      <c r="E78" s="181" t="s">
        <v>344</v>
      </c>
      <c r="F78" s="185"/>
      <c r="G78" s="185" t="s">
        <v>397</v>
      </c>
      <c r="H78" s="250" t="s">
        <v>396</v>
      </c>
      <c r="I78" s="187" t="s">
        <v>351</v>
      </c>
      <c r="J78" s="129">
        <v>0.15</v>
      </c>
      <c r="K78" s="129"/>
      <c r="L78" s="129"/>
      <c r="M78" s="186">
        <v>5</v>
      </c>
      <c r="N78" s="128">
        <f>IF(J78=0,0,IF(J78&lt;=0.01,1, IF(J78&lt;=0.1,2, IF(J78&lt;=0.5,3,4))))</f>
        <v>3</v>
      </c>
      <c r="O78" s="128">
        <v>1</v>
      </c>
      <c r="P78" s="128">
        <f t="shared" si="88"/>
        <v>0</v>
      </c>
      <c r="Q78" s="128">
        <f t="shared" si="88"/>
        <v>0</v>
      </c>
      <c r="R78" s="179">
        <f>N78*((O78+P78+Q78)/3)</f>
        <v>1</v>
      </c>
      <c r="S78" s="179"/>
      <c r="T78" s="129" t="str">
        <f t="shared" si="89"/>
        <v>Negligible</v>
      </c>
      <c r="U78" s="187" t="s">
        <v>352</v>
      </c>
      <c r="V78" s="187"/>
      <c r="W78" s="188"/>
      <c r="X78" s="187"/>
      <c r="Y78" s="129">
        <v>0</v>
      </c>
      <c r="Z78" s="129" t="s">
        <v>2</v>
      </c>
      <c r="AA78" s="129"/>
      <c r="AB78" s="128">
        <v>27</v>
      </c>
      <c r="AC78" s="128">
        <v>27</v>
      </c>
      <c r="AD78" s="128">
        <v>27</v>
      </c>
      <c r="AE78" s="189">
        <v>0</v>
      </c>
      <c r="AF78" s="189">
        <v>2</v>
      </c>
      <c r="AG78" s="189">
        <v>6</v>
      </c>
      <c r="AH78" s="128">
        <f t="shared" si="80"/>
        <v>0</v>
      </c>
      <c r="AI78" s="128">
        <f>IF(AC78="",0,IF(AC78&lt;=SelectionCriteria!$G$5,1, IF(AC78&lt;=SelectionCriteria!$G$4,2, IF(AC78&lt;=SelectionCriteria!$G$3,3,4))))</f>
        <v>2</v>
      </c>
      <c r="AJ78" s="128">
        <f t="shared" si="81"/>
        <v>2</v>
      </c>
      <c r="AK78" s="128">
        <f t="shared" si="82"/>
        <v>0</v>
      </c>
      <c r="AL78" s="179">
        <f t="shared" si="90"/>
        <v>0</v>
      </c>
      <c r="AM78" s="4" t="str">
        <f t="shared" si="12"/>
        <v>Not Residual</v>
      </c>
      <c r="AN78" s="129"/>
      <c r="AO78" s="179">
        <f t="shared" si="83"/>
        <v>0</v>
      </c>
      <c r="AP78" s="179">
        <f t="shared" si="84"/>
        <v>0</v>
      </c>
      <c r="AQ78" s="190"/>
      <c r="AR78" s="86" t="str">
        <f>IF(Y78=0,"Not Residual",IF(AH78=4,("Very Likely"),(IF(AH78=3,("Possible"),(IF(AH78=2,("Unlikely"),("Rare")))))))</f>
        <v>Not Residual</v>
      </c>
      <c r="AS78" s="86" t="str">
        <f t="shared" si="92"/>
        <v>Not Residual</v>
      </c>
      <c r="AT78" s="190" t="s">
        <v>354</v>
      </c>
      <c r="AU78" s="190"/>
      <c r="AV78" s="190"/>
      <c r="AW78" s="190" t="s">
        <v>373</v>
      </c>
      <c r="AX78" s="191"/>
    </row>
    <row r="79" spans="1:51" s="192" customFormat="1" ht="30" hidden="1" customHeight="1" x14ac:dyDescent="0.25">
      <c r="A79" s="171">
        <v>68</v>
      </c>
      <c r="B79" s="181" t="s">
        <v>558</v>
      </c>
      <c r="C79" s="225">
        <v>2.0499999999999998</v>
      </c>
      <c r="D79" s="183" t="s">
        <v>106</v>
      </c>
      <c r="E79" s="181" t="s">
        <v>344</v>
      </c>
      <c r="F79" s="185"/>
      <c r="G79" s="185" t="s">
        <v>559</v>
      </c>
      <c r="H79" s="250" t="s">
        <v>597</v>
      </c>
      <c r="I79" s="187" t="s">
        <v>347</v>
      </c>
      <c r="J79" s="129">
        <v>0</v>
      </c>
      <c r="K79" s="129"/>
      <c r="L79" s="129"/>
      <c r="M79" s="186"/>
      <c r="N79" s="128"/>
      <c r="O79" s="128"/>
      <c r="P79" s="128"/>
      <c r="Q79" s="128"/>
      <c r="R79" s="179"/>
      <c r="S79" s="179"/>
      <c r="T79" s="129" t="str">
        <f t="shared" si="89"/>
        <v>Negligible</v>
      </c>
      <c r="U79" s="187" t="s">
        <v>560</v>
      </c>
      <c r="V79" s="187"/>
      <c r="W79" s="188"/>
      <c r="X79" s="187"/>
      <c r="Y79" s="129">
        <v>0.1</v>
      </c>
      <c r="Z79" s="129" t="s">
        <v>2</v>
      </c>
      <c r="AA79" s="129"/>
      <c r="AB79" s="128">
        <v>0</v>
      </c>
      <c r="AC79" s="128">
        <v>100</v>
      </c>
      <c r="AD79" s="128">
        <v>0</v>
      </c>
      <c r="AE79" s="189">
        <v>0</v>
      </c>
      <c r="AF79" s="189">
        <v>6</v>
      </c>
      <c r="AG79" s="189">
        <v>48</v>
      </c>
      <c r="AH79" s="128">
        <f t="shared" ref="AH79" si="93">IF(Y79=0,0,IF(Y79&lt;=0.01,1, IF(Y79&lt;=0.1,2, IF(Y79&lt;=0.5,3,4))))</f>
        <v>2</v>
      </c>
      <c r="AI79" s="128">
        <f>IF(AC79="",0,IF(AC79&lt;=SelectionCriteria!$G$5,1, IF(AC79&lt;=SelectionCriteria!$G$4,2, IF(AC79&lt;=SelectionCriteria!$G$3,3,4))))</f>
        <v>2</v>
      </c>
      <c r="AJ79" s="128">
        <f t="shared" ref="AJ79" si="94">IF(Z79="",0,IF(Z79="Negligible",1,IF(Z79="Low",2,IF(Z79="Moderate",3,4))))</f>
        <v>2</v>
      </c>
      <c r="AK79" s="128">
        <f t="shared" ref="AK79" si="95">IF(AA79="",0,IF(AA79="Negligible",1,IF(AA79="Low",2,IF(AA79="Moderate",3,4))))</f>
        <v>0</v>
      </c>
      <c r="AL79" s="179">
        <f t="shared" si="90"/>
        <v>2.6666666666666665</v>
      </c>
      <c r="AM79" s="4" t="str">
        <f t="shared" si="12"/>
        <v>Moderate</v>
      </c>
      <c r="AN79" s="129"/>
      <c r="AO79" s="179">
        <f t="shared" ref="AO79" si="96">Y79*AC79</f>
        <v>10</v>
      </c>
      <c r="AP79" s="179">
        <f t="shared" ref="AP79" si="97">Y79*(SUM(AB79:AD79)/3)</f>
        <v>3.3333333333333339</v>
      </c>
      <c r="AQ79" s="190"/>
      <c r="AR79" s="86" t="str">
        <f t="shared" ref="AR79" si="98">IF(Y79=0,"Not Residual",IF(AH79=4,("Very Likely"),(IF(AH79=3,("Possible"),(IF(AH79=2,("Unlikely"),("Rare")))))))</f>
        <v>Unlikely</v>
      </c>
      <c r="AS79" s="86" t="str">
        <f t="shared" si="92"/>
        <v>Moderate</v>
      </c>
      <c r="AT79" s="190"/>
      <c r="AU79" s="190"/>
      <c r="AV79" s="190"/>
      <c r="AW79" s="190"/>
      <c r="AX79" s="191"/>
    </row>
    <row r="80" spans="1:51" s="192" customFormat="1" ht="30" hidden="1" customHeight="1" x14ac:dyDescent="0.25">
      <c r="A80" s="171">
        <v>69</v>
      </c>
      <c r="B80" s="181" t="s">
        <v>595</v>
      </c>
      <c r="C80" s="225">
        <v>2.0499999999999998</v>
      </c>
      <c r="D80" s="183" t="s">
        <v>106</v>
      </c>
      <c r="E80" s="181" t="s">
        <v>344</v>
      </c>
      <c r="F80" s="185"/>
      <c r="G80" s="185" t="s">
        <v>559</v>
      </c>
      <c r="H80" s="250" t="s">
        <v>596</v>
      </c>
      <c r="I80" s="187" t="s">
        <v>347</v>
      </c>
      <c r="J80" s="129">
        <v>0</v>
      </c>
      <c r="K80" s="129"/>
      <c r="L80" s="129"/>
      <c r="M80" s="186"/>
      <c r="N80" s="128"/>
      <c r="O80" s="128"/>
      <c r="P80" s="128"/>
      <c r="Q80" s="128"/>
      <c r="R80" s="179"/>
      <c r="S80" s="179"/>
      <c r="T80" s="129" t="str">
        <f t="shared" ref="T80" si="99">IF(R80&lt;=3,"Negligible",IF(R80&lt;=6,"Low",IF(R80&lt;=9,"Moderate","High")))</f>
        <v>Negligible</v>
      </c>
      <c r="U80" s="187" t="s">
        <v>560</v>
      </c>
      <c r="V80" s="187"/>
      <c r="W80" s="188"/>
      <c r="X80" s="187"/>
      <c r="Y80" s="236">
        <v>1E-3</v>
      </c>
      <c r="Z80" s="129" t="s">
        <v>2</v>
      </c>
      <c r="AA80" s="129"/>
      <c r="AB80" s="128">
        <v>0</v>
      </c>
      <c r="AC80" s="128">
        <v>0</v>
      </c>
      <c r="AD80" s="128">
        <v>10000</v>
      </c>
      <c r="AE80" s="189">
        <v>0</v>
      </c>
      <c r="AF80" s="189">
        <v>6</v>
      </c>
      <c r="AG80" s="189">
        <v>48</v>
      </c>
      <c r="AH80" s="128">
        <f t="shared" si="80"/>
        <v>1</v>
      </c>
      <c r="AI80" s="128">
        <f>IF(AC80="",0,IF(AC80&lt;=SelectionCriteria!$G$5,1, IF(AC80&lt;=SelectionCriteria!$G$4,2, IF(AC80&lt;=SelectionCriteria!$G$3,3,4))))</f>
        <v>1</v>
      </c>
      <c r="AJ80" s="128">
        <f t="shared" si="81"/>
        <v>2</v>
      </c>
      <c r="AK80" s="128">
        <f t="shared" si="82"/>
        <v>0</v>
      </c>
      <c r="AL80" s="179">
        <f t="shared" ref="AL80" si="100">AH80*((AI80+AJ80+AK80)/3)</f>
        <v>1</v>
      </c>
      <c r="AM80" s="4" t="str">
        <f t="shared" si="12"/>
        <v>Negligible</v>
      </c>
      <c r="AN80" s="129"/>
      <c r="AO80" s="179">
        <f t="shared" si="83"/>
        <v>0</v>
      </c>
      <c r="AP80" s="179">
        <f t="shared" si="84"/>
        <v>3.3333333333333335</v>
      </c>
      <c r="AQ80" s="190"/>
      <c r="AR80" s="86" t="str">
        <f t="shared" ref="AR80" si="101">IF(Y80=0,"Not Residual",IF(AH80=4,("Very Likely"),(IF(AH80=3,("Possible"),(IF(AH80=2,("Unlikely"),("Rare")))))))</f>
        <v>Rare</v>
      </c>
      <c r="AS80" s="86" t="str">
        <f t="shared" ref="AS80" si="102">AM80</f>
        <v>Negligible</v>
      </c>
      <c r="AT80" s="190"/>
      <c r="AU80" s="190"/>
      <c r="AV80" s="190"/>
      <c r="AW80" s="190"/>
      <c r="AX80" s="191"/>
    </row>
    <row r="81" spans="1:51" s="192" customFormat="1" ht="30" hidden="1" customHeight="1" x14ac:dyDescent="0.25">
      <c r="A81" s="171">
        <v>70</v>
      </c>
      <c r="B81" s="181" t="s">
        <v>561</v>
      </c>
      <c r="C81" s="225">
        <v>2.0499999999999998</v>
      </c>
      <c r="D81" s="183" t="s">
        <v>106</v>
      </c>
      <c r="E81" s="181" t="s">
        <v>344</v>
      </c>
      <c r="F81" s="185"/>
      <c r="G81" s="185" t="s">
        <v>559</v>
      </c>
      <c r="H81" s="250" t="s">
        <v>562</v>
      </c>
      <c r="I81" s="187" t="s">
        <v>347</v>
      </c>
      <c r="J81" s="129">
        <v>0</v>
      </c>
      <c r="K81" s="129"/>
      <c r="L81" s="129"/>
      <c r="M81" s="186"/>
      <c r="N81" s="128"/>
      <c r="O81" s="128"/>
      <c r="P81" s="128"/>
      <c r="Q81" s="128"/>
      <c r="R81" s="179"/>
      <c r="S81" s="179"/>
      <c r="T81" s="129" t="str">
        <f t="shared" ref="T81" si="103">IF(R81&lt;=3,"Negligible",IF(R81&lt;=6,"Low",IF(R81&lt;=9,"Moderate","High")))</f>
        <v>Negligible</v>
      </c>
      <c r="U81" s="187" t="s">
        <v>560</v>
      </c>
      <c r="V81" s="187"/>
      <c r="W81" s="188"/>
      <c r="X81" s="187"/>
      <c r="Y81" s="129">
        <v>0.05</v>
      </c>
      <c r="Z81" s="129"/>
      <c r="AA81" s="129"/>
      <c r="AB81" s="128">
        <v>0</v>
      </c>
      <c r="AC81" s="128">
        <v>0</v>
      </c>
      <c r="AD81" s="128">
        <v>0</v>
      </c>
      <c r="AE81" s="128">
        <v>0</v>
      </c>
      <c r="AF81" s="128">
        <v>0</v>
      </c>
      <c r="AG81" s="128">
        <v>0</v>
      </c>
      <c r="AH81" s="128">
        <f t="shared" ref="AH81" si="104">IF(Y81=0,0,IF(Y81&lt;=0.01,1, IF(Y81&lt;=0.1,2, IF(Y81&lt;=0.5,3,4))))</f>
        <v>2</v>
      </c>
      <c r="AI81" s="128">
        <f>IF(AC81="",0,IF(AC81&lt;=SelectionCriteria!$G$5,1, IF(AC81&lt;=SelectionCriteria!$G$4,2, IF(AC81&lt;=SelectionCriteria!$G$3,3,4))))</f>
        <v>1</v>
      </c>
      <c r="AJ81" s="128">
        <f t="shared" ref="AJ81" si="105">IF(Z81="",0,IF(Z81="Negligible",1,IF(Z81="Low",2,IF(Z81="Moderate",3,4))))</f>
        <v>0</v>
      </c>
      <c r="AK81" s="128">
        <f t="shared" ref="AK81" si="106">IF(AA81="",0,IF(AA81="Negligible",1,IF(AA81="Low",2,IF(AA81="Moderate",3,4))))</f>
        <v>0</v>
      </c>
      <c r="AL81" s="179">
        <f t="shared" ref="AL81" si="107">AH81*((AI81+AJ81+AK81)/3)</f>
        <v>0.66666666666666663</v>
      </c>
      <c r="AM81" s="4" t="str">
        <f t="shared" si="12"/>
        <v>Negligible</v>
      </c>
      <c r="AN81" s="129"/>
      <c r="AO81" s="179">
        <f t="shared" ref="AO81" si="108">Y81*AC81</f>
        <v>0</v>
      </c>
      <c r="AP81" s="179">
        <f t="shared" ref="AP81" si="109">Y81*(SUM(AB81:AD81)/3)</f>
        <v>0</v>
      </c>
      <c r="AQ81" s="190"/>
      <c r="AR81" s="86" t="str">
        <f t="shared" ref="AR81" si="110">IF(Y81=0,"Not Residual",IF(AH81=4,("Very Likely"),(IF(AH81=3,("Possible"),(IF(AH81=2,("Unlikely"),("Rare")))))))</f>
        <v>Unlikely</v>
      </c>
      <c r="AS81" s="86" t="str">
        <f t="shared" ref="AS81" si="111">AM81</f>
        <v>Negligible</v>
      </c>
      <c r="AT81" s="190"/>
      <c r="AU81" s="190"/>
      <c r="AV81" s="190"/>
      <c r="AW81" s="190"/>
      <c r="AX81" s="191"/>
    </row>
    <row r="82" spans="1:51" s="192" customFormat="1" ht="30" hidden="1" customHeight="1" x14ac:dyDescent="0.25">
      <c r="A82" s="171">
        <v>71</v>
      </c>
      <c r="B82" s="181" t="s">
        <v>365</v>
      </c>
      <c r="C82" s="225">
        <v>311350</v>
      </c>
      <c r="D82" s="181" t="s">
        <v>106</v>
      </c>
      <c r="E82" s="181" t="s">
        <v>358</v>
      </c>
      <c r="F82" s="185"/>
      <c r="G82" s="185" t="s">
        <v>359</v>
      </c>
      <c r="H82" s="250" t="s">
        <v>367</v>
      </c>
      <c r="I82" s="187" t="s">
        <v>360</v>
      </c>
      <c r="J82" s="129">
        <v>0.25</v>
      </c>
      <c r="K82" s="129" t="s">
        <v>1</v>
      </c>
      <c r="L82" s="129"/>
      <c r="M82" s="186"/>
      <c r="N82" s="128"/>
      <c r="O82" s="128"/>
      <c r="P82" s="128"/>
      <c r="Q82" s="128"/>
      <c r="R82" s="179"/>
      <c r="S82" s="179"/>
      <c r="T82" s="129" t="str">
        <f t="shared" si="89"/>
        <v>Negligible</v>
      </c>
      <c r="U82" s="187" t="s">
        <v>361</v>
      </c>
      <c r="V82" s="187"/>
      <c r="W82" s="188"/>
      <c r="X82" s="187"/>
      <c r="Y82" s="129">
        <v>0.3</v>
      </c>
      <c r="Z82" s="129"/>
      <c r="AA82" s="129"/>
      <c r="AB82" s="128">
        <v>126</v>
      </c>
      <c r="AC82" s="128">
        <v>126</v>
      </c>
      <c r="AD82" s="128">
        <v>126</v>
      </c>
      <c r="AE82" s="128">
        <v>0</v>
      </c>
      <c r="AF82" s="128">
        <v>0</v>
      </c>
      <c r="AG82" s="128">
        <v>0</v>
      </c>
      <c r="AH82" s="128">
        <f t="shared" si="80"/>
        <v>3</v>
      </c>
      <c r="AI82" s="128">
        <f>IF(AC82="",0,IF(AC82&lt;=SelectionCriteria!$G$5,1, IF(AC82&lt;=SelectionCriteria!$G$4,2, IF(AC82&lt;=SelectionCriteria!$G$3,3,4))))</f>
        <v>3</v>
      </c>
      <c r="AJ82" s="128">
        <f t="shared" si="81"/>
        <v>0</v>
      </c>
      <c r="AK82" s="128">
        <f t="shared" si="82"/>
        <v>0</v>
      </c>
      <c r="AL82" s="179">
        <f t="shared" si="90"/>
        <v>3</v>
      </c>
      <c r="AM82" s="4" t="str">
        <f t="shared" si="12"/>
        <v>High</v>
      </c>
      <c r="AN82" s="129"/>
      <c r="AO82" s="179">
        <f t="shared" si="83"/>
        <v>37.799999999999997</v>
      </c>
      <c r="AP82" s="179">
        <f t="shared" si="84"/>
        <v>37.799999999999997</v>
      </c>
      <c r="AQ82" s="190" t="s">
        <v>572</v>
      </c>
      <c r="AR82" s="86" t="str">
        <f t="shared" si="91"/>
        <v>Possible</v>
      </c>
      <c r="AS82" s="86" t="str">
        <f t="shared" si="92"/>
        <v>High</v>
      </c>
      <c r="AT82" s="190"/>
      <c r="AU82" s="190"/>
      <c r="AV82" s="190"/>
      <c r="AW82" s="190"/>
      <c r="AX82" s="191"/>
    </row>
    <row r="83" spans="1:51" s="192" customFormat="1" ht="30" hidden="1" customHeight="1" x14ac:dyDescent="0.25">
      <c r="A83" s="171">
        <v>72</v>
      </c>
      <c r="B83" s="181" t="s">
        <v>366</v>
      </c>
      <c r="C83" s="225">
        <v>316000</v>
      </c>
      <c r="D83" s="181" t="s">
        <v>106</v>
      </c>
      <c r="E83" s="181" t="s">
        <v>358</v>
      </c>
      <c r="F83" s="185"/>
      <c r="G83" s="185" t="s">
        <v>359</v>
      </c>
      <c r="H83" s="250" t="s">
        <v>362</v>
      </c>
      <c r="I83" s="187" t="s">
        <v>363</v>
      </c>
      <c r="J83" s="129">
        <v>0.5</v>
      </c>
      <c r="K83" s="129" t="s">
        <v>2</v>
      </c>
      <c r="L83" s="129"/>
      <c r="M83" s="186"/>
      <c r="N83" s="128"/>
      <c r="O83" s="128"/>
      <c r="P83" s="128"/>
      <c r="Q83" s="128"/>
      <c r="R83" s="179"/>
      <c r="S83" s="179"/>
      <c r="T83" s="129" t="str">
        <f t="shared" si="89"/>
        <v>Negligible</v>
      </c>
      <c r="U83" s="187" t="s">
        <v>364</v>
      </c>
      <c r="V83" s="187"/>
      <c r="W83" s="188"/>
      <c r="X83" s="187"/>
      <c r="Y83" s="129">
        <v>0.1</v>
      </c>
      <c r="Z83" s="129"/>
      <c r="AA83" s="129"/>
      <c r="AB83" s="128">
        <v>250</v>
      </c>
      <c r="AC83" s="128">
        <v>500</v>
      </c>
      <c r="AD83" s="128">
        <v>720</v>
      </c>
      <c r="AE83" s="128">
        <v>0</v>
      </c>
      <c r="AF83" s="128">
        <v>0</v>
      </c>
      <c r="AG83" s="128">
        <v>0</v>
      </c>
      <c r="AH83" s="128">
        <f t="shared" si="80"/>
        <v>2</v>
      </c>
      <c r="AI83" s="128">
        <f>IF(AC83="",0,IF(AC83&lt;=SelectionCriteria!$G$5,1, IF(AC83&lt;=SelectionCriteria!$G$4,2, IF(AC83&lt;=SelectionCriteria!$G$3,3,4))))</f>
        <v>4</v>
      </c>
      <c r="AJ83" s="128">
        <f t="shared" si="81"/>
        <v>0</v>
      </c>
      <c r="AK83" s="128">
        <f t="shared" si="82"/>
        <v>0</v>
      </c>
      <c r="AL83" s="179">
        <f t="shared" si="90"/>
        <v>2.6666666666666665</v>
      </c>
      <c r="AM83" s="4" t="str">
        <f t="shared" si="12"/>
        <v>Moderate</v>
      </c>
      <c r="AN83" s="129"/>
      <c r="AO83" s="179">
        <f t="shared" si="83"/>
        <v>50</v>
      </c>
      <c r="AP83" s="179">
        <f t="shared" si="84"/>
        <v>49</v>
      </c>
      <c r="AQ83" s="190" t="s">
        <v>371</v>
      </c>
      <c r="AR83" s="86" t="str">
        <f t="shared" si="91"/>
        <v>Unlikely</v>
      </c>
      <c r="AS83" s="86" t="str">
        <f t="shared" si="92"/>
        <v>Moderate</v>
      </c>
      <c r="AT83" s="190"/>
      <c r="AU83" s="190"/>
      <c r="AV83" s="190"/>
      <c r="AW83" s="190"/>
      <c r="AX83" s="191"/>
    </row>
    <row r="84" spans="1:51" s="192" customFormat="1" ht="30" hidden="1" customHeight="1" x14ac:dyDescent="0.25">
      <c r="A84" s="171">
        <v>73</v>
      </c>
      <c r="B84" s="181" t="s">
        <v>391</v>
      </c>
      <c r="C84" s="225">
        <v>2.04</v>
      </c>
      <c r="D84" s="181" t="s">
        <v>106</v>
      </c>
      <c r="E84" s="181" t="s">
        <v>222</v>
      </c>
      <c r="F84" s="184"/>
      <c r="G84" s="185" t="s">
        <v>392</v>
      </c>
      <c r="H84" s="250" t="s">
        <v>393</v>
      </c>
      <c r="I84" s="187" t="s">
        <v>394</v>
      </c>
      <c r="J84" s="129"/>
      <c r="K84" s="129"/>
      <c r="L84" s="129"/>
      <c r="M84" s="186"/>
      <c r="N84" s="128"/>
      <c r="O84" s="128"/>
      <c r="P84" s="128"/>
      <c r="Q84" s="128"/>
      <c r="R84" s="179"/>
      <c r="S84" s="179"/>
      <c r="T84" s="180"/>
      <c r="U84" s="187" t="s">
        <v>505</v>
      </c>
      <c r="V84" s="187"/>
      <c r="W84" s="188"/>
      <c r="X84" s="187"/>
      <c r="Y84" s="129">
        <v>0.1</v>
      </c>
      <c r="Z84" s="129" t="s">
        <v>2</v>
      </c>
      <c r="AA84" s="129"/>
      <c r="AB84" s="128">
        <v>7.5</v>
      </c>
      <c r="AC84" s="128">
        <v>20</v>
      </c>
      <c r="AD84" s="128">
        <v>132.5</v>
      </c>
      <c r="AE84" s="189">
        <v>1</v>
      </c>
      <c r="AF84" s="189">
        <v>3</v>
      </c>
      <c r="AG84" s="189">
        <v>6</v>
      </c>
      <c r="AH84" s="128">
        <f t="shared" si="80"/>
        <v>2</v>
      </c>
      <c r="AI84" s="128">
        <f>IF(AC84="",0,IF(AC84&lt;=SelectionCriteria!$G$5,1, IF(AC84&lt;=SelectionCriteria!$G$4,2, IF(AC84&lt;=SelectionCriteria!$G$3,3,4))))</f>
        <v>1</v>
      </c>
      <c r="AJ84" s="128">
        <f t="shared" si="81"/>
        <v>2</v>
      </c>
      <c r="AK84" s="128">
        <f t="shared" si="82"/>
        <v>0</v>
      </c>
      <c r="AL84" s="179">
        <f t="shared" si="90"/>
        <v>2</v>
      </c>
      <c r="AM84" s="4" t="str">
        <f t="shared" ref="AM84:AM114" si="112">IF(AL84=0,"Not Residual",IF(AL84&lt;=1,"Negligible",IF(AL84&lt;=2,"Low",IF(AL84&lt;3,"Moderate","High"))))</f>
        <v>Low</v>
      </c>
      <c r="AN84" s="129"/>
      <c r="AO84" s="179">
        <f t="shared" si="83"/>
        <v>2</v>
      </c>
      <c r="AP84" s="179">
        <f t="shared" si="84"/>
        <v>5.3333333333333339</v>
      </c>
      <c r="AQ84" s="190"/>
      <c r="AR84" s="86"/>
      <c r="AS84" s="86"/>
      <c r="AT84" s="190"/>
      <c r="AU84" s="190"/>
      <c r="AV84" s="190"/>
      <c r="AW84" s="190"/>
      <c r="AX84" s="191"/>
    </row>
    <row r="85" spans="1:51" s="192" customFormat="1" ht="30" hidden="1" customHeight="1" x14ac:dyDescent="0.25">
      <c r="A85" s="171">
        <v>74</v>
      </c>
      <c r="B85" s="181" t="s">
        <v>223</v>
      </c>
      <c r="C85" s="182">
        <v>2.04</v>
      </c>
      <c r="D85" s="183" t="s">
        <v>106</v>
      </c>
      <c r="E85" s="181" t="s">
        <v>222</v>
      </c>
      <c r="F85" s="184"/>
      <c r="G85" s="185" t="s">
        <v>571</v>
      </c>
      <c r="H85" s="250" t="s">
        <v>221</v>
      </c>
      <c r="I85" s="187" t="s">
        <v>229</v>
      </c>
      <c r="J85" s="129">
        <v>0.3</v>
      </c>
      <c r="K85" s="129" t="s">
        <v>1</v>
      </c>
      <c r="L85" s="129"/>
      <c r="M85" s="186">
        <v>0</v>
      </c>
      <c r="N85" s="128">
        <f t="shared" si="6"/>
        <v>3</v>
      </c>
      <c r="O85" s="128">
        <f>IF(M85="",0,IF(M85&lt;=SelectionCriteria!$G$5,1, IF(M85&lt;=SelectionCriteria!$G$4,2, IF(M85&lt;=SelectionCriteria!$G$3,3,4))))</f>
        <v>1</v>
      </c>
      <c r="P85" s="128">
        <f t="shared" ref="P85:Q88" si="113">IF(K85="",0,IF(K85="Negligible",1,IF(K85="Low",2,IF(K85="Moderate",3,4))))</f>
        <v>1</v>
      </c>
      <c r="Q85" s="128">
        <f t="shared" si="113"/>
        <v>0</v>
      </c>
      <c r="R85" s="179">
        <f t="shared" ref="R85:R95" si="114">N85*((O85+P85+Q85)/3)</f>
        <v>2</v>
      </c>
      <c r="S85" s="179"/>
      <c r="T85" s="180" t="str">
        <f t="shared" si="7"/>
        <v>Low</v>
      </c>
      <c r="U85" s="187" t="s">
        <v>519</v>
      </c>
      <c r="V85" s="187"/>
      <c r="W85" s="188"/>
      <c r="X85" s="187"/>
      <c r="Y85" s="129">
        <v>0</v>
      </c>
      <c r="Z85" s="129"/>
      <c r="AA85" s="129"/>
      <c r="AB85" s="128"/>
      <c r="AC85" s="128"/>
      <c r="AD85" s="128"/>
      <c r="AE85" s="189"/>
      <c r="AF85" s="189"/>
      <c r="AG85" s="189"/>
      <c r="AH85" s="128">
        <f t="shared" si="80"/>
        <v>0</v>
      </c>
      <c r="AI85" s="128">
        <f>IF(AC85="",0,IF(AC85&lt;=SelectionCriteria!$G$5,1, IF(AC85&lt;=SelectionCriteria!$G$4,2, IF(AC85&lt;=SelectionCriteria!$G$3,3,4))))</f>
        <v>0</v>
      </c>
      <c r="AJ85" s="128">
        <f t="shared" si="81"/>
        <v>0</v>
      </c>
      <c r="AK85" s="128">
        <f t="shared" si="82"/>
        <v>0</v>
      </c>
      <c r="AL85" s="179">
        <f t="shared" si="4"/>
        <v>0</v>
      </c>
      <c r="AM85" s="4" t="str">
        <f t="shared" si="112"/>
        <v>Not Residual</v>
      </c>
      <c r="AN85" s="129"/>
      <c r="AO85" s="179">
        <f t="shared" si="83"/>
        <v>0</v>
      </c>
      <c r="AP85" s="179">
        <f t="shared" si="84"/>
        <v>0</v>
      </c>
      <c r="AQ85" s="190"/>
      <c r="AR85" s="86" t="str">
        <f t="shared" si="13"/>
        <v>Not Residual</v>
      </c>
      <c r="AS85" s="86" t="str">
        <f>AM85</f>
        <v>Not Residual</v>
      </c>
      <c r="AT85" s="190"/>
      <c r="AU85" s="190"/>
      <c r="AV85" s="190"/>
      <c r="AW85" s="190" t="s">
        <v>627</v>
      </c>
      <c r="AX85" s="191"/>
      <c r="AY85" s="192" t="s">
        <v>620</v>
      </c>
    </row>
    <row r="86" spans="1:51" s="192" customFormat="1" ht="30" hidden="1" customHeight="1" x14ac:dyDescent="0.25">
      <c r="A86" s="171">
        <v>75</v>
      </c>
      <c r="B86" s="181" t="s">
        <v>224</v>
      </c>
      <c r="C86" s="182">
        <v>2.04</v>
      </c>
      <c r="D86" s="183" t="s">
        <v>106</v>
      </c>
      <c r="E86" s="181" t="s">
        <v>222</v>
      </c>
      <c r="F86" s="184"/>
      <c r="G86" s="185" t="s">
        <v>571</v>
      </c>
      <c r="H86" s="250" t="s">
        <v>230</v>
      </c>
      <c r="I86" s="187" t="s">
        <v>231</v>
      </c>
      <c r="J86" s="129">
        <v>0.1</v>
      </c>
      <c r="K86" s="129" t="s">
        <v>1</v>
      </c>
      <c r="L86" s="129"/>
      <c r="M86" s="186">
        <v>0</v>
      </c>
      <c r="N86" s="128">
        <f t="shared" si="6"/>
        <v>2</v>
      </c>
      <c r="O86" s="128">
        <f>IF(M86="",0,IF(M86&lt;=SelectionCriteria!$G$5,1, IF(M86&lt;=SelectionCriteria!$G$4,2, IF(M86&lt;=SelectionCriteria!$G$3,3,4))))</f>
        <v>1</v>
      </c>
      <c r="P86" s="128">
        <f t="shared" si="113"/>
        <v>1</v>
      </c>
      <c r="Q86" s="128">
        <f t="shared" si="113"/>
        <v>0</v>
      </c>
      <c r="R86" s="179">
        <f t="shared" si="114"/>
        <v>1.3333333333333333</v>
      </c>
      <c r="S86" s="179"/>
      <c r="T86" s="180" t="str">
        <f t="shared" si="7"/>
        <v>Low</v>
      </c>
      <c r="U86" s="187" t="s">
        <v>518</v>
      </c>
      <c r="V86" s="187"/>
      <c r="W86" s="188"/>
      <c r="X86" s="187"/>
      <c r="Y86" s="129">
        <v>0</v>
      </c>
      <c r="Z86" s="129"/>
      <c r="AA86" s="129"/>
      <c r="AB86" s="128"/>
      <c r="AC86" s="128"/>
      <c r="AD86" s="128"/>
      <c r="AE86" s="189"/>
      <c r="AF86" s="189"/>
      <c r="AG86" s="189"/>
      <c r="AH86" s="128">
        <f t="shared" si="80"/>
        <v>0</v>
      </c>
      <c r="AI86" s="128">
        <f>IF(AC86="",0,IF(AC86&lt;=SelectionCriteria!$G$5,1, IF(AC86&lt;=SelectionCriteria!$G$4,2, IF(AC86&lt;=SelectionCriteria!$G$3,3,4))))</f>
        <v>0</v>
      </c>
      <c r="AJ86" s="128">
        <f t="shared" si="81"/>
        <v>0</v>
      </c>
      <c r="AK86" s="128">
        <f t="shared" si="82"/>
        <v>0</v>
      </c>
      <c r="AL86" s="179">
        <f t="shared" si="4"/>
        <v>0</v>
      </c>
      <c r="AM86" s="4" t="str">
        <f t="shared" si="112"/>
        <v>Not Residual</v>
      </c>
      <c r="AN86" s="129"/>
      <c r="AO86" s="179">
        <f t="shared" si="83"/>
        <v>0</v>
      </c>
      <c r="AP86" s="179">
        <f t="shared" si="84"/>
        <v>0</v>
      </c>
      <c r="AQ86" s="190"/>
      <c r="AR86" s="86" t="str">
        <f t="shared" si="13"/>
        <v>Not Residual</v>
      </c>
      <c r="AS86" s="86" t="str">
        <f>AM86</f>
        <v>Not Residual</v>
      </c>
      <c r="AT86" s="190"/>
      <c r="AU86" s="190"/>
      <c r="AV86" s="190"/>
      <c r="AW86" s="190" t="s">
        <v>621</v>
      </c>
      <c r="AX86" s="191"/>
      <c r="AY86" s="192" t="s">
        <v>620</v>
      </c>
    </row>
    <row r="87" spans="1:51" s="192" customFormat="1" ht="30" hidden="1" customHeight="1" x14ac:dyDescent="0.25">
      <c r="A87" s="171">
        <v>76</v>
      </c>
      <c r="B87" s="181" t="s">
        <v>225</v>
      </c>
      <c r="C87" s="182">
        <v>2.0499999999999998</v>
      </c>
      <c r="D87" s="183" t="s">
        <v>106</v>
      </c>
      <c r="E87" s="181" t="s">
        <v>323</v>
      </c>
      <c r="F87" s="184"/>
      <c r="G87" s="185" t="s">
        <v>557</v>
      </c>
      <c r="H87" s="250" t="s">
        <v>227</v>
      </c>
      <c r="I87" s="187" t="s">
        <v>232</v>
      </c>
      <c r="J87" s="129">
        <v>0.3</v>
      </c>
      <c r="K87" s="129" t="s">
        <v>1</v>
      </c>
      <c r="L87" s="129"/>
      <c r="M87" s="186">
        <v>0</v>
      </c>
      <c r="N87" s="128">
        <f t="shared" si="6"/>
        <v>3</v>
      </c>
      <c r="O87" s="128">
        <f>IF(M87="",0,IF(M87&lt;=SelectionCriteria!$G$5,1, IF(M87&lt;=SelectionCriteria!$G$4,2, IF(M87&lt;=SelectionCriteria!$G$3,3,4))))</f>
        <v>1</v>
      </c>
      <c r="P87" s="128">
        <f t="shared" si="113"/>
        <v>1</v>
      </c>
      <c r="Q87" s="128">
        <f t="shared" si="113"/>
        <v>0</v>
      </c>
      <c r="R87" s="179">
        <f t="shared" si="114"/>
        <v>2</v>
      </c>
      <c r="S87" s="179"/>
      <c r="T87" s="180" t="str">
        <f t="shared" si="7"/>
        <v>Low</v>
      </c>
      <c r="U87" s="187" t="s">
        <v>518</v>
      </c>
      <c r="V87" s="187"/>
      <c r="W87" s="188"/>
      <c r="X87" s="187"/>
      <c r="Y87" s="129">
        <v>0</v>
      </c>
      <c r="Z87" s="129"/>
      <c r="AA87" s="129"/>
      <c r="AB87" s="128"/>
      <c r="AC87" s="128"/>
      <c r="AD87" s="128"/>
      <c r="AE87" s="189"/>
      <c r="AF87" s="189"/>
      <c r="AG87" s="189"/>
      <c r="AH87" s="128">
        <f t="shared" si="80"/>
        <v>0</v>
      </c>
      <c r="AI87" s="128">
        <f>IF(AC87="",0,IF(AC87&lt;=SelectionCriteria!$G$5,1, IF(AC87&lt;=SelectionCriteria!$G$4,2, IF(AC87&lt;=SelectionCriteria!$G$3,3,4))))</f>
        <v>0</v>
      </c>
      <c r="AJ87" s="128">
        <f t="shared" si="81"/>
        <v>0</v>
      </c>
      <c r="AK87" s="128">
        <f t="shared" si="82"/>
        <v>0</v>
      </c>
      <c r="AL87" s="179">
        <f t="shared" si="4"/>
        <v>0</v>
      </c>
      <c r="AM87" s="4" t="str">
        <f t="shared" si="112"/>
        <v>Not Residual</v>
      </c>
      <c r="AN87" s="129"/>
      <c r="AO87" s="179">
        <f t="shared" si="83"/>
        <v>0</v>
      </c>
      <c r="AP87" s="179">
        <f t="shared" si="84"/>
        <v>0</v>
      </c>
      <c r="AQ87" s="190"/>
      <c r="AR87" s="86" t="str">
        <f t="shared" si="13"/>
        <v>Not Residual</v>
      </c>
      <c r="AS87" s="86" t="str">
        <f>AM87</f>
        <v>Not Residual</v>
      </c>
      <c r="AT87" s="190"/>
      <c r="AU87" s="190"/>
      <c r="AV87" s="190"/>
      <c r="AW87" s="190" t="s">
        <v>622</v>
      </c>
      <c r="AX87" s="191"/>
      <c r="AY87" s="192" t="s">
        <v>620</v>
      </c>
    </row>
    <row r="88" spans="1:51" s="192" customFormat="1" ht="30" hidden="1" customHeight="1" x14ac:dyDescent="0.25">
      <c r="A88" s="171">
        <v>77</v>
      </c>
      <c r="B88" s="181" t="s">
        <v>226</v>
      </c>
      <c r="C88" s="182">
        <v>2.0499999999999998</v>
      </c>
      <c r="D88" s="183" t="s">
        <v>106</v>
      </c>
      <c r="E88" s="181" t="s">
        <v>323</v>
      </c>
      <c r="F88" s="184"/>
      <c r="G88" s="185" t="s">
        <v>557</v>
      </c>
      <c r="H88" s="250" t="s">
        <v>228</v>
      </c>
      <c r="I88" s="187" t="s">
        <v>233</v>
      </c>
      <c r="J88" s="129">
        <v>0.1</v>
      </c>
      <c r="K88" s="129" t="s">
        <v>1</v>
      </c>
      <c r="L88" s="129"/>
      <c r="M88" s="186">
        <v>20</v>
      </c>
      <c r="N88" s="128">
        <f t="shared" si="6"/>
        <v>2</v>
      </c>
      <c r="O88" s="128">
        <f>IF(M88="",0,IF(M88&lt;=SelectionCriteria!$G$5,1, IF(M88&lt;=SelectionCriteria!$G$4,2, IF(M88&lt;=SelectionCriteria!$G$3,3,4))))</f>
        <v>1</v>
      </c>
      <c r="P88" s="128">
        <f t="shared" si="113"/>
        <v>1</v>
      </c>
      <c r="Q88" s="128">
        <f t="shared" si="113"/>
        <v>0</v>
      </c>
      <c r="R88" s="179">
        <f t="shared" si="114"/>
        <v>1.3333333333333333</v>
      </c>
      <c r="S88" s="179"/>
      <c r="T88" s="180" t="str">
        <f t="shared" si="7"/>
        <v>Low</v>
      </c>
      <c r="U88" s="187" t="s">
        <v>519</v>
      </c>
      <c r="V88" s="187"/>
      <c r="W88" s="188"/>
      <c r="X88" s="187"/>
      <c r="Y88" s="129">
        <v>0</v>
      </c>
      <c r="Z88" s="129"/>
      <c r="AA88" s="129"/>
      <c r="AB88" s="128"/>
      <c r="AC88" s="128"/>
      <c r="AD88" s="128"/>
      <c r="AE88" s="189"/>
      <c r="AF88" s="189"/>
      <c r="AG88" s="189"/>
      <c r="AH88" s="128">
        <f t="shared" si="80"/>
        <v>0</v>
      </c>
      <c r="AI88" s="128">
        <f>IF(AC88="",0,IF(AC88&lt;=SelectionCriteria!$G$5,1, IF(AC88&lt;=SelectionCriteria!$G$4,2, IF(AC88&lt;=SelectionCriteria!$G$3,3,4))))</f>
        <v>0</v>
      </c>
      <c r="AJ88" s="128">
        <f t="shared" si="81"/>
        <v>0</v>
      </c>
      <c r="AK88" s="128">
        <f t="shared" si="82"/>
        <v>0</v>
      </c>
      <c r="AL88" s="179">
        <f t="shared" si="4"/>
        <v>0</v>
      </c>
      <c r="AM88" s="4" t="str">
        <f t="shared" si="112"/>
        <v>Not Residual</v>
      </c>
      <c r="AN88" s="129"/>
      <c r="AO88" s="179">
        <f t="shared" si="83"/>
        <v>0</v>
      </c>
      <c r="AP88" s="179">
        <f t="shared" si="84"/>
        <v>0</v>
      </c>
      <c r="AQ88" s="190"/>
      <c r="AR88" s="86" t="str">
        <f t="shared" si="13"/>
        <v>Not Residual</v>
      </c>
      <c r="AS88" s="86" t="str">
        <f>AM88</f>
        <v>Not Residual</v>
      </c>
      <c r="AT88" s="190"/>
      <c r="AU88" s="190"/>
      <c r="AV88" s="190"/>
      <c r="AW88" s="190" t="s">
        <v>628</v>
      </c>
      <c r="AX88" s="191"/>
      <c r="AY88" s="192" t="s">
        <v>620</v>
      </c>
    </row>
    <row r="89" spans="1:51" s="192" customFormat="1" ht="30" hidden="1" customHeight="1" x14ac:dyDescent="0.25">
      <c r="A89" s="171">
        <v>78</v>
      </c>
      <c r="B89" s="181" t="s">
        <v>567</v>
      </c>
      <c r="C89" s="182">
        <v>2.0499999999999998</v>
      </c>
      <c r="D89" s="183" t="s">
        <v>106</v>
      </c>
      <c r="E89" s="181" t="s">
        <v>323</v>
      </c>
      <c r="F89" s="184"/>
      <c r="G89" s="185" t="s">
        <v>557</v>
      </c>
      <c r="H89" s="250" t="s">
        <v>564</v>
      </c>
      <c r="I89" s="187"/>
      <c r="J89" s="129"/>
      <c r="K89" s="129"/>
      <c r="L89" s="129"/>
      <c r="M89" s="186"/>
      <c r="N89" s="128"/>
      <c r="O89" s="128"/>
      <c r="P89" s="128"/>
      <c r="Q89" s="128"/>
      <c r="R89" s="179"/>
      <c r="S89" s="179"/>
      <c r="T89" s="180"/>
      <c r="U89" s="187"/>
      <c r="V89" s="187"/>
      <c r="W89" s="188"/>
      <c r="X89" s="187"/>
      <c r="Y89" s="129">
        <v>0.1</v>
      </c>
      <c r="Z89" s="129"/>
      <c r="AA89" s="129"/>
      <c r="AB89" s="128">
        <v>5</v>
      </c>
      <c r="AC89" s="128">
        <v>25</v>
      </c>
      <c r="AD89" s="128">
        <v>150</v>
      </c>
      <c r="AE89" s="189">
        <v>0</v>
      </c>
      <c r="AF89" s="189">
        <v>0.2</v>
      </c>
      <c r="AG89" s="189">
        <v>1</v>
      </c>
      <c r="AH89" s="128">
        <f t="shared" ref="AH89:AH92" si="115">IF(Y89=0,0,IF(Y89&lt;=0.01,1, IF(Y89&lt;=0.1,2, IF(Y89&lt;=0.5,3,4))))</f>
        <v>2</v>
      </c>
      <c r="AI89" s="128">
        <f>IF(AC89="",0,IF(AC89&lt;=SelectionCriteria!$G$5,1, IF(AC89&lt;=SelectionCriteria!$G$4,2, IF(AC89&lt;=SelectionCriteria!$G$3,3,4))))</f>
        <v>1</v>
      </c>
      <c r="AJ89" s="128">
        <f t="shared" ref="AJ89:AJ92" si="116">IF(Z89="",0,IF(Z89="Negligible",1,IF(Z89="Low",2,IF(Z89="Moderate",3,4))))</f>
        <v>0</v>
      </c>
      <c r="AK89" s="128">
        <f t="shared" ref="AK89:AK92" si="117">IF(AA89="",0,IF(AA89="Negligible",1,IF(AA89="Low",2,IF(AA89="Moderate",3,4))))</f>
        <v>0</v>
      </c>
      <c r="AL89" s="179">
        <f t="shared" ref="AL89:AL92" si="118">AH89*((AI89+AJ89+AK89)/3)</f>
        <v>0.66666666666666663</v>
      </c>
      <c r="AM89" s="4" t="str">
        <f t="shared" si="112"/>
        <v>Negligible</v>
      </c>
      <c r="AN89" s="129"/>
      <c r="AO89" s="179">
        <f t="shared" ref="AO89:AO92" si="119">Y89*AC89</f>
        <v>2.5</v>
      </c>
      <c r="AP89" s="179">
        <f t="shared" ref="AP89:AP92" si="120">Y89*(SUM(AB89:AD89)/3)</f>
        <v>6</v>
      </c>
      <c r="AQ89" s="190"/>
      <c r="AR89" s="86" t="str">
        <f t="shared" si="13"/>
        <v>Unlikely</v>
      </c>
      <c r="AS89" s="86" t="str">
        <f t="shared" ref="AS89:AS94" si="121">AM89</f>
        <v>Negligible</v>
      </c>
      <c r="AT89" s="190"/>
      <c r="AU89" s="190"/>
      <c r="AV89" s="190"/>
      <c r="AW89" s="190"/>
      <c r="AX89" s="191"/>
    </row>
    <row r="90" spans="1:51" s="192" customFormat="1" ht="30" hidden="1" customHeight="1" x14ac:dyDescent="0.25">
      <c r="A90" s="171">
        <v>79</v>
      </c>
      <c r="B90" s="181" t="s">
        <v>568</v>
      </c>
      <c r="C90" s="182">
        <v>2.0499999999999998</v>
      </c>
      <c r="D90" s="183" t="s">
        <v>106</v>
      </c>
      <c r="E90" s="181" t="s">
        <v>323</v>
      </c>
      <c r="F90" s="184"/>
      <c r="G90" s="185" t="s">
        <v>557</v>
      </c>
      <c r="H90" s="250" t="s">
        <v>110</v>
      </c>
      <c r="I90" s="187"/>
      <c r="J90" s="129"/>
      <c r="K90" s="129"/>
      <c r="L90" s="129"/>
      <c r="M90" s="186"/>
      <c r="N90" s="128"/>
      <c r="O90" s="128"/>
      <c r="P90" s="128"/>
      <c r="Q90" s="128"/>
      <c r="R90" s="179"/>
      <c r="S90" s="179"/>
      <c r="T90" s="180"/>
      <c r="U90" s="187"/>
      <c r="V90" s="187"/>
      <c r="W90" s="188"/>
      <c r="X90" s="187"/>
      <c r="Y90" s="129">
        <v>0.05</v>
      </c>
      <c r="Z90" s="129"/>
      <c r="AA90" s="129"/>
      <c r="AB90" s="128">
        <v>5</v>
      </c>
      <c r="AC90" s="128">
        <v>10</v>
      </c>
      <c r="AD90" s="128">
        <v>50</v>
      </c>
      <c r="AE90" s="189">
        <v>0</v>
      </c>
      <c r="AF90" s="189">
        <v>0.2</v>
      </c>
      <c r="AG90" s="189">
        <v>1</v>
      </c>
      <c r="AH90" s="128">
        <f t="shared" si="115"/>
        <v>2</v>
      </c>
      <c r="AI90" s="128">
        <f>IF(AC90="",0,IF(AC90&lt;=SelectionCriteria!$G$5,1, IF(AC90&lt;=SelectionCriteria!$G$4,2, IF(AC90&lt;=SelectionCriteria!$G$3,3,4))))</f>
        <v>1</v>
      </c>
      <c r="AJ90" s="128">
        <f t="shared" si="116"/>
        <v>0</v>
      </c>
      <c r="AK90" s="128">
        <f t="shared" si="117"/>
        <v>0</v>
      </c>
      <c r="AL90" s="179">
        <f t="shared" si="118"/>
        <v>0.66666666666666663</v>
      </c>
      <c r="AM90" s="4" t="str">
        <f t="shared" si="112"/>
        <v>Negligible</v>
      </c>
      <c r="AN90" s="129"/>
      <c r="AO90" s="179">
        <f t="shared" si="119"/>
        <v>0.5</v>
      </c>
      <c r="AP90" s="179">
        <f t="shared" si="120"/>
        <v>1.0833333333333335</v>
      </c>
      <c r="AQ90" s="190"/>
      <c r="AR90" s="86" t="str">
        <f t="shared" si="13"/>
        <v>Unlikely</v>
      </c>
      <c r="AS90" s="86" t="str">
        <f t="shared" si="121"/>
        <v>Negligible</v>
      </c>
      <c r="AT90" s="190"/>
      <c r="AU90" s="190"/>
      <c r="AV90" s="190"/>
      <c r="AW90" s="190"/>
      <c r="AX90" s="191"/>
    </row>
    <row r="91" spans="1:51" s="192" customFormat="1" ht="30" hidden="1" customHeight="1" x14ac:dyDescent="0.25">
      <c r="A91" s="171">
        <v>80</v>
      </c>
      <c r="B91" s="181" t="s">
        <v>569</v>
      </c>
      <c r="C91" s="182">
        <v>2.0499999999999998</v>
      </c>
      <c r="D91" s="183" t="s">
        <v>106</v>
      </c>
      <c r="E91" s="181" t="s">
        <v>323</v>
      </c>
      <c r="F91" s="184"/>
      <c r="G91" s="185" t="s">
        <v>557</v>
      </c>
      <c r="H91" s="250" t="s">
        <v>565</v>
      </c>
      <c r="I91" s="187"/>
      <c r="J91" s="129"/>
      <c r="K91" s="129"/>
      <c r="L91" s="129"/>
      <c r="M91" s="186"/>
      <c r="N91" s="128"/>
      <c r="O91" s="128"/>
      <c r="P91" s="128"/>
      <c r="Q91" s="128"/>
      <c r="R91" s="179"/>
      <c r="S91" s="179"/>
      <c r="T91" s="180"/>
      <c r="U91" s="187"/>
      <c r="V91" s="187"/>
      <c r="W91" s="188"/>
      <c r="X91" s="187"/>
      <c r="Y91" s="129">
        <v>0.05</v>
      </c>
      <c r="Z91" s="129"/>
      <c r="AA91" s="129"/>
      <c r="AB91" s="128">
        <v>5</v>
      </c>
      <c r="AC91" s="128">
        <v>25</v>
      </c>
      <c r="AD91" s="128">
        <v>200</v>
      </c>
      <c r="AE91" s="189">
        <v>0</v>
      </c>
      <c r="AF91" s="189">
        <v>0.2</v>
      </c>
      <c r="AG91" s="189">
        <v>1</v>
      </c>
      <c r="AH91" s="128">
        <f t="shared" si="115"/>
        <v>2</v>
      </c>
      <c r="AI91" s="128">
        <f>IF(AC91="",0,IF(AC91&lt;=SelectionCriteria!$G$5,1, IF(AC91&lt;=SelectionCriteria!$G$4,2, IF(AC91&lt;=SelectionCriteria!$G$3,3,4))))</f>
        <v>1</v>
      </c>
      <c r="AJ91" s="128">
        <f t="shared" si="116"/>
        <v>0</v>
      </c>
      <c r="AK91" s="128">
        <f t="shared" si="117"/>
        <v>0</v>
      </c>
      <c r="AL91" s="179">
        <f t="shared" si="118"/>
        <v>0.66666666666666663</v>
      </c>
      <c r="AM91" s="4" t="str">
        <f t="shared" si="112"/>
        <v>Negligible</v>
      </c>
      <c r="AN91" s="129"/>
      <c r="AO91" s="179">
        <f t="shared" si="119"/>
        <v>1.25</v>
      </c>
      <c r="AP91" s="179">
        <f t="shared" si="120"/>
        <v>3.8333333333333339</v>
      </c>
      <c r="AQ91" s="190"/>
      <c r="AR91" s="86" t="str">
        <f t="shared" si="13"/>
        <v>Unlikely</v>
      </c>
      <c r="AS91" s="86" t="str">
        <f t="shared" si="121"/>
        <v>Negligible</v>
      </c>
      <c r="AT91" s="190"/>
      <c r="AU91" s="190"/>
      <c r="AV91" s="190"/>
      <c r="AW91" s="190"/>
      <c r="AX91" s="191"/>
    </row>
    <row r="92" spans="1:51" s="192" customFormat="1" ht="30" hidden="1" customHeight="1" x14ac:dyDescent="0.25">
      <c r="A92" s="171">
        <v>81</v>
      </c>
      <c r="B92" s="181" t="s">
        <v>570</v>
      </c>
      <c r="C92" s="182">
        <v>2.0499999999999998</v>
      </c>
      <c r="D92" s="183" t="s">
        <v>106</v>
      </c>
      <c r="E92" s="181" t="s">
        <v>323</v>
      </c>
      <c r="F92" s="184"/>
      <c r="G92" s="185" t="s">
        <v>557</v>
      </c>
      <c r="H92" s="250" t="s">
        <v>566</v>
      </c>
      <c r="I92" s="187"/>
      <c r="J92" s="129"/>
      <c r="K92" s="129"/>
      <c r="L92" s="129"/>
      <c r="M92" s="186"/>
      <c r="N92" s="128"/>
      <c r="O92" s="128"/>
      <c r="P92" s="128"/>
      <c r="Q92" s="128"/>
      <c r="R92" s="179"/>
      <c r="S92" s="179"/>
      <c r="T92" s="180"/>
      <c r="U92" s="187"/>
      <c r="V92" s="187"/>
      <c r="W92" s="188"/>
      <c r="X92" s="187"/>
      <c r="Y92" s="129">
        <v>0.1</v>
      </c>
      <c r="Z92" s="129"/>
      <c r="AA92" s="129"/>
      <c r="AB92" s="128">
        <v>5</v>
      </c>
      <c r="AC92" s="128">
        <v>25</v>
      </c>
      <c r="AD92" s="128">
        <v>200</v>
      </c>
      <c r="AE92" s="189">
        <v>0</v>
      </c>
      <c r="AF92" s="189">
        <v>0.2</v>
      </c>
      <c r="AG92" s="189">
        <v>1</v>
      </c>
      <c r="AH92" s="128">
        <f t="shared" si="115"/>
        <v>2</v>
      </c>
      <c r="AI92" s="128">
        <f>IF(AC92="",0,IF(AC92&lt;=SelectionCriteria!$G$5,1, IF(AC92&lt;=SelectionCriteria!$G$4,2, IF(AC92&lt;=SelectionCriteria!$G$3,3,4))))</f>
        <v>1</v>
      </c>
      <c r="AJ92" s="128">
        <f t="shared" si="116"/>
        <v>0</v>
      </c>
      <c r="AK92" s="128">
        <f t="shared" si="117"/>
        <v>0</v>
      </c>
      <c r="AL92" s="179">
        <f t="shared" si="118"/>
        <v>0.66666666666666663</v>
      </c>
      <c r="AM92" s="4" t="str">
        <f t="shared" si="112"/>
        <v>Negligible</v>
      </c>
      <c r="AN92" s="129"/>
      <c r="AO92" s="179">
        <f t="shared" si="119"/>
        <v>2.5</v>
      </c>
      <c r="AP92" s="179">
        <f t="shared" si="120"/>
        <v>7.6666666666666679</v>
      </c>
      <c r="AQ92" s="190"/>
      <c r="AR92" s="86" t="str">
        <f t="shared" si="13"/>
        <v>Unlikely</v>
      </c>
      <c r="AS92" s="86" t="str">
        <f t="shared" si="121"/>
        <v>Negligible</v>
      </c>
      <c r="AT92" s="190"/>
      <c r="AU92" s="190"/>
      <c r="AV92" s="190"/>
      <c r="AW92" s="190"/>
      <c r="AX92" s="191"/>
    </row>
    <row r="93" spans="1:51" s="192" customFormat="1" ht="30" hidden="1" customHeight="1" x14ac:dyDescent="0.25">
      <c r="A93" s="171">
        <v>82</v>
      </c>
      <c r="B93" s="181" t="s">
        <v>575</v>
      </c>
      <c r="C93" s="182">
        <v>2.0499999999999998</v>
      </c>
      <c r="D93" s="183" t="s">
        <v>106</v>
      </c>
      <c r="E93" s="181" t="s">
        <v>323</v>
      </c>
      <c r="F93" s="184"/>
      <c r="G93" s="185" t="s">
        <v>557</v>
      </c>
      <c r="H93" s="250" t="s">
        <v>573</v>
      </c>
      <c r="I93" s="187" t="s">
        <v>574</v>
      </c>
      <c r="J93" s="129"/>
      <c r="K93" s="129"/>
      <c r="L93" s="129"/>
      <c r="M93" s="186"/>
      <c r="N93" s="128"/>
      <c r="O93" s="128"/>
      <c r="P93" s="128"/>
      <c r="Q93" s="128"/>
      <c r="R93" s="179"/>
      <c r="S93" s="179"/>
      <c r="T93" s="180"/>
      <c r="U93" s="187"/>
      <c r="V93" s="187"/>
      <c r="W93" s="188"/>
      <c r="X93" s="187"/>
      <c r="Y93" s="129">
        <v>0.2</v>
      </c>
      <c r="Z93" s="129" t="s">
        <v>5</v>
      </c>
      <c r="AA93" s="129" t="s">
        <v>3</v>
      </c>
      <c r="AB93" s="128">
        <v>25</v>
      </c>
      <c r="AC93" s="128">
        <v>50</v>
      </c>
      <c r="AD93" s="128">
        <v>100</v>
      </c>
      <c r="AE93" s="189">
        <v>1</v>
      </c>
      <c r="AF93" s="189">
        <v>6</v>
      </c>
      <c r="AG93" s="189">
        <v>12</v>
      </c>
      <c r="AH93" s="128">
        <f t="shared" ref="AH93" si="122">IF(Y93=0,0,IF(Y93&lt;=0.01,1, IF(Y93&lt;=0.1,2, IF(Y93&lt;=0.5,3,4))))</f>
        <v>3</v>
      </c>
      <c r="AI93" s="128">
        <f>IF(AC93="",0,IF(AC93&lt;=SelectionCriteria!$G$5,1, IF(AC93&lt;=SelectionCriteria!$G$4,2, IF(AC93&lt;=SelectionCriteria!$G$3,3,4))))</f>
        <v>2</v>
      </c>
      <c r="AJ93" s="128">
        <f t="shared" ref="AJ93" si="123">IF(Z93="",0,IF(Z93="Negligible",1,IF(Z93="Low",2,IF(Z93="Moderate",3,4))))</f>
        <v>4</v>
      </c>
      <c r="AK93" s="128">
        <f t="shared" ref="AK93" si="124">IF(AA93="",0,IF(AA93="Negligible",1,IF(AA93="Low",2,IF(AA93="Moderate",3,4))))</f>
        <v>3</v>
      </c>
      <c r="AL93" s="179">
        <f t="shared" ref="AL93" si="125">AH93*((AI93+AJ93+AK93)/3)</f>
        <v>9</v>
      </c>
      <c r="AM93" s="4" t="str">
        <f t="shared" si="112"/>
        <v>High</v>
      </c>
      <c r="AN93" s="129"/>
      <c r="AO93" s="179">
        <f t="shared" ref="AO93" si="126">Y93*AC93</f>
        <v>10</v>
      </c>
      <c r="AP93" s="179">
        <f t="shared" ref="AP93" si="127">Y93*(SUM(AB93:AD93)/3)</f>
        <v>11.666666666666668</v>
      </c>
      <c r="AQ93" s="232" t="s">
        <v>576</v>
      </c>
      <c r="AR93" s="86" t="str">
        <f t="shared" si="13"/>
        <v>Possible</v>
      </c>
      <c r="AS93" s="86" t="str">
        <f t="shared" si="121"/>
        <v>High</v>
      </c>
      <c r="AT93" s="190"/>
      <c r="AU93" s="190"/>
      <c r="AV93" s="190"/>
      <c r="AW93" s="190"/>
      <c r="AX93" s="191"/>
    </row>
    <row r="94" spans="1:51" s="192" customFormat="1" ht="30" hidden="1" customHeight="1" x14ac:dyDescent="0.25">
      <c r="A94" s="171">
        <v>83</v>
      </c>
      <c r="B94" s="181" t="s">
        <v>512</v>
      </c>
      <c r="C94" s="182" t="s">
        <v>513</v>
      </c>
      <c r="D94" s="183"/>
      <c r="E94" s="181" t="s">
        <v>514</v>
      </c>
      <c r="F94" s="184"/>
      <c r="G94" s="185" t="s">
        <v>515</v>
      </c>
      <c r="H94" s="250" t="s">
        <v>510</v>
      </c>
      <c r="I94" s="187" t="s">
        <v>517</v>
      </c>
      <c r="J94" s="129">
        <v>0.3</v>
      </c>
      <c r="K94" s="129" t="s">
        <v>2</v>
      </c>
      <c r="L94" s="129"/>
      <c r="M94" s="186">
        <v>0</v>
      </c>
      <c r="N94" s="128">
        <f>IF(J94=0,0,IF(J94&lt;=0.01,1, IF(J94&lt;=0.1,2, IF(J94&lt;=0.5,3,4))))</f>
        <v>3</v>
      </c>
      <c r="O94" s="128">
        <f>IF(M94="",0,IF(M94&lt;=SelectionCriteria!$G$5,1, IF(M94&lt;=SelectionCriteria!$G$4,2, IF(M94&lt;=SelectionCriteria!$G$3,3,4))))</f>
        <v>1</v>
      </c>
      <c r="P94" s="128">
        <f>IF(K94="",0,IF(K94="Negligible",1,IF(K94="Low",2,IF(K94="Moderate",3,4))))</f>
        <v>2</v>
      </c>
      <c r="Q94" s="128">
        <f>IF(L94="",0,IF(L94="Negligible",1,IF(L94="Low",2,IF(L94="Moderate",3,4))))</f>
        <v>0</v>
      </c>
      <c r="R94" s="179">
        <f t="shared" si="114"/>
        <v>3</v>
      </c>
      <c r="S94" s="179"/>
      <c r="T94" s="180" t="str">
        <f>IF(R94=0,"Not Primary",IF(R94&lt;=1,"Negligible",IF(R94&lt;=2,"Low",IF(R94&lt;=3,"Moderate","High"))))</f>
        <v>Moderate</v>
      </c>
      <c r="U94" s="187" t="s">
        <v>521</v>
      </c>
      <c r="V94" s="187"/>
      <c r="W94" s="188"/>
      <c r="X94" s="187"/>
      <c r="Y94" s="129"/>
      <c r="Z94" s="129"/>
      <c r="AA94" s="129"/>
      <c r="AB94" s="128"/>
      <c r="AC94" s="128"/>
      <c r="AD94" s="128"/>
      <c r="AE94" s="189"/>
      <c r="AF94" s="189"/>
      <c r="AG94" s="189"/>
      <c r="AH94" s="128">
        <f t="shared" si="80"/>
        <v>0</v>
      </c>
      <c r="AI94" s="128">
        <f>IF(AC94="",0,IF(AC94&lt;=SelectionCriteria!$G$5,1, IF(AC94&lt;=SelectionCriteria!$G$4,2, IF(AC94&lt;=SelectionCriteria!$G$3,3,4))))</f>
        <v>0</v>
      </c>
      <c r="AJ94" s="128">
        <f t="shared" si="81"/>
        <v>0</v>
      </c>
      <c r="AK94" s="128">
        <f t="shared" si="82"/>
        <v>0</v>
      </c>
      <c r="AL94" s="179">
        <f t="shared" si="4"/>
        <v>0</v>
      </c>
      <c r="AM94" s="4" t="str">
        <f t="shared" si="112"/>
        <v>Not Residual</v>
      </c>
      <c r="AN94" s="129"/>
      <c r="AO94" s="179">
        <f t="shared" si="83"/>
        <v>0</v>
      </c>
      <c r="AP94" s="179">
        <f t="shared" si="84"/>
        <v>0</v>
      </c>
      <c r="AQ94" s="190"/>
      <c r="AR94" s="86" t="str">
        <f t="shared" si="13"/>
        <v>Not Residual</v>
      </c>
      <c r="AS94" s="86" t="str">
        <f t="shared" si="121"/>
        <v>Not Residual</v>
      </c>
      <c r="AT94" s="190"/>
      <c r="AU94" s="190"/>
      <c r="AV94" s="190"/>
      <c r="AW94" s="190"/>
      <c r="AX94" s="191"/>
    </row>
    <row r="95" spans="1:51" s="192" customFormat="1" ht="30" hidden="1" customHeight="1" x14ac:dyDescent="0.25">
      <c r="A95" s="171">
        <v>84</v>
      </c>
      <c r="B95" s="181" t="s">
        <v>512</v>
      </c>
      <c r="C95" s="182" t="s">
        <v>513</v>
      </c>
      <c r="D95" s="183"/>
      <c r="E95" s="181" t="s">
        <v>514</v>
      </c>
      <c r="F95" s="184"/>
      <c r="G95" s="185" t="s">
        <v>515</v>
      </c>
      <c r="H95" s="250" t="s">
        <v>511</v>
      </c>
      <c r="I95" s="187" t="s">
        <v>516</v>
      </c>
      <c r="J95" s="129">
        <v>0.1</v>
      </c>
      <c r="K95" s="129" t="s">
        <v>1</v>
      </c>
      <c r="L95" s="129"/>
      <c r="M95" s="186">
        <v>0</v>
      </c>
      <c r="N95" s="128">
        <f>IF(J95=0,0,IF(J95&lt;=0.01,1, IF(J95&lt;=0.1,2, IF(J95&lt;=0.5,3,4))))</f>
        <v>2</v>
      </c>
      <c r="O95" s="128">
        <f>IF(M95="",0,IF(M95&lt;=SelectionCriteria!$G$5,1, IF(M95&lt;=SelectionCriteria!$G$4,2, IF(M95&lt;=SelectionCriteria!$G$3,3,4))))</f>
        <v>1</v>
      </c>
      <c r="P95" s="128">
        <f>IF(K95="",0,IF(K95="Negligible",1,IF(K95="Low",2,IF(K95="Moderate",3,4))))</f>
        <v>1</v>
      </c>
      <c r="Q95" s="128">
        <f>IF(L95="",0,IF(L95="Negligible",1,IF(L95="Low",2,IF(L95="Moderate",3,4))))</f>
        <v>0</v>
      </c>
      <c r="R95" s="179">
        <f t="shared" si="114"/>
        <v>1.3333333333333333</v>
      </c>
      <c r="S95" s="179"/>
      <c r="T95" s="180" t="str">
        <f>IF(R95=0,"Not Primary",IF(R95&lt;=1,"Negligible",IF(R95&lt;=2,"Low",IF(R95&lt;=3,"Moderate","High"))))</f>
        <v>Low</v>
      </c>
      <c r="U95" s="187" t="s">
        <v>520</v>
      </c>
      <c r="V95" s="187"/>
      <c r="W95" s="188"/>
      <c r="X95" s="187"/>
      <c r="Y95" s="129"/>
      <c r="Z95" s="129"/>
      <c r="AA95" s="129"/>
      <c r="AB95" s="128"/>
      <c r="AC95" s="128"/>
      <c r="AD95" s="128"/>
      <c r="AE95" s="189"/>
      <c r="AF95" s="189"/>
      <c r="AG95" s="189"/>
      <c r="AH95" s="128">
        <f t="shared" si="80"/>
        <v>0</v>
      </c>
      <c r="AI95" s="128">
        <f>IF(AC95="",0,IF(AC95&lt;=SelectionCriteria!$G$5,1, IF(AC95&lt;=SelectionCriteria!$G$4,2, IF(AC95&lt;=SelectionCriteria!$G$3,3,4))))</f>
        <v>0</v>
      </c>
      <c r="AJ95" s="128">
        <f t="shared" si="81"/>
        <v>0</v>
      </c>
      <c r="AK95" s="128">
        <f t="shared" si="82"/>
        <v>0</v>
      </c>
      <c r="AL95" s="179">
        <f t="shared" ref="AL95:AL114" si="128">AH95*((AI95+AJ95+AK95)/3)</f>
        <v>0</v>
      </c>
      <c r="AM95" s="4" t="str">
        <f t="shared" si="112"/>
        <v>Not Residual</v>
      </c>
      <c r="AN95" s="129"/>
      <c r="AO95" s="179">
        <f t="shared" si="83"/>
        <v>0</v>
      </c>
      <c r="AP95" s="179">
        <f t="shared" si="84"/>
        <v>0</v>
      </c>
      <c r="AQ95" s="190"/>
      <c r="AR95" s="86"/>
      <c r="AS95" s="86"/>
      <c r="AT95" s="190"/>
      <c r="AU95" s="190"/>
      <c r="AV95" s="190"/>
      <c r="AW95" s="190"/>
      <c r="AX95" s="191"/>
    </row>
    <row r="96" spans="1:51" s="171" customFormat="1" ht="30" hidden="1" customHeight="1" x14ac:dyDescent="0.25">
      <c r="A96" s="171">
        <v>85</v>
      </c>
      <c r="B96" s="172" t="s">
        <v>538</v>
      </c>
      <c r="C96" s="172" t="s">
        <v>523</v>
      </c>
      <c r="D96" s="172"/>
      <c r="E96" s="172" t="s">
        <v>465</v>
      </c>
      <c r="F96" s="173"/>
      <c r="G96" s="172" t="s">
        <v>466</v>
      </c>
      <c r="H96" s="250" t="s">
        <v>451</v>
      </c>
      <c r="I96" s="301" t="s">
        <v>483</v>
      </c>
      <c r="J96" s="129">
        <v>0.1</v>
      </c>
      <c r="K96" s="129" t="s">
        <v>2</v>
      </c>
      <c r="L96" s="172"/>
      <c r="M96" s="131">
        <v>0</v>
      </c>
      <c r="N96" s="128">
        <f t="shared" ref="N96:N113" si="129">IF(J96=0,0,IF(J96&lt;=0.01,1, IF(J96&lt;=0.1,2, IF(J96&lt;=0.5,3,4))))</f>
        <v>2</v>
      </c>
      <c r="O96" s="128">
        <f>IF(M96=0,0,IF(M96&lt;=SelectionCriteria!$G$5,1, IF(M96&lt;=SelectionCriteria!$G$4,2, IF(M96&lt;=SelectionCriteria!$G$3,3,4))))</f>
        <v>0</v>
      </c>
      <c r="P96" s="128">
        <f t="shared" ref="P96:P113" si="130">IF(K96="",0,IF(K96="Negligible",1,IF(K96="Low",2,IF(K96="Moderate",3,4))))</f>
        <v>2</v>
      </c>
      <c r="Q96" s="128">
        <f t="shared" ref="Q96:Q113" si="131">IF(L96="",0,IF(L96="Negligible",1,IF(L96="Low",2,IF(L96="Moderate",3,4))))</f>
        <v>0</v>
      </c>
      <c r="R96" s="179">
        <f t="shared" ref="R96:R113" si="132">N96*((O96+P96+Q96)/3)</f>
        <v>1.3333333333333333</v>
      </c>
      <c r="S96" s="179">
        <f>J96*M96</f>
        <v>0</v>
      </c>
      <c r="T96" s="180" t="str">
        <f t="shared" ref="T96:T113" si="133">IF(R96=0,"Not Primary",IF(R96&lt;=1,"Negligible",IF(R96&lt;=2,"Low",IF(R96&lt;=3,"Moderate","High"))))</f>
        <v>Low</v>
      </c>
      <c r="U96" s="174" t="s">
        <v>497</v>
      </c>
      <c r="V96" s="172"/>
      <c r="W96" s="172"/>
      <c r="X96" s="172"/>
      <c r="Y96" s="129">
        <v>0.1</v>
      </c>
      <c r="Z96" s="129" t="s">
        <v>1</v>
      </c>
      <c r="AA96" s="172"/>
      <c r="AB96" s="172"/>
      <c r="AC96" s="131"/>
      <c r="AD96" s="172"/>
      <c r="AE96" s="172"/>
      <c r="AF96" s="172"/>
      <c r="AG96" s="172"/>
      <c r="AH96" s="128">
        <f t="shared" si="80"/>
        <v>2</v>
      </c>
      <c r="AI96" s="128">
        <f>IF(AC96="",0,IF(AC96&lt;=SelectionCriteria!$G$5,1, IF(AC96&lt;=SelectionCriteria!$G$4,2, IF(AC96&lt;=SelectionCriteria!$G$3,3,4))))</f>
        <v>0</v>
      </c>
      <c r="AJ96" s="128">
        <f t="shared" si="81"/>
        <v>1</v>
      </c>
      <c r="AK96" s="128">
        <f t="shared" si="82"/>
        <v>0</v>
      </c>
      <c r="AL96" s="179">
        <f t="shared" si="128"/>
        <v>0.66666666666666663</v>
      </c>
      <c r="AM96" s="4" t="str">
        <f t="shared" si="112"/>
        <v>Negligible</v>
      </c>
      <c r="AN96" s="172"/>
      <c r="AO96" s="179">
        <f t="shared" si="83"/>
        <v>0</v>
      </c>
      <c r="AP96" s="179">
        <f t="shared" si="84"/>
        <v>0</v>
      </c>
      <c r="AQ96" s="226"/>
      <c r="AR96" s="226"/>
      <c r="AS96" s="226"/>
      <c r="AT96" s="226"/>
      <c r="AU96" s="226"/>
      <c r="AV96" s="226"/>
      <c r="AW96" s="226"/>
      <c r="AX96" s="172"/>
    </row>
    <row r="97" spans="1:50" s="171" customFormat="1" ht="30" hidden="1" customHeight="1" x14ac:dyDescent="0.25">
      <c r="A97" s="171">
        <v>86</v>
      </c>
      <c r="B97" s="172" t="s">
        <v>539</v>
      </c>
      <c r="C97" s="176">
        <v>2.1</v>
      </c>
      <c r="D97" s="172"/>
      <c r="E97" s="172" t="s">
        <v>465</v>
      </c>
      <c r="F97" s="173"/>
      <c r="G97" s="172" t="s">
        <v>466</v>
      </c>
      <c r="H97" s="250" t="s">
        <v>452</v>
      </c>
      <c r="I97" s="301" t="s">
        <v>467</v>
      </c>
      <c r="J97" s="129">
        <v>0.1</v>
      </c>
      <c r="K97" s="129" t="s">
        <v>1</v>
      </c>
      <c r="L97" s="172"/>
      <c r="M97" s="131">
        <v>0</v>
      </c>
      <c r="N97" s="128">
        <f t="shared" si="129"/>
        <v>2</v>
      </c>
      <c r="O97" s="128">
        <f>IF(M97=0,0,IF(M97&lt;=SelectionCriteria!$G$5,1, IF(M97&lt;=SelectionCriteria!$G$4,2, IF(M97&lt;=SelectionCriteria!$G$3,3,4))))</f>
        <v>0</v>
      </c>
      <c r="P97" s="128">
        <f t="shared" si="130"/>
        <v>1</v>
      </c>
      <c r="Q97" s="128">
        <f t="shared" si="131"/>
        <v>0</v>
      </c>
      <c r="R97" s="179">
        <f t="shared" si="132"/>
        <v>0.66666666666666663</v>
      </c>
      <c r="S97" s="179">
        <f t="shared" ref="S97:S113" si="134">J97*M97</f>
        <v>0</v>
      </c>
      <c r="T97" s="180" t="str">
        <f t="shared" si="133"/>
        <v>Negligible</v>
      </c>
      <c r="U97" s="174" t="s">
        <v>498</v>
      </c>
      <c r="V97" s="172"/>
      <c r="W97" s="172"/>
      <c r="X97" s="172"/>
      <c r="Y97" s="129">
        <v>0.1</v>
      </c>
      <c r="Z97" s="129" t="s">
        <v>1</v>
      </c>
      <c r="AA97" s="172"/>
      <c r="AB97" s="172"/>
      <c r="AC97" s="131"/>
      <c r="AD97" s="172"/>
      <c r="AE97" s="172"/>
      <c r="AF97" s="172"/>
      <c r="AG97" s="172"/>
      <c r="AH97" s="128">
        <f t="shared" si="80"/>
        <v>2</v>
      </c>
      <c r="AI97" s="128">
        <f>IF(AC97="",0,IF(AC97&lt;=SelectionCriteria!$G$5,1, IF(AC97&lt;=SelectionCriteria!$G$4,2, IF(AC97&lt;=SelectionCriteria!$G$3,3,4))))</f>
        <v>0</v>
      </c>
      <c r="AJ97" s="128">
        <f t="shared" si="81"/>
        <v>1</v>
      </c>
      <c r="AK97" s="128">
        <f t="shared" si="82"/>
        <v>0</v>
      </c>
      <c r="AL97" s="179">
        <f t="shared" si="128"/>
        <v>0.66666666666666663</v>
      </c>
      <c r="AM97" s="4" t="str">
        <f t="shared" si="112"/>
        <v>Negligible</v>
      </c>
      <c r="AN97" s="172"/>
      <c r="AO97" s="179">
        <f t="shared" si="83"/>
        <v>0</v>
      </c>
      <c r="AP97" s="179">
        <f t="shared" si="84"/>
        <v>0</v>
      </c>
      <c r="AQ97" s="172"/>
      <c r="AR97" s="172"/>
      <c r="AS97" s="172"/>
      <c r="AT97" s="172"/>
      <c r="AU97" s="172"/>
      <c r="AV97" s="172"/>
      <c r="AW97" s="172"/>
      <c r="AX97" s="172"/>
    </row>
    <row r="98" spans="1:50" s="171" customFormat="1" ht="30" hidden="1" customHeight="1" x14ac:dyDescent="0.25">
      <c r="A98" s="171">
        <v>87</v>
      </c>
      <c r="B98" s="172" t="s">
        <v>540</v>
      </c>
      <c r="C98" s="177">
        <v>2.2000000000000002</v>
      </c>
      <c r="D98" s="172"/>
      <c r="E98" s="172" t="s">
        <v>465</v>
      </c>
      <c r="F98" s="173"/>
      <c r="G98" s="172" t="s">
        <v>466</v>
      </c>
      <c r="H98" s="250" t="s">
        <v>453</v>
      </c>
      <c r="I98" s="301" t="s">
        <v>468</v>
      </c>
      <c r="J98" s="129">
        <v>0.1</v>
      </c>
      <c r="K98" s="129" t="s">
        <v>1</v>
      </c>
      <c r="L98" s="172"/>
      <c r="M98" s="131">
        <v>10</v>
      </c>
      <c r="N98" s="128">
        <f t="shared" si="129"/>
        <v>2</v>
      </c>
      <c r="O98" s="128">
        <f>IF(M98=0,0,IF(M98&lt;=SelectionCriteria!$G$5,1, IF(M98&lt;=SelectionCriteria!$G$4,2, IF(M98&lt;=SelectionCriteria!$G$3,3,4))))</f>
        <v>1</v>
      </c>
      <c r="P98" s="128">
        <f t="shared" si="130"/>
        <v>1</v>
      </c>
      <c r="Q98" s="128">
        <f t="shared" si="131"/>
        <v>0</v>
      </c>
      <c r="R98" s="179">
        <f t="shared" si="132"/>
        <v>1.3333333333333333</v>
      </c>
      <c r="S98" s="179">
        <f t="shared" si="134"/>
        <v>1</v>
      </c>
      <c r="T98" s="180" t="str">
        <f t="shared" si="133"/>
        <v>Low</v>
      </c>
      <c r="U98" s="174" t="s">
        <v>499</v>
      </c>
      <c r="V98" s="172"/>
      <c r="W98" s="172"/>
      <c r="X98" s="172"/>
      <c r="Y98" s="129">
        <v>0.1</v>
      </c>
      <c r="Z98" s="129" t="s">
        <v>1</v>
      </c>
      <c r="AA98" s="172"/>
      <c r="AB98" s="172"/>
      <c r="AC98" s="131">
        <v>10</v>
      </c>
      <c r="AD98" s="172"/>
      <c r="AE98" s="172"/>
      <c r="AF98" s="172"/>
      <c r="AG98" s="172"/>
      <c r="AH98" s="128">
        <f t="shared" si="80"/>
        <v>2</v>
      </c>
      <c r="AI98" s="128">
        <f>IF(AC98="",0,IF(AC98&lt;=SelectionCriteria!$G$5,1, IF(AC98&lt;=SelectionCriteria!$G$4,2, IF(AC98&lt;=SelectionCriteria!$G$3,3,4))))</f>
        <v>1</v>
      </c>
      <c r="AJ98" s="128">
        <f t="shared" si="81"/>
        <v>1</v>
      </c>
      <c r="AK98" s="128">
        <f t="shared" si="82"/>
        <v>0</v>
      </c>
      <c r="AL98" s="179">
        <f t="shared" si="128"/>
        <v>1.3333333333333333</v>
      </c>
      <c r="AM98" s="4" t="str">
        <f t="shared" si="112"/>
        <v>Low</v>
      </c>
      <c r="AN98" s="172"/>
      <c r="AO98" s="179">
        <f t="shared" si="83"/>
        <v>1</v>
      </c>
      <c r="AP98" s="179">
        <f t="shared" si="84"/>
        <v>0.33333333333333337</v>
      </c>
      <c r="AQ98" s="172"/>
      <c r="AR98" s="172"/>
      <c r="AS98" s="172"/>
      <c r="AT98" s="172"/>
      <c r="AU98" s="172"/>
      <c r="AV98" s="172"/>
      <c r="AW98" s="172"/>
      <c r="AX98" s="172"/>
    </row>
    <row r="99" spans="1:50" s="171" customFormat="1" ht="30" hidden="1" customHeight="1" x14ac:dyDescent="0.25">
      <c r="A99" s="171">
        <v>88</v>
      </c>
      <c r="B99" s="172" t="s">
        <v>541</v>
      </c>
      <c r="C99" s="177">
        <v>2.2999999999999998</v>
      </c>
      <c r="D99" s="172"/>
      <c r="E99" s="172" t="s">
        <v>465</v>
      </c>
      <c r="F99" s="173"/>
      <c r="G99" s="172" t="s">
        <v>466</v>
      </c>
      <c r="H99" s="250" t="s">
        <v>454</v>
      </c>
      <c r="I99" s="301" t="s">
        <v>469</v>
      </c>
      <c r="J99" s="129">
        <v>0</v>
      </c>
      <c r="K99" s="129" t="s">
        <v>1</v>
      </c>
      <c r="L99" s="129" t="s">
        <v>2</v>
      </c>
      <c r="M99" s="131">
        <v>10</v>
      </c>
      <c r="N99" s="128">
        <f t="shared" si="129"/>
        <v>0</v>
      </c>
      <c r="O99" s="128">
        <f>IF(M99=0,0,IF(M99&lt;=SelectionCriteria!$G$5,1, IF(M99&lt;=SelectionCriteria!$G$4,2, IF(M99&lt;=SelectionCriteria!$G$3,3,4))))</f>
        <v>1</v>
      </c>
      <c r="P99" s="128">
        <f t="shared" si="130"/>
        <v>1</v>
      </c>
      <c r="Q99" s="128">
        <f t="shared" si="131"/>
        <v>2</v>
      </c>
      <c r="R99" s="179">
        <f t="shared" si="132"/>
        <v>0</v>
      </c>
      <c r="S99" s="179">
        <f t="shared" si="134"/>
        <v>0</v>
      </c>
      <c r="T99" s="193" t="str">
        <f>IF(R99=0,"Retired",IF(R99&lt;=1,"Negligible",IF(R99&lt;=2,"Low",IF(R99&lt;=3,"Moderate","High"))))</f>
        <v>Retired</v>
      </c>
      <c r="U99" s="175" t="s">
        <v>493</v>
      </c>
      <c r="V99" s="172"/>
      <c r="W99" s="172"/>
      <c r="X99" s="172"/>
      <c r="Y99" s="129">
        <v>0</v>
      </c>
      <c r="Z99" s="129"/>
      <c r="AA99" s="172"/>
      <c r="AB99" s="172"/>
      <c r="AC99" s="131">
        <v>10</v>
      </c>
      <c r="AD99" s="172"/>
      <c r="AE99" s="172"/>
      <c r="AF99" s="172"/>
      <c r="AG99" s="172"/>
      <c r="AH99" s="128">
        <f t="shared" si="80"/>
        <v>0</v>
      </c>
      <c r="AI99" s="128">
        <f>IF(AC99="",0,IF(AC99&lt;=SelectionCriteria!$G$5,1, IF(AC99&lt;=SelectionCriteria!$G$4,2, IF(AC99&lt;=SelectionCriteria!$G$3,3,4))))</f>
        <v>1</v>
      </c>
      <c r="AJ99" s="128">
        <f t="shared" si="81"/>
        <v>0</v>
      </c>
      <c r="AK99" s="128">
        <f t="shared" si="82"/>
        <v>0</v>
      </c>
      <c r="AL99" s="179">
        <f t="shared" si="128"/>
        <v>0</v>
      </c>
      <c r="AM99" s="4" t="str">
        <f t="shared" si="112"/>
        <v>Not Residual</v>
      </c>
      <c r="AN99" s="172"/>
      <c r="AO99" s="179">
        <f t="shared" si="83"/>
        <v>0</v>
      </c>
      <c r="AP99" s="179">
        <f t="shared" si="84"/>
        <v>0</v>
      </c>
      <c r="AQ99" s="172"/>
      <c r="AR99" s="172"/>
      <c r="AS99" s="172"/>
      <c r="AT99" s="172"/>
      <c r="AU99" s="172"/>
      <c r="AV99" s="172"/>
      <c r="AW99" s="172"/>
      <c r="AX99" s="172"/>
    </row>
    <row r="100" spans="1:50" s="171" customFormat="1" ht="30" hidden="1" customHeight="1" x14ac:dyDescent="0.25">
      <c r="A100" s="171">
        <v>89</v>
      </c>
      <c r="B100" s="172" t="s">
        <v>542</v>
      </c>
      <c r="C100" s="177">
        <v>2.2999999999999998</v>
      </c>
      <c r="D100" s="172"/>
      <c r="E100" s="172" t="s">
        <v>465</v>
      </c>
      <c r="F100" s="173"/>
      <c r="G100" s="172" t="s">
        <v>466</v>
      </c>
      <c r="H100" s="250" t="s">
        <v>455</v>
      </c>
      <c r="I100" s="301" t="s">
        <v>470</v>
      </c>
      <c r="J100" s="129">
        <v>0.1</v>
      </c>
      <c r="K100" s="129" t="s">
        <v>1</v>
      </c>
      <c r="L100" s="172"/>
      <c r="M100" s="131">
        <v>10</v>
      </c>
      <c r="N100" s="128">
        <f t="shared" si="129"/>
        <v>2</v>
      </c>
      <c r="O100" s="128">
        <f>IF(M100=0,0,IF(M100&lt;=SelectionCriteria!$G$5,1, IF(M100&lt;=SelectionCriteria!$G$4,2, IF(M100&lt;=SelectionCriteria!$G$3,3,4))))</f>
        <v>1</v>
      </c>
      <c r="P100" s="128">
        <f t="shared" si="130"/>
        <v>1</v>
      </c>
      <c r="Q100" s="128">
        <f t="shared" si="131"/>
        <v>0</v>
      </c>
      <c r="R100" s="179">
        <f t="shared" si="132"/>
        <v>1.3333333333333333</v>
      </c>
      <c r="S100" s="179">
        <f t="shared" si="134"/>
        <v>1</v>
      </c>
      <c r="T100" s="180" t="str">
        <f t="shared" si="133"/>
        <v>Low</v>
      </c>
      <c r="U100" s="174" t="s">
        <v>500</v>
      </c>
      <c r="V100" s="172"/>
      <c r="W100" s="172"/>
      <c r="X100" s="172"/>
      <c r="Y100" s="129">
        <v>0.1</v>
      </c>
      <c r="Z100" s="129" t="s">
        <v>1</v>
      </c>
      <c r="AA100" s="172"/>
      <c r="AB100" s="172"/>
      <c r="AC100" s="131">
        <v>10</v>
      </c>
      <c r="AD100" s="172"/>
      <c r="AE100" s="172"/>
      <c r="AF100" s="172"/>
      <c r="AG100" s="172"/>
      <c r="AH100" s="128">
        <f t="shared" si="80"/>
        <v>2</v>
      </c>
      <c r="AI100" s="128">
        <f>IF(AC100="",0,IF(AC100&lt;=SelectionCriteria!$G$5,1, IF(AC100&lt;=SelectionCriteria!$G$4,2, IF(AC100&lt;=SelectionCriteria!$G$3,3,4))))</f>
        <v>1</v>
      </c>
      <c r="AJ100" s="128">
        <f t="shared" si="81"/>
        <v>1</v>
      </c>
      <c r="AK100" s="128">
        <f t="shared" si="82"/>
        <v>0</v>
      </c>
      <c r="AL100" s="179">
        <f t="shared" si="128"/>
        <v>1.3333333333333333</v>
      </c>
      <c r="AM100" s="4" t="str">
        <f t="shared" si="112"/>
        <v>Low</v>
      </c>
      <c r="AN100" s="172"/>
      <c r="AO100" s="179">
        <f t="shared" si="83"/>
        <v>1</v>
      </c>
      <c r="AP100" s="179">
        <f t="shared" si="84"/>
        <v>0.33333333333333337</v>
      </c>
      <c r="AQ100" s="172"/>
      <c r="AR100" s="172"/>
      <c r="AS100" s="172"/>
      <c r="AT100" s="172"/>
      <c r="AU100" s="172"/>
      <c r="AV100" s="172"/>
      <c r="AW100" s="172"/>
      <c r="AX100" s="172"/>
    </row>
    <row r="101" spans="1:50" s="171" customFormat="1" ht="30" hidden="1" customHeight="1" x14ac:dyDescent="0.25">
      <c r="A101" s="171">
        <v>90</v>
      </c>
      <c r="B101" s="172" t="s">
        <v>543</v>
      </c>
      <c r="C101" s="177">
        <v>2.2999999999999998</v>
      </c>
      <c r="D101" s="172"/>
      <c r="E101" s="172" t="s">
        <v>465</v>
      </c>
      <c r="F101" s="173"/>
      <c r="G101" s="172" t="s">
        <v>466</v>
      </c>
      <c r="H101" s="250" t="s">
        <v>456</v>
      </c>
      <c r="I101" s="301" t="s">
        <v>471</v>
      </c>
      <c r="J101" s="129">
        <v>0.3</v>
      </c>
      <c r="K101" s="129" t="s">
        <v>2</v>
      </c>
      <c r="L101" s="172"/>
      <c r="M101" s="131">
        <v>20</v>
      </c>
      <c r="N101" s="128">
        <f t="shared" si="129"/>
        <v>3</v>
      </c>
      <c r="O101" s="128">
        <f>IF(M101=0,0,IF(M101&lt;=SelectionCriteria!$G$5,1, IF(M101&lt;=SelectionCriteria!$G$4,2, IF(M101&lt;=SelectionCriteria!$G$3,3,4))))</f>
        <v>1</v>
      </c>
      <c r="P101" s="128">
        <f t="shared" si="130"/>
        <v>2</v>
      </c>
      <c r="Q101" s="128">
        <f t="shared" si="131"/>
        <v>0</v>
      </c>
      <c r="R101" s="179">
        <f t="shared" si="132"/>
        <v>3</v>
      </c>
      <c r="S101" s="179">
        <f t="shared" si="134"/>
        <v>6</v>
      </c>
      <c r="T101" s="180" t="str">
        <f t="shared" si="133"/>
        <v>Moderate</v>
      </c>
      <c r="U101" s="175" t="s">
        <v>501</v>
      </c>
      <c r="V101" s="172"/>
      <c r="W101" s="172"/>
      <c r="X101" s="172"/>
      <c r="Y101" s="129">
        <v>0.3</v>
      </c>
      <c r="Z101" s="129" t="s">
        <v>1</v>
      </c>
      <c r="AA101" s="172"/>
      <c r="AB101" s="172"/>
      <c r="AC101" s="131">
        <v>20</v>
      </c>
      <c r="AD101" s="172"/>
      <c r="AE101" s="172"/>
      <c r="AF101" s="172"/>
      <c r="AG101" s="172"/>
      <c r="AH101" s="128">
        <f t="shared" si="80"/>
        <v>3</v>
      </c>
      <c r="AI101" s="128">
        <f>IF(AC101="",0,IF(AC101&lt;=SelectionCriteria!$G$5,1, IF(AC101&lt;=SelectionCriteria!$G$4,2, IF(AC101&lt;=SelectionCriteria!$G$3,3,4))))</f>
        <v>1</v>
      </c>
      <c r="AJ101" s="128">
        <f t="shared" si="81"/>
        <v>1</v>
      </c>
      <c r="AK101" s="128">
        <f t="shared" si="82"/>
        <v>0</v>
      </c>
      <c r="AL101" s="179">
        <f t="shared" si="128"/>
        <v>2</v>
      </c>
      <c r="AM101" s="4" t="str">
        <f t="shared" si="112"/>
        <v>Low</v>
      </c>
      <c r="AN101" s="172"/>
      <c r="AO101" s="179">
        <f t="shared" si="83"/>
        <v>6</v>
      </c>
      <c r="AP101" s="179">
        <f t="shared" si="84"/>
        <v>2</v>
      </c>
      <c r="AQ101" s="172"/>
      <c r="AR101" s="172"/>
      <c r="AS101" s="172"/>
      <c r="AT101" s="172"/>
      <c r="AU101" s="172"/>
      <c r="AV101" s="172"/>
      <c r="AW101" s="172"/>
      <c r="AX101" s="172"/>
    </row>
    <row r="102" spans="1:50" s="171" customFormat="1" ht="30" hidden="1" customHeight="1" x14ac:dyDescent="0.25">
      <c r="A102" s="171">
        <v>91</v>
      </c>
      <c r="B102" s="172" t="s">
        <v>544</v>
      </c>
      <c r="C102" s="177">
        <v>2.2999999999999998</v>
      </c>
      <c r="D102" s="172"/>
      <c r="E102" s="172" t="s">
        <v>465</v>
      </c>
      <c r="F102" s="173"/>
      <c r="G102" s="172" t="s">
        <v>466</v>
      </c>
      <c r="H102" s="250" t="s">
        <v>457</v>
      </c>
      <c r="I102" s="301" t="s">
        <v>472</v>
      </c>
      <c r="J102" s="129">
        <v>0.15</v>
      </c>
      <c r="K102" s="129" t="s">
        <v>2</v>
      </c>
      <c r="L102" s="172"/>
      <c r="M102" s="131">
        <v>20</v>
      </c>
      <c r="N102" s="128">
        <f t="shared" si="129"/>
        <v>3</v>
      </c>
      <c r="O102" s="128">
        <f>IF(M102=0,0,IF(M102&lt;=SelectionCriteria!$G$5,1, IF(M102&lt;=SelectionCriteria!$G$4,2, IF(M102&lt;=SelectionCriteria!$G$3,3,4))))</f>
        <v>1</v>
      </c>
      <c r="P102" s="128">
        <f t="shared" si="130"/>
        <v>2</v>
      </c>
      <c r="Q102" s="128">
        <f t="shared" si="131"/>
        <v>0</v>
      </c>
      <c r="R102" s="179">
        <f t="shared" si="132"/>
        <v>3</v>
      </c>
      <c r="S102" s="179">
        <f t="shared" si="134"/>
        <v>3</v>
      </c>
      <c r="T102" s="180" t="str">
        <f t="shared" si="133"/>
        <v>Moderate</v>
      </c>
      <c r="U102" s="175" t="s">
        <v>492</v>
      </c>
      <c r="V102" s="172"/>
      <c r="W102" s="172"/>
      <c r="X102" s="172"/>
      <c r="Y102" s="129">
        <v>0.15</v>
      </c>
      <c r="Z102" s="129" t="s">
        <v>1</v>
      </c>
      <c r="AA102" s="172"/>
      <c r="AB102" s="172"/>
      <c r="AC102" s="131">
        <v>20</v>
      </c>
      <c r="AD102" s="172"/>
      <c r="AE102" s="172"/>
      <c r="AF102" s="172"/>
      <c r="AG102" s="172"/>
      <c r="AH102" s="128">
        <f t="shared" si="80"/>
        <v>3</v>
      </c>
      <c r="AI102" s="128">
        <f>IF(AC102="",0,IF(AC102&lt;=SelectionCriteria!$G$5,1, IF(AC102&lt;=SelectionCriteria!$G$4,2, IF(AC102&lt;=SelectionCriteria!$G$3,3,4))))</f>
        <v>1</v>
      </c>
      <c r="AJ102" s="128">
        <f t="shared" si="81"/>
        <v>1</v>
      </c>
      <c r="AK102" s="128">
        <f t="shared" si="82"/>
        <v>0</v>
      </c>
      <c r="AL102" s="179">
        <f t="shared" si="128"/>
        <v>2</v>
      </c>
      <c r="AM102" s="4" t="str">
        <f t="shared" si="112"/>
        <v>Low</v>
      </c>
      <c r="AN102" s="172"/>
      <c r="AO102" s="179">
        <f t="shared" si="83"/>
        <v>3</v>
      </c>
      <c r="AP102" s="179">
        <f t="shared" si="84"/>
        <v>1</v>
      </c>
      <c r="AQ102" s="172"/>
      <c r="AR102" s="172"/>
      <c r="AS102" s="172"/>
      <c r="AT102" s="172"/>
      <c r="AU102" s="172"/>
      <c r="AV102" s="172"/>
      <c r="AW102" s="172"/>
      <c r="AX102" s="172"/>
    </row>
    <row r="103" spans="1:50" s="171" customFormat="1" ht="30" hidden="1" customHeight="1" x14ac:dyDescent="0.25">
      <c r="A103" s="171">
        <v>92</v>
      </c>
      <c r="B103" s="172" t="s">
        <v>545</v>
      </c>
      <c r="C103" s="177">
        <v>2</v>
      </c>
      <c r="D103" s="172"/>
      <c r="E103" s="172" t="s">
        <v>465</v>
      </c>
      <c r="F103" s="173"/>
      <c r="G103" s="172" t="s">
        <v>466</v>
      </c>
      <c r="H103" s="250" t="s">
        <v>458</v>
      </c>
      <c r="I103" s="301" t="s">
        <v>506</v>
      </c>
      <c r="J103" s="129">
        <v>0.3</v>
      </c>
      <c r="K103" s="129" t="s">
        <v>2</v>
      </c>
      <c r="L103" s="172"/>
      <c r="M103" s="131">
        <v>20</v>
      </c>
      <c r="N103" s="128">
        <f t="shared" si="129"/>
        <v>3</v>
      </c>
      <c r="O103" s="128">
        <f>IF(M103=0,0,IF(M103&lt;=SelectionCriteria!$G$5,1, IF(M103&lt;=SelectionCriteria!$G$4,2, IF(M103&lt;=SelectionCriteria!$G$3,3,4))))</f>
        <v>1</v>
      </c>
      <c r="P103" s="128">
        <f t="shared" si="130"/>
        <v>2</v>
      </c>
      <c r="Q103" s="128">
        <f t="shared" si="131"/>
        <v>0</v>
      </c>
      <c r="R103" s="179">
        <f t="shared" si="132"/>
        <v>3</v>
      </c>
      <c r="S103" s="179">
        <f t="shared" si="134"/>
        <v>6</v>
      </c>
      <c r="T103" s="180" t="str">
        <f t="shared" si="133"/>
        <v>Moderate</v>
      </c>
      <c r="U103" s="175" t="s">
        <v>495</v>
      </c>
      <c r="V103" s="172"/>
      <c r="W103" s="172"/>
      <c r="X103" s="172"/>
      <c r="Y103" s="129">
        <v>0.3</v>
      </c>
      <c r="Z103" s="129" t="s">
        <v>1</v>
      </c>
      <c r="AA103" s="172"/>
      <c r="AB103" s="172"/>
      <c r="AC103" s="131">
        <v>20</v>
      </c>
      <c r="AD103" s="172"/>
      <c r="AE103" s="172"/>
      <c r="AF103" s="172"/>
      <c r="AG103" s="172"/>
      <c r="AH103" s="128">
        <f t="shared" si="80"/>
        <v>3</v>
      </c>
      <c r="AI103" s="128">
        <f>IF(AC103="",0,IF(AC103&lt;=SelectionCriteria!$G$5,1, IF(AC103&lt;=SelectionCriteria!$G$4,2, IF(AC103&lt;=SelectionCriteria!$G$3,3,4))))</f>
        <v>1</v>
      </c>
      <c r="AJ103" s="128">
        <f t="shared" si="81"/>
        <v>1</v>
      </c>
      <c r="AK103" s="128">
        <f t="shared" si="82"/>
        <v>0</v>
      </c>
      <c r="AL103" s="179">
        <f t="shared" si="128"/>
        <v>2</v>
      </c>
      <c r="AM103" s="4" t="str">
        <f t="shared" si="112"/>
        <v>Low</v>
      </c>
      <c r="AN103" s="172"/>
      <c r="AO103" s="179">
        <f t="shared" si="83"/>
        <v>6</v>
      </c>
      <c r="AP103" s="179">
        <f t="shared" si="84"/>
        <v>2</v>
      </c>
      <c r="AQ103" s="172"/>
      <c r="AR103" s="172"/>
      <c r="AS103" s="172"/>
      <c r="AT103" s="172"/>
      <c r="AU103" s="172"/>
      <c r="AV103" s="172"/>
      <c r="AW103" s="172"/>
      <c r="AX103" s="172"/>
    </row>
    <row r="104" spans="1:50" s="171" customFormat="1" ht="30" hidden="1" customHeight="1" x14ac:dyDescent="0.25">
      <c r="A104" s="171">
        <v>93</v>
      </c>
      <c r="B104" s="172" t="s">
        <v>546</v>
      </c>
      <c r="C104" s="177">
        <v>3.2</v>
      </c>
      <c r="D104" s="172"/>
      <c r="E104" s="172" t="s">
        <v>465</v>
      </c>
      <c r="F104" s="173"/>
      <c r="G104" s="172" t="s">
        <v>466</v>
      </c>
      <c r="H104" s="250" t="s">
        <v>459</v>
      </c>
      <c r="I104" s="301" t="s">
        <v>473</v>
      </c>
      <c r="J104" s="129">
        <v>0.3</v>
      </c>
      <c r="K104" s="129" t="s">
        <v>2</v>
      </c>
      <c r="L104" s="172"/>
      <c r="M104" s="131">
        <v>20</v>
      </c>
      <c r="N104" s="128">
        <f t="shared" si="129"/>
        <v>3</v>
      </c>
      <c r="O104" s="128">
        <f>IF(M104=0,0,IF(M104&lt;=SelectionCriteria!$G$5,1, IF(M104&lt;=SelectionCriteria!$G$4,2, IF(M104&lt;=SelectionCriteria!$G$3,3,4))))</f>
        <v>1</v>
      </c>
      <c r="P104" s="128">
        <f t="shared" si="130"/>
        <v>2</v>
      </c>
      <c r="Q104" s="128">
        <f t="shared" si="131"/>
        <v>0</v>
      </c>
      <c r="R104" s="179">
        <f t="shared" si="132"/>
        <v>3</v>
      </c>
      <c r="S104" s="179">
        <f t="shared" si="134"/>
        <v>6</v>
      </c>
      <c r="T104" s="180" t="str">
        <f t="shared" si="133"/>
        <v>Moderate</v>
      </c>
      <c r="U104" s="175" t="s">
        <v>491</v>
      </c>
      <c r="V104" s="172"/>
      <c r="W104" s="172"/>
      <c r="X104" s="172"/>
      <c r="Y104" s="129">
        <v>0.3</v>
      </c>
      <c r="Z104" s="129" t="s">
        <v>1</v>
      </c>
      <c r="AA104" s="172"/>
      <c r="AB104" s="172"/>
      <c r="AC104" s="131">
        <v>20</v>
      </c>
      <c r="AD104" s="172"/>
      <c r="AE104" s="172"/>
      <c r="AF104" s="172"/>
      <c r="AG104" s="172"/>
      <c r="AH104" s="128">
        <f t="shared" si="80"/>
        <v>3</v>
      </c>
      <c r="AI104" s="128">
        <f>IF(AC104="",0,IF(AC104&lt;=SelectionCriteria!$G$5,1, IF(AC104&lt;=SelectionCriteria!$G$4,2, IF(AC104&lt;=SelectionCriteria!$G$3,3,4))))</f>
        <v>1</v>
      </c>
      <c r="AJ104" s="128">
        <f t="shared" si="81"/>
        <v>1</v>
      </c>
      <c r="AK104" s="128">
        <f t="shared" si="82"/>
        <v>0</v>
      </c>
      <c r="AL104" s="179">
        <f t="shared" si="128"/>
        <v>2</v>
      </c>
      <c r="AM104" s="4" t="str">
        <f t="shared" si="112"/>
        <v>Low</v>
      </c>
      <c r="AN104" s="172"/>
      <c r="AO104" s="179">
        <f t="shared" si="83"/>
        <v>6</v>
      </c>
      <c r="AP104" s="179">
        <f t="shared" si="84"/>
        <v>2</v>
      </c>
      <c r="AQ104" s="172"/>
      <c r="AR104" s="172"/>
      <c r="AS104" s="172"/>
      <c r="AT104" s="172"/>
      <c r="AU104" s="172"/>
      <c r="AV104" s="172"/>
      <c r="AW104" s="172"/>
      <c r="AX104" s="172"/>
    </row>
    <row r="105" spans="1:50" s="171" customFormat="1" ht="30" hidden="1" customHeight="1" x14ac:dyDescent="0.25">
      <c r="A105" s="171">
        <v>94</v>
      </c>
      <c r="B105" s="172" t="s">
        <v>547</v>
      </c>
      <c r="C105" s="177" t="s">
        <v>482</v>
      </c>
      <c r="D105" s="172"/>
      <c r="E105" s="172" t="s">
        <v>465</v>
      </c>
      <c r="F105" s="173"/>
      <c r="G105" s="172" t="s">
        <v>466</v>
      </c>
      <c r="H105" s="250" t="s">
        <v>460</v>
      </c>
      <c r="I105" s="301" t="s">
        <v>474</v>
      </c>
      <c r="J105" s="129">
        <v>0.3</v>
      </c>
      <c r="K105" s="129" t="s">
        <v>2</v>
      </c>
      <c r="L105" s="172"/>
      <c r="M105" s="131">
        <v>20</v>
      </c>
      <c r="N105" s="128">
        <f t="shared" si="129"/>
        <v>3</v>
      </c>
      <c r="O105" s="128">
        <f>IF(M105=0,0,IF(M105&lt;=SelectionCriteria!$G$5,1, IF(M105&lt;=SelectionCriteria!$G$4,2, IF(M105&lt;=SelectionCriteria!$G$3,3,4))))</f>
        <v>1</v>
      </c>
      <c r="P105" s="128">
        <f t="shared" si="130"/>
        <v>2</v>
      </c>
      <c r="Q105" s="128">
        <f t="shared" si="131"/>
        <v>0</v>
      </c>
      <c r="R105" s="179">
        <f t="shared" si="132"/>
        <v>3</v>
      </c>
      <c r="S105" s="179">
        <f t="shared" si="134"/>
        <v>6</v>
      </c>
      <c r="T105" s="180" t="str">
        <f t="shared" si="133"/>
        <v>Moderate</v>
      </c>
      <c r="U105" s="175" t="s">
        <v>496</v>
      </c>
      <c r="V105" s="172"/>
      <c r="W105" s="172"/>
      <c r="X105" s="172"/>
      <c r="Y105" s="129">
        <v>0.3</v>
      </c>
      <c r="Z105" s="129" t="s">
        <v>1</v>
      </c>
      <c r="AA105" s="172"/>
      <c r="AB105" s="172"/>
      <c r="AC105" s="131">
        <v>20</v>
      </c>
      <c r="AD105" s="172"/>
      <c r="AE105" s="172"/>
      <c r="AF105" s="172"/>
      <c r="AG105" s="172"/>
      <c r="AH105" s="128">
        <f t="shared" si="80"/>
        <v>3</v>
      </c>
      <c r="AI105" s="128">
        <f>IF(AC105="",0,IF(AC105&lt;=SelectionCriteria!$G$5,1, IF(AC105&lt;=SelectionCriteria!$G$4,2, IF(AC105&lt;=SelectionCriteria!$G$3,3,4))))</f>
        <v>1</v>
      </c>
      <c r="AJ105" s="128">
        <f t="shared" si="81"/>
        <v>1</v>
      </c>
      <c r="AK105" s="128">
        <f t="shared" si="82"/>
        <v>0</v>
      </c>
      <c r="AL105" s="179">
        <f t="shared" si="128"/>
        <v>2</v>
      </c>
      <c r="AM105" s="4" t="str">
        <f t="shared" si="112"/>
        <v>Low</v>
      </c>
      <c r="AN105" s="172"/>
      <c r="AO105" s="179">
        <f t="shared" si="83"/>
        <v>6</v>
      </c>
      <c r="AP105" s="179">
        <f t="shared" si="84"/>
        <v>2</v>
      </c>
      <c r="AQ105" s="172"/>
      <c r="AR105" s="172"/>
      <c r="AS105" s="172"/>
      <c r="AT105" s="172"/>
      <c r="AU105" s="172"/>
      <c r="AV105" s="172"/>
      <c r="AW105" s="172"/>
      <c r="AX105" s="172"/>
    </row>
    <row r="106" spans="1:50" s="171" customFormat="1" ht="30" hidden="1" customHeight="1" x14ac:dyDescent="0.25">
      <c r="A106" s="171">
        <v>95</v>
      </c>
      <c r="B106" s="172" t="s">
        <v>548</v>
      </c>
      <c r="C106" s="177" t="s">
        <v>522</v>
      </c>
      <c r="D106" s="172"/>
      <c r="E106" s="172" t="s">
        <v>465</v>
      </c>
      <c r="F106" s="173"/>
      <c r="G106" s="172" t="s">
        <v>466</v>
      </c>
      <c r="H106" s="250" t="s">
        <v>461</v>
      </c>
      <c r="I106" s="301" t="s">
        <v>475</v>
      </c>
      <c r="J106" s="129">
        <v>0.3</v>
      </c>
      <c r="K106" s="129" t="s">
        <v>2</v>
      </c>
      <c r="L106" s="172"/>
      <c r="M106" s="131">
        <v>20</v>
      </c>
      <c r="N106" s="128">
        <f t="shared" si="129"/>
        <v>3</v>
      </c>
      <c r="O106" s="128">
        <f>IF(M106=0,0,IF(M106&lt;=SelectionCriteria!$G$5,1, IF(M106&lt;=SelectionCriteria!$G$4,2, IF(M106&lt;=SelectionCriteria!$G$3,3,4))))</f>
        <v>1</v>
      </c>
      <c r="P106" s="128">
        <f t="shared" si="130"/>
        <v>2</v>
      </c>
      <c r="Q106" s="128">
        <f t="shared" si="131"/>
        <v>0</v>
      </c>
      <c r="R106" s="179">
        <f t="shared" si="132"/>
        <v>3</v>
      </c>
      <c r="S106" s="179">
        <f t="shared" si="134"/>
        <v>6</v>
      </c>
      <c r="T106" s="180" t="str">
        <f t="shared" si="133"/>
        <v>Moderate</v>
      </c>
      <c r="U106" s="175" t="s">
        <v>490</v>
      </c>
      <c r="V106" s="172"/>
      <c r="W106" s="172"/>
      <c r="X106" s="172"/>
      <c r="Y106" s="129">
        <v>0.3</v>
      </c>
      <c r="Z106" s="129" t="s">
        <v>1</v>
      </c>
      <c r="AA106" s="172"/>
      <c r="AB106" s="172"/>
      <c r="AC106" s="131">
        <v>20</v>
      </c>
      <c r="AD106" s="172"/>
      <c r="AE106" s="172"/>
      <c r="AF106" s="172"/>
      <c r="AG106" s="172"/>
      <c r="AH106" s="128">
        <f t="shared" si="80"/>
        <v>3</v>
      </c>
      <c r="AI106" s="128">
        <f>IF(AC106="",0,IF(AC106&lt;=SelectionCriteria!$G$5,1, IF(AC106&lt;=SelectionCriteria!$G$4,2, IF(AC106&lt;=SelectionCriteria!$G$3,3,4))))</f>
        <v>1</v>
      </c>
      <c r="AJ106" s="128">
        <f t="shared" si="81"/>
        <v>1</v>
      </c>
      <c r="AK106" s="128">
        <f t="shared" si="82"/>
        <v>0</v>
      </c>
      <c r="AL106" s="179">
        <f t="shared" si="128"/>
        <v>2</v>
      </c>
      <c r="AM106" s="4" t="str">
        <f t="shared" si="112"/>
        <v>Low</v>
      </c>
      <c r="AN106" s="172"/>
      <c r="AO106" s="179">
        <f t="shared" si="83"/>
        <v>6</v>
      </c>
      <c r="AP106" s="179">
        <f t="shared" si="84"/>
        <v>2</v>
      </c>
      <c r="AQ106" s="172"/>
      <c r="AR106" s="172"/>
      <c r="AS106" s="172"/>
      <c r="AT106" s="172"/>
      <c r="AU106" s="172"/>
      <c r="AV106" s="172"/>
      <c r="AW106" s="172"/>
      <c r="AX106" s="172"/>
    </row>
    <row r="107" spans="1:50" s="171" customFormat="1" ht="30" hidden="1" customHeight="1" x14ac:dyDescent="0.25">
      <c r="A107" s="171">
        <v>96</v>
      </c>
      <c r="B107" s="172" t="s">
        <v>549</v>
      </c>
      <c r="C107" s="177" t="s">
        <v>522</v>
      </c>
      <c r="D107" s="172"/>
      <c r="E107" s="172" t="s">
        <v>465</v>
      </c>
      <c r="F107" s="173"/>
      <c r="G107" s="172" t="s">
        <v>466</v>
      </c>
      <c r="H107" s="250" t="s">
        <v>462</v>
      </c>
      <c r="I107" s="301" t="s">
        <v>476</v>
      </c>
      <c r="J107" s="129">
        <v>0.2</v>
      </c>
      <c r="K107" s="129" t="s">
        <v>1</v>
      </c>
      <c r="L107" s="172"/>
      <c r="M107" s="131">
        <v>0</v>
      </c>
      <c r="N107" s="128">
        <f t="shared" si="129"/>
        <v>3</v>
      </c>
      <c r="O107" s="128">
        <f>IF(M107=0,0,IF(M107&lt;=SelectionCriteria!$G$5,1, IF(M107&lt;=SelectionCriteria!$G$4,2, IF(M107&lt;=SelectionCriteria!$G$3,3,4))))</f>
        <v>0</v>
      </c>
      <c r="P107" s="128">
        <f t="shared" si="130"/>
        <v>1</v>
      </c>
      <c r="Q107" s="128">
        <f t="shared" si="131"/>
        <v>0</v>
      </c>
      <c r="R107" s="179">
        <f t="shared" si="132"/>
        <v>1</v>
      </c>
      <c r="S107" s="179">
        <f t="shared" si="134"/>
        <v>0</v>
      </c>
      <c r="T107" s="180" t="str">
        <f t="shared" si="133"/>
        <v>Negligible</v>
      </c>
      <c r="U107" s="175" t="s">
        <v>489</v>
      </c>
      <c r="V107" s="172"/>
      <c r="W107" s="172"/>
      <c r="X107" s="172"/>
      <c r="Y107" s="129">
        <v>0.2</v>
      </c>
      <c r="Z107" s="129" t="s">
        <v>1</v>
      </c>
      <c r="AA107" s="172"/>
      <c r="AB107" s="172"/>
      <c r="AC107" s="131"/>
      <c r="AD107" s="172"/>
      <c r="AE107" s="172"/>
      <c r="AF107" s="172"/>
      <c r="AG107" s="172"/>
      <c r="AH107" s="128">
        <f t="shared" si="80"/>
        <v>3</v>
      </c>
      <c r="AI107" s="128">
        <f>IF(AC107="",0,IF(AC107&lt;=SelectionCriteria!$G$5,1, IF(AC107&lt;=SelectionCriteria!$G$4,2, IF(AC107&lt;=SelectionCriteria!$G$3,3,4))))</f>
        <v>0</v>
      </c>
      <c r="AJ107" s="128">
        <f t="shared" si="81"/>
        <v>1</v>
      </c>
      <c r="AK107" s="128">
        <f t="shared" si="82"/>
        <v>0</v>
      </c>
      <c r="AL107" s="179">
        <f t="shared" si="128"/>
        <v>1</v>
      </c>
      <c r="AM107" s="4" t="str">
        <f t="shared" si="112"/>
        <v>Negligible</v>
      </c>
      <c r="AN107" s="172"/>
      <c r="AO107" s="179">
        <f t="shared" si="83"/>
        <v>0</v>
      </c>
      <c r="AP107" s="179">
        <f t="shared" si="84"/>
        <v>0</v>
      </c>
      <c r="AQ107" s="172"/>
      <c r="AR107" s="172"/>
      <c r="AS107" s="172"/>
      <c r="AT107" s="172"/>
      <c r="AU107" s="172"/>
      <c r="AV107" s="172"/>
      <c r="AW107" s="172"/>
      <c r="AX107" s="172"/>
    </row>
    <row r="108" spans="1:50" s="171" customFormat="1" ht="30" hidden="1" customHeight="1" x14ac:dyDescent="0.25">
      <c r="A108" s="171">
        <v>97</v>
      </c>
      <c r="B108" s="172" t="s">
        <v>550</v>
      </c>
      <c r="C108" s="177">
        <v>3</v>
      </c>
      <c r="D108" s="172"/>
      <c r="E108" s="172" t="s">
        <v>465</v>
      </c>
      <c r="F108" s="173"/>
      <c r="G108" s="172" t="s">
        <v>466</v>
      </c>
      <c r="H108" s="250" t="s">
        <v>463</v>
      </c>
      <c r="I108" s="301" t="s">
        <v>477</v>
      </c>
      <c r="J108" s="129">
        <v>0.1</v>
      </c>
      <c r="K108" s="129" t="s">
        <v>3</v>
      </c>
      <c r="L108" s="172"/>
      <c r="M108" s="131">
        <v>20</v>
      </c>
      <c r="N108" s="128">
        <f t="shared" si="129"/>
        <v>2</v>
      </c>
      <c r="O108" s="128">
        <f>IF(M108=0,0,IF(M108&lt;=SelectionCriteria!$G$5,1, IF(M108&lt;=SelectionCriteria!$G$4,2, IF(M108&lt;=SelectionCriteria!$G$3,3,4))))</f>
        <v>1</v>
      </c>
      <c r="P108" s="128">
        <f t="shared" si="130"/>
        <v>3</v>
      </c>
      <c r="Q108" s="128">
        <f t="shared" si="131"/>
        <v>0</v>
      </c>
      <c r="R108" s="179">
        <f t="shared" si="132"/>
        <v>2.6666666666666665</v>
      </c>
      <c r="S108" s="179">
        <f t="shared" si="134"/>
        <v>2</v>
      </c>
      <c r="T108" s="180" t="str">
        <f t="shared" si="133"/>
        <v>Moderate</v>
      </c>
      <c r="U108" s="175" t="s">
        <v>507</v>
      </c>
      <c r="V108" s="172"/>
      <c r="W108" s="172"/>
      <c r="X108" s="172"/>
      <c r="Y108" s="129">
        <v>0.1</v>
      </c>
      <c r="Z108" s="129" t="s">
        <v>3</v>
      </c>
      <c r="AA108" s="172"/>
      <c r="AB108" s="172"/>
      <c r="AC108" s="131">
        <v>20</v>
      </c>
      <c r="AD108" s="172"/>
      <c r="AE108" s="172"/>
      <c r="AF108" s="172"/>
      <c r="AG108" s="172"/>
      <c r="AH108" s="128">
        <f t="shared" si="80"/>
        <v>2</v>
      </c>
      <c r="AI108" s="128">
        <f>IF(AC108="",0,IF(AC108&lt;=SelectionCriteria!$G$5,1, IF(AC108&lt;=SelectionCriteria!$G$4,2, IF(AC108&lt;=SelectionCriteria!$G$3,3,4))))</f>
        <v>1</v>
      </c>
      <c r="AJ108" s="128">
        <f t="shared" si="81"/>
        <v>3</v>
      </c>
      <c r="AK108" s="128">
        <f t="shared" si="82"/>
        <v>0</v>
      </c>
      <c r="AL108" s="179">
        <f t="shared" si="128"/>
        <v>2.6666666666666665</v>
      </c>
      <c r="AM108" s="4" t="str">
        <f t="shared" si="112"/>
        <v>Moderate</v>
      </c>
      <c r="AN108" s="172"/>
      <c r="AO108" s="179">
        <f t="shared" si="83"/>
        <v>2</v>
      </c>
      <c r="AP108" s="179">
        <f t="shared" si="84"/>
        <v>0.66666666666666674</v>
      </c>
      <c r="AQ108" s="172"/>
      <c r="AR108" s="172"/>
      <c r="AS108" s="172"/>
      <c r="AT108" s="172"/>
      <c r="AU108" s="172"/>
      <c r="AV108" s="172"/>
      <c r="AW108" s="172"/>
      <c r="AX108" s="172"/>
    </row>
    <row r="109" spans="1:50" s="171" customFormat="1" ht="30" hidden="1" customHeight="1" x14ac:dyDescent="0.25">
      <c r="A109" s="171">
        <v>98</v>
      </c>
      <c r="B109" s="172" t="s">
        <v>551</v>
      </c>
      <c r="C109" s="177">
        <v>3.3</v>
      </c>
      <c r="D109" s="172"/>
      <c r="E109" s="172" t="s">
        <v>465</v>
      </c>
      <c r="F109" s="173"/>
      <c r="G109" s="172" t="s">
        <v>466</v>
      </c>
      <c r="H109" s="250" t="s">
        <v>464</v>
      </c>
      <c r="I109" s="301" t="s">
        <v>478</v>
      </c>
      <c r="J109" s="129">
        <v>0.1</v>
      </c>
      <c r="K109" s="129" t="s">
        <v>3</v>
      </c>
      <c r="L109" s="172"/>
      <c r="M109" s="131">
        <v>10</v>
      </c>
      <c r="N109" s="128">
        <f t="shared" si="129"/>
        <v>2</v>
      </c>
      <c r="O109" s="128">
        <f>IF(M109=0,0,IF(M109&lt;=SelectionCriteria!$G$5,1, IF(M109&lt;=SelectionCriteria!$G$4,2, IF(M109&lt;=SelectionCriteria!$G$3,3,4))))</f>
        <v>1</v>
      </c>
      <c r="P109" s="128">
        <f t="shared" si="130"/>
        <v>3</v>
      </c>
      <c r="Q109" s="128">
        <f t="shared" si="131"/>
        <v>0</v>
      </c>
      <c r="R109" s="179">
        <f t="shared" si="132"/>
        <v>2.6666666666666665</v>
      </c>
      <c r="S109" s="179">
        <f t="shared" si="134"/>
        <v>1</v>
      </c>
      <c r="T109" s="180" t="str">
        <f t="shared" si="133"/>
        <v>Moderate</v>
      </c>
      <c r="U109" s="175" t="s">
        <v>488</v>
      </c>
      <c r="V109" s="172"/>
      <c r="W109" s="172"/>
      <c r="X109" s="172"/>
      <c r="Y109" s="129">
        <v>0.1</v>
      </c>
      <c r="Z109" s="129" t="s">
        <v>3</v>
      </c>
      <c r="AA109" s="172"/>
      <c r="AB109" s="172"/>
      <c r="AC109" s="131">
        <v>10</v>
      </c>
      <c r="AD109" s="172"/>
      <c r="AE109" s="172"/>
      <c r="AF109" s="172"/>
      <c r="AG109" s="172"/>
      <c r="AH109" s="128">
        <f t="shared" si="80"/>
        <v>2</v>
      </c>
      <c r="AI109" s="128">
        <f>IF(AC109="",0,IF(AC109&lt;=SelectionCriteria!$G$5,1, IF(AC109&lt;=SelectionCriteria!$G$4,2, IF(AC109&lt;=SelectionCriteria!$G$3,3,4))))</f>
        <v>1</v>
      </c>
      <c r="AJ109" s="128">
        <f t="shared" si="81"/>
        <v>3</v>
      </c>
      <c r="AK109" s="128">
        <f t="shared" si="82"/>
        <v>0</v>
      </c>
      <c r="AL109" s="179">
        <f t="shared" si="128"/>
        <v>2.6666666666666665</v>
      </c>
      <c r="AM109" s="4" t="str">
        <f t="shared" si="112"/>
        <v>Moderate</v>
      </c>
      <c r="AN109" s="172"/>
      <c r="AO109" s="179">
        <f t="shared" si="83"/>
        <v>1</v>
      </c>
      <c r="AP109" s="179">
        <f t="shared" si="84"/>
        <v>0.33333333333333337</v>
      </c>
      <c r="AQ109" s="172"/>
      <c r="AR109" s="172"/>
      <c r="AS109" s="172"/>
      <c r="AT109" s="172"/>
      <c r="AU109" s="172"/>
      <c r="AV109" s="172"/>
      <c r="AW109" s="172"/>
      <c r="AX109" s="172"/>
    </row>
    <row r="110" spans="1:50" s="171" customFormat="1" ht="30" hidden="1" customHeight="1" x14ac:dyDescent="0.25">
      <c r="A110" s="171">
        <v>99</v>
      </c>
      <c r="B110" s="172" t="s">
        <v>552</v>
      </c>
      <c r="C110" s="177">
        <v>4.4000000000000004</v>
      </c>
      <c r="D110" s="172"/>
      <c r="E110" s="172" t="s">
        <v>465</v>
      </c>
      <c r="F110" s="173"/>
      <c r="G110" s="172" t="s">
        <v>466</v>
      </c>
      <c r="H110" s="250" t="s">
        <v>526</v>
      </c>
      <c r="I110" s="301" t="s">
        <v>479</v>
      </c>
      <c r="J110" s="129">
        <v>0.1</v>
      </c>
      <c r="K110" s="129" t="s">
        <v>5</v>
      </c>
      <c r="L110" s="172"/>
      <c r="M110" s="131">
        <v>40</v>
      </c>
      <c r="N110" s="128">
        <f t="shared" si="129"/>
        <v>2</v>
      </c>
      <c r="O110" s="128">
        <f>IF(M110=0,0,IF(M110&lt;=SelectionCriteria!$G$5,1, IF(M110&lt;=SelectionCriteria!$G$4,2, IF(M110&lt;=SelectionCriteria!$G$3,3,4))))</f>
        <v>2</v>
      </c>
      <c r="P110" s="128">
        <f t="shared" si="130"/>
        <v>4</v>
      </c>
      <c r="Q110" s="128">
        <f t="shared" si="131"/>
        <v>0</v>
      </c>
      <c r="R110" s="179">
        <f t="shared" si="132"/>
        <v>4</v>
      </c>
      <c r="S110" s="179">
        <f t="shared" si="134"/>
        <v>4</v>
      </c>
      <c r="T110" s="180" t="str">
        <f t="shared" si="133"/>
        <v>High</v>
      </c>
      <c r="U110" s="175" t="s">
        <v>487</v>
      </c>
      <c r="V110" s="172"/>
      <c r="W110" s="172"/>
      <c r="X110" s="172"/>
      <c r="Y110" s="129">
        <v>0.1</v>
      </c>
      <c r="Z110" s="129" t="s">
        <v>5</v>
      </c>
      <c r="AA110" s="172"/>
      <c r="AB110" s="172"/>
      <c r="AC110" s="131">
        <v>40</v>
      </c>
      <c r="AD110" s="172"/>
      <c r="AE110" s="172"/>
      <c r="AF110" s="172"/>
      <c r="AG110" s="172"/>
      <c r="AH110" s="128">
        <f t="shared" si="80"/>
        <v>2</v>
      </c>
      <c r="AI110" s="128">
        <f>IF(AC110="",0,IF(AC110&lt;=SelectionCriteria!$G$5,1, IF(AC110&lt;=SelectionCriteria!$G$4,2, IF(AC110&lt;=SelectionCriteria!$G$3,3,4))))</f>
        <v>2</v>
      </c>
      <c r="AJ110" s="128">
        <f t="shared" si="81"/>
        <v>4</v>
      </c>
      <c r="AK110" s="128">
        <f t="shared" si="82"/>
        <v>0</v>
      </c>
      <c r="AL110" s="179">
        <f t="shared" si="128"/>
        <v>4</v>
      </c>
      <c r="AM110" s="4" t="str">
        <f t="shared" si="112"/>
        <v>High</v>
      </c>
      <c r="AN110" s="172"/>
      <c r="AO110" s="179">
        <f t="shared" si="83"/>
        <v>4</v>
      </c>
      <c r="AP110" s="179">
        <f t="shared" si="84"/>
        <v>1.3333333333333335</v>
      </c>
      <c r="AQ110" s="172"/>
      <c r="AR110" s="172"/>
      <c r="AS110" s="172"/>
      <c r="AT110" s="172"/>
      <c r="AU110" s="172"/>
      <c r="AV110" s="172"/>
      <c r="AW110" s="172"/>
      <c r="AX110" s="172"/>
    </row>
    <row r="111" spans="1:50" s="171" customFormat="1" ht="30" hidden="1" customHeight="1" x14ac:dyDescent="0.25">
      <c r="A111" s="171">
        <v>100</v>
      </c>
      <c r="B111" s="172" t="s">
        <v>553</v>
      </c>
      <c r="C111" s="178" t="s">
        <v>465</v>
      </c>
      <c r="D111" s="172"/>
      <c r="E111" s="172" t="s">
        <v>465</v>
      </c>
      <c r="F111" s="173"/>
      <c r="G111" s="172" t="s">
        <v>466</v>
      </c>
      <c r="H111" s="250" t="s">
        <v>484</v>
      </c>
      <c r="I111" s="192" t="s">
        <v>480</v>
      </c>
      <c r="J111" s="129">
        <v>0.15</v>
      </c>
      <c r="K111" s="129" t="s">
        <v>1</v>
      </c>
      <c r="L111" s="172"/>
      <c r="M111" s="131">
        <v>20</v>
      </c>
      <c r="N111" s="128">
        <f t="shared" si="129"/>
        <v>3</v>
      </c>
      <c r="O111" s="128">
        <f>IF(M111=0,0,IF(M111&lt;=SelectionCriteria!$G$5,1, IF(M111&lt;=SelectionCriteria!$G$4,2, IF(M111&lt;=SelectionCriteria!$G$3,3,4))))</f>
        <v>1</v>
      </c>
      <c r="P111" s="128">
        <f t="shared" si="130"/>
        <v>1</v>
      </c>
      <c r="Q111" s="128">
        <f t="shared" si="131"/>
        <v>0</v>
      </c>
      <c r="R111" s="179">
        <f t="shared" si="132"/>
        <v>2</v>
      </c>
      <c r="S111" s="179">
        <f t="shared" si="134"/>
        <v>3</v>
      </c>
      <c r="T111" s="180" t="str">
        <f t="shared" si="133"/>
        <v>Low</v>
      </c>
      <c r="U111" s="175" t="s">
        <v>494</v>
      </c>
      <c r="V111" s="172"/>
      <c r="W111" s="172"/>
      <c r="X111" s="172"/>
      <c r="Y111" s="129">
        <v>0.15</v>
      </c>
      <c r="Z111" s="129" t="s">
        <v>1</v>
      </c>
      <c r="AA111" s="172"/>
      <c r="AB111" s="172"/>
      <c r="AC111" s="131">
        <v>20</v>
      </c>
      <c r="AD111" s="172"/>
      <c r="AE111" s="172"/>
      <c r="AF111" s="172"/>
      <c r="AG111" s="172"/>
      <c r="AH111" s="128">
        <f t="shared" si="80"/>
        <v>3</v>
      </c>
      <c r="AI111" s="128">
        <f>IF(AC111="",0,IF(AC111&lt;=SelectionCriteria!$G$5,1, IF(AC111&lt;=SelectionCriteria!$G$4,2, IF(AC111&lt;=SelectionCriteria!$G$3,3,4))))</f>
        <v>1</v>
      </c>
      <c r="AJ111" s="128">
        <f t="shared" si="81"/>
        <v>1</v>
      </c>
      <c r="AK111" s="128">
        <f t="shared" si="82"/>
        <v>0</v>
      </c>
      <c r="AL111" s="179">
        <f t="shared" si="128"/>
        <v>2</v>
      </c>
      <c r="AM111" s="4" t="str">
        <f t="shared" si="112"/>
        <v>Low</v>
      </c>
      <c r="AN111" s="172"/>
      <c r="AO111" s="179">
        <f t="shared" si="83"/>
        <v>3</v>
      </c>
      <c r="AP111" s="179">
        <f t="shared" si="84"/>
        <v>1</v>
      </c>
      <c r="AQ111" s="172"/>
      <c r="AR111" s="172"/>
      <c r="AS111" s="172"/>
      <c r="AT111" s="172"/>
      <c r="AU111" s="172"/>
      <c r="AV111" s="172"/>
      <c r="AW111" s="172"/>
      <c r="AX111" s="172"/>
    </row>
    <row r="112" spans="1:50" s="171" customFormat="1" ht="30" hidden="1" customHeight="1" x14ac:dyDescent="0.25">
      <c r="A112" s="171">
        <v>101</v>
      </c>
      <c r="B112" s="172" t="s">
        <v>554</v>
      </c>
      <c r="C112" s="177">
        <v>3</v>
      </c>
      <c r="D112" s="172"/>
      <c r="E112" s="172" t="s">
        <v>465</v>
      </c>
      <c r="F112" s="173"/>
      <c r="G112" s="172" t="s">
        <v>466</v>
      </c>
      <c r="H112" s="250" t="s">
        <v>524</v>
      </c>
      <c r="I112" s="192" t="s">
        <v>485</v>
      </c>
      <c r="J112" s="129">
        <v>0.3</v>
      </c>
      <c r="K112" s="129" t="s">
        <v>2</v>
      </c>
      <c r="L112" s="172"/>
      <c r="M112" s="131">
        <v>10</v>
      </c>
      <c r="N112" s="128">
        <f t="shared" si="129"/>
        <v>3</v>
      </c>
      <c r="O112" s="128">
        <f>IF(M112=0,0,IF(M112&lt;=SelectionCriteria!$G$5,1, IF(M112&lt;=SelectionCriteria!$G$4,2, IF(M112&lt;=SelectionCriteria!$G$3,3,4))))</f>
        <v>1</v>
      </c>
      <c r="P112" s="128">
        <f t="shared" si="130"/>
        <v>2</v>
      </c>
      <c r="Q112" s="128">
        <f t="shared" si="131"/>
        <v>0</v>
      </c>
      <c r="R112" s="179">
        <f t="shared" si="132"/>
        <v>3</v>
      </c>
      <c r="S112" s="179">
        <f t="shared" si="134"/>
        <v>3</v>
      </c>
      <c r="T112" s="180" t="str">
        <f t="shared" si="133"/>
        <v>Moderate</v>
      </c>
      <c r="U112" s="175" t="s">
        <v>508</v>
      </c>
      <c r="V112" s="172"/>
      <c r="W112" s="172"/>
      <c r="X112" s="172"/>
      <c r="Y112" s="129">
        <v>0.3</v>
      </c>
      <c r="Z112" s="129" t="s">
        <v>1</v>
      </c>
      <c r="AA112" s="172"/>
      <c r="AB112" s="172"/>
      <c r="AC112" s="131">
        <v>10</v>
      </c>
      <c r="AD112" s="172"/>
      <c r="AE112" s="172"/>
      <c r="AF112" s="172"/>
      <c r="AG112" s="172"/>
      <c r="AH112" s="128">
        <f t="shared" si="80"/>
        <v>3</v>
      </c>
      <c r="AI112" s="128">
        <f>IF(AC112="",0,IF(AC112&lt;=SelectionCriteria!$G$5,1, IF(AC112&lt;=SelectionCriteria!$G$4,2, IF(AC112&lt;=SelectionCriteria!$G$3,3,4))))</f>
        <v>1</v>
      </c>
      <c r="AJ112" s="128">
        <f t="shared" si="81"/>
        <v>1</v>
      </c>
      <c r="AK112" s="128">
        <f t="shared" si="82"/>
        <v>0</v>
      </c>
      <c r="AL112" s="179">
        <f t="shared" si="128"/>
        <v>2</v>
      </c>
      <c r="AM112" s="4" t="str">
        <f t="shared" si="112"/>
        <v>Low</v>
      </c>
      <c r="AN112" s="172"/>
      <c r="AO112" s="179">
        <f t="shared" si="83"/>
        <v>3</v>
      </c>
      <c r="AP112" s="179">
        <f t="shared" si="84"/>
        <v>1</v>
      </c>
      <c r="AQ112" s="172"/>
      <c r="AR112" s="172"/>
      <c r="AS112" s="172"/>
      <c r="AT112" s="172"/>
      <c r="AU112" s="172"/>
      <c r="AV112" s="172"/>
      <c r="AW112" s="172"/>
      <c r="AX112" s="172"/>
    </row>
    <row r="113" spans="1:50" s="171" customFormat="1" ht="30" hidden="1" customHeight="1" x14ac:dyDescent="0.25">
      <c r="A113" s="171">
        <v>102</v>
      </c>
      <c r="B113" s="172" t="s">
        <v>555</v>
      </c>
      <c r="C113" s="177">
        <v>3</v>
      </c>
      <c r="D113" s="172"/>
      <c r="E113" s="172" t="s">
        <v>465</v>
      </c>
      <c r="F113" s="173"/>
      <c r="G113" s="172" t="s">
        <v>466</v>
      </c>
      <c r="H113" s="250" t="s">
        <v>481</v>
      </c>
      <c r="I113" s="192" t="s">
        <v>486</v>
      </c>
      <c r="J113" s="129">
        <v>0.1</v>
      </c>
      <c r="K113" s="129" t="s">
        <v>2</v>
      </c>
      <c r="L113" s="129" t="s">
        <v>1</v>
      </c>
      <c r="M113" s="131">
        <v>20</v>
      </c>
      <c r="N113" s="128">
        <f t="shared" si="129"/>
        <v>2</v>
      </c>
      <c r="O113" s="128">
        <f>IF(M113=0,0,IF(M113&lt;=SelectionCriteria!$G$5,1, IF(M113&lt;=SelectionCriteria!$G$4,2, IF(M113&lt;=SelectionCriteria!$G$3,3,4))))</f>
        <v>1</v>
      </c>
      <c r="P113" s="128">
        <f t="shared" si="130"/>
        <v>2</v>
      </c>
      <c r="Q113" s="128">
        <f t="shared" si="131"/>
        <v>1</v>
      </c>
      <c r="R113" s="179">
        <f t="shared" si="132"/>
        <v>2.6666666666666665</v>
      </c>
      <c r="S113" s="179">
        <f t="shared" si="134"/>
        <v>2</v>
      </c>
      <c r="T113" s="180" t="str">
        <f t="shared" si="133"/>
        <v>Moderate</v>
      </c>
      <c r="U113" s="175" t="s">
        <v>509</v>
      </c>
      <c r="V113" s="172"/>
      <c r="W113" s="172"/>
      <c r="X113" s="172"/>
      <c r="Y113" s="129">
        <v>0.1</v>
      </c>
      <c r="Z113" s="129" t="s">
        <v>2</v>
      </c>
      <c r="AA113" s="172"/>
      <c r="AB113" s="172"/>
      <c r="AC113" s="131">
        <v>20</v>
      </c>
      <c r="AD113" s="172"/>
      <c r="AE113" s="172"/>
      <c r="AF113" s="172"/>
      <c r="AG113" s="172"/>
      <c r="AH113" s="128">
        <f t="shared" si="80"/>
        <v>2</v>
      </c>
      <c r="AI113" s="128">
        <f>IF(AC113="",0,IF(AC113&lt;=SelectionCriteria!$G$5,1, IF(AC113&lt;=SelectionCriteria!$G$4,2, IF(AC113&lt;=SelectionCriteria!$G$3,3,4))))</f>
        <v>1</v>
      </c>
      <c r="AJ113" s="128">
        <f t="shared" si="81"/>
        <v>2</v>
      </c>
      <c r="AK113" s="128">
        <f t="shared" si="82"/>
        <v>0</v>
      </c>
      <c r="AL113" s="179">
        <f t="shared" si="128"/>
        <v>2</v>
      </c>
      <c r="AM113" s="4" t="str">
        <f t="shared" si="112"/>
        <v>Low</v>
      </c>
      <c r="AN113" s="172"/>
      <c r="AO113" s="179">
        <f t="shared" si="83"/>
        <v>2</v>
      </c>
      <c r="AP113" s="179">
        <f t="shared" si="84"/>
        <v>0.66666666666666674</v>
      </c>
      <c r="AQ113" s="172"/>
      <c r="AR113" s="172"/>
      <c r="AS113" s="172"/>
      <c r="AT113" s="172"/>
      <c r="AU113" s="172"/>
      <c r="AV113" s="172"/>
      <c r="AW113" s="172"/>
      <c r="AX113" s="172"/>
    </row>
    <row r="114" spans="1:50" s="171" customFormat="1" ht="30" hidden="1" customHeight="1" x14ac:dyDescent="0.25">
      <c r="A114" s="171">
        <v>103</v>
      </c>
      <c r="B114" s="172" t="s">
        <v>556</v>
      </c>
      <c r="C114" s="177">
        <v>3</v>
      </c>
      <c r="D114" s="172"/>
      <c r="E114" s="172" t="s">
        <v>465</v>
      </c>
      <c r="F114" s="173"/>
      <c r="G114" s="172" t="s">
        <v>466</v>
      </c>
      <c r="H114" s="250" t="s">
        <v>528</v>
      </c>
      <c r="I114" s="192" t="s">
        <v>486</v>
      </c>
      <c r="J114" s="129">
        <v>0.1</v>
      </c>
      <c r="K114" s="129" t="s">
        <v>2</v>
      </c>
      <c r="L114" s="172"/>
      <c r="M114" s="131">
        <v>200</v>
      </c>
      <c r="N114" s="128">
        <f t="shared" ref="N114" si="135">IF(J114=0,0,IF(J114&lt;=0.01,1, IF(J114&lt;=0.1,2, IF(J114&lt;=0.5,3,4))))</f>
        <v>2</v>
      </c>
      <c r="O114" s="128">
        <f>IF(M114=0,0,IF(M114&lt;=SelectionCriteria!$G$5,1, IF(M114&lt;=SelectionCriteria!$G$4,2, IF(M114&lt;=SelectionCriteria!$G$3,3,4))))</f>
        <v>3</v>
      </c>
      <c r="P114" s="128">
        <f t="shared" ref="P114" si="136">IF(K114="",0,IF(K114="Negligible",1,IF(K114="Low",2,IF(K114="Moderate",3,4))))</f>
        <v>2</v>
      </c>
      <c r="Q114" s="128">
        <f t="shared" ref="Q114" si="137">IF(L114="",0,IF(L114="Negligible",1,IF(L114="Low",2,IF(L114="Moderate",3,4))))</f>
        <v>0</v>
      </c>
      <c r="R114" s="179">
        <f t="shared" ref="R114" si="138">N114*((O114+P114+Q114)/3)</f>
        <v>3.3333333333333335</v>
      </c>
      <c r="S114" s="179">
        <f t="shared" ref="S114" si="139">J114*M114</f>
        <v>20</v>
      </c>
      <c r="T114" s="180" t="str">
        <f t="shared" ref="T114" si="140">IF(R114=0,"Not Primary",IF(R114&lt;=1,"Negligible",IF(R114&lt;=2,"Low",IF(R114&lt;=3,"Moderate","High"))))</f>
        <v>High</v>
      </c>
      <c r="U114" s="175" t="s">
        <v>529</v>
      </c>
      <c r="V114" s="172"/>
      <c r="W114" s="172"/>
      <c r="X114" s="172"/>
      <c r="Y114" s="129">
        <v>0.1</v>
      </c>
      <c r="Z114" s="129" t="s">
        <v>2</v>
      </c>
      <c r="AA114" s="172"/>
      <c r="AB114" s="172"/>
      <c r="AC114" s="131">
        <v>200</v>
      </c>
      <c r="AD114" s="172"/>
      <c r="AE114" s="172"/>
      <c r="AF114" s="172"/>
      <c r="AG114" s="172"/>
      <c r="AH114" s="128">
        <f t="shared" si="80"/>
        <v>2</v>
      </c>
      <c r="AI114" s="128">
        <f>IF(AC114="",0,IF(AC114&lt;=SelectionCriteria!$G$5,1, IF(AC114&lt;=SelectionCriteria!$G$4,2, IF(AC114&lt;=SelectionCriteria!$G$3,3,4))))</f>
        <v>3</v>
      </c>
      <c r="AJ114" s="128">
        <f t="shared" si="81"/>
        <v>2</v>
      </c>
      <c r="AK114" s="128">
        <f t="shared" si="82"/>
        <v>0</v>
      </c>
      <c r="AL114" s="179">
        <f t="shared" si="128"/>
        <v>3.3333333333333335</v>
      </c>
      <c r="AM114" s="4" t="str">
        <f t="shared" si="112"/>
        <v>High</v>
      </c>
      <c r="AN114" s="172"/>
      <c r="AO114" s="179">
        <f t="shared" si="83"/>
        <v>20</v>
      </c>
      <c r="AP114" s="179">
        <f t="shared" si="84"/>
        <v>6.6666666666666679</v>
      </c>
      <c r="AQ114" s="172"/>
      <c r="AR114" s="172"/>
      <c r="AS114" s="172"/>
      <c r="AT114" s="172"/>
      <c r="AU114" s="172"/>
      <c r="AV114" s="172"/>
      <c r="AW114" s="172"/>
      <c r="AX114" s="172"/>
    </row>
    <row r="115" spans="1:50" s="171" customFormat="1" ht="30" customHeight="1" x14ac:dyDescent="0.25">
      <c r="A115" s="171">
        <v>87</v>
      </c>
      <c r="B115" s="172"/>
      <c r="C115" s="227"/>
      <c r="D115" s="172"/>
      <c r="E115" s="172"/>
      <c r="F115" s="173"/>
      <c r="G115" s="172"/>
      <c r="H115" s="231"/>
      <c r="I115" s="172"/>
      <c r="J115" s="172"/>
      <c r="K115" s="172"/>
      <c r="L115" s="172"/>
      <c r="M115" s="131"/>
      <c r="N115" s="172"/>
      <c r="O115" s="172"/>
      <c r="P115" s="172"/>
      <c r="Q115" s="172"/>
      <c r="R115" s="172"/>
      <c r="S115" s="228">
        <f>SUM(S96:S114)</f>
        <v>70</v>
      </c>
      <c r="T115" s="229"/>
      <c r="U115" s="172"/>
      <c r="V115" s="172"/>
      <c r="W115" s="172"/>
      <c r="X115" s="172"/>
      <c r="Y115" s="172"/>
      <c r="Z115" s="172"/>
      <c r="AA115" s="172"/>
      <c r="AB115" s="172"/>
      <c r="AC115" s="172"/>
      <c r="AD115" s="172"/>
      <c r="AE115" s="172"/>
      <c r="AF115" s="172"/>
      <c r="AG115" s="172"/>
      <c r="AH115" s="172"/>
      <c r="AI115" s="172"/>
      <c r="AJ115" s="172"/>
      <c r="AK115" s="172"/>
      <c r="AL115" s="172"/>
      <c r="AM115" s="172"/>
      <c r="AN115" s="172"/>
      <c r="AO115" s="172"/>
      <c r="AP115" s="172"/>
      <c r="AQ115" s="172"/>
      <c r="AR115" s="172"/>
      <c r="AS115" s="172"/>
      <c r="AT115" s="172"/>
      <c r="AU115" s="172"/>
      <c r="AV115" s="172"/>
      <c r="AW115" s="172"/>
      <c r="AX115" s="172"/>
    </row>
    <row r="116" spans="1:50" s="171" customFormat="1" ht="30" customHeight="1" x14ac:dyDescent="0.25">
      <c r="A116" s="171">
        <v>88</v>
      </c>
      <c r="B116" s="172"/>
      <c r="C116" s="227"/>
      <c r="D116" s="172"/>
      <c r="E116" s="172"/>
      <c r="F116" s="173"/>
      <c r="G116" s="172"/>
      <c r="H116" s="231"/>
      <c r="I116" s="172"/>
      <c r="J116" s="172"/>
      <c r="K116" s="172"/>
      <c r="L116" s="172"/>
      <c r="M116" s="131"/>
      <c r="N116" s="172"/>
      <c r="O116" s="172"/>
      <c r="P116" s="172"/>
      <c r="Q116" s="172"/>
      <c r="R116" s="172"/>
      <c r="S116" s="179"/>
      <c r="T116" s="229"/>
      <c r="U116" s="172"/>
      <c r="V116" s="172"/>
      <c r="W116" s="172"/>
      <c r="X116" s="172"/>
      <c r="Y116" s="172"/>
      <c r="Z116" s="172"/>
      <c r="AA116" s="172"/>
      <c r="AB116" s="172"/>
      <c r="AC116" s="172"/>
      <c r="AD116" s="172"/>
      <c r="AE116" s="172"/>
      <c r="AF116" s="172"/>
      <c r="AG116" s="172"/>
      <c r="AH116" s="172"/>
      <c r="AI116" s="172"/>
      <c r="AJ116" s="172"/>
      <c r="AK116" s="172"/>
      <c r="AL116" s="172"/>
      <c r="AM116" s="172"/>
      <c r="AN116" s="172"/>
      <c r="AO116" s="172"/>
      <c r="AP116" s="172"/>
      <c r="AQ116" s="172"/>
      <c r="AR116" s="172"/>
      <c r="AS116" s="172"/>
      <c r="AT116" s="172"/>
      <c r="AU116" s="172"/>
      <c r="AV116" s="172"/>
      <c r="AW116" s="172"/>
      <c r="AX116" s="172"/>
    </row>
    <row r="117" spans="1:50" s="171" customFormat="1" ht="30" customHeight="1" x14ac:dyDescent="0.25">
      <c r="A117" s="171">
        <v>89</v>
      </c>
      <c r="B117" s="172"/>
      <c r="C117" s="227"/>
      <c r="D117" s="172"/>
      <c r="E117" s="172"/>
      <c r="F117" s="173"/>
      <c r="G117" s="172"/>
      <c r="H117" s="231"/>
      <c r="I117" s="172"/>
      <c r="J117" s="172"/>
      <c r="K117" s="172"/>
      <c r="L117" s="172"/>
      <c r="M117" s="131"/>
      <c r="N117" s="172"/>
      <c r="O117" s="172"/>
      <c r="P117" s="172"/>
      <c r="Q117" s="172"/>
      <c r="R117" s="172"/>
      <c r="S117" s="179"/>
      <c r="T117" s="229"/>
      <c r="U117" s="172"/>
      <c r="V117" s="172"/>
      <c r="W117" s="172"/>
      <c r="X117" s="172"/>
      <c r="Y117" s="172"/>
      <c r="Z117" s="172"/>
      <c r="AA117" s="172"/>
      <c r="AB117" s="172"/>
      <c r="AC117" s="172"/>
      <c r="AD117" s="172"/>
      <c r="AE117" s="172"/>
      <c r="AF117" s="172"/>
      <c r="AG117" s="172"/>
      <c r="AH117" s="172"/>
      <c r="AI117" s="172"/>
      <c r="AJ117" s="172"/>
      <c r="AK117" s="172"/>
      <c r="AL117" s="172"/>
      <c r="AM117" s="172"/>
      <c r="AN117" s="172"/>
      <c r="AO117" s="172"/>
      <c r="AP117" s="172"/>
      <c r="AQ117" s="172"/>
      <c r="AR117" s="172"/>
      <c r="AS117" s="172"/>
      <c r="AT117" s="172"/>
      <c r="AU117" s="172"/>
      <c r="AV117" s="172"/>
      <c r="AW117" s="172"/>
      <c r="AX117" s="172"/>
    </row>
    <row r="118" spans="1:50" s="171" customFormat="1" ht="30" customHeight="1" x14ac:dyDescent="0.25">
      <c r="A118" s="171">
        <v>90</v>
      </c>
      <c r="B118" s="172"/>
      <c r="C118" s="227"/>
      <c r="D118" s="172"/>
      <c r="E118" s="172"/>
      <c r="F118" s="173"/>
      <c r="G118" s="172"/>
      <c r="H118" s="231"/>
      <c r="I118" s="172"/>
      <c r="J118" s="172"/>
      <c r="K118" s="172"/>
      <c r="L118" s="172"/>
      <c r="M118" s="131"/>
      <c r="N118" s="172"/>
      <c r="O118" s="172"/>
      <c r="P118" s="172"/>
      <c r="Q118" s="172"/>
      <c r="R118" s="172"/>
      <c r="S118" s="179"/>
      <c r="T118" s="229"/>
      <c r="U118" s="172"/>
      <c r="V118" s="172"/>
      <c r="W118" s="172"/>
      <c r="X118" s="172"/>
      <c r="Y118" s="172"/>
      <c r="Z118" s="172"/>
      <c r="AA118" s="172"/>
      <c r="AB118" s="172"/>
      <c r="AC118" s="172"/>
      <c r="AD118" s="172"/>
      <c r="AE118" s="172"/>
      <c r="AF118" s="172"/>
      <c r="AG118" s="172"/>
      <c r="AH118" s="172"/>
      <c r="AI118" s="172"/>
      <c r="AJ118" s="172"/>
      <c r="AK118" s="172"/>
      <c r="AL118" s="172"/>
      <c r="AM118" s="172"/>
      <c r="AN118" s="172"/>
      <c r="AO118" s="172"/>
      <c r="AP118" s="172"/>
      <c r="AQ118" s="172"/>
      <c r="AR118" s="172"/>
      <c r="AS118" s="172"/>
      <c r="AT118" s="172"/>
      <c r="AU118" s="172"/>
      <c r="AV118" s="172"/>
      <c r="AW118" s="172"/>
      <c r="AX118" s="172"/>
    </row>
    <row r="119" spans="1:50" s="171" customFormat="1" ht="30" customHeight="1" x14ac:dyDescent="0.25">
      <c r="A119" s="171">
        <v>91</v>
      </c>
      <c r="B119" s="172"/>
      <c r="C119" s="227"/>
      <c r="D119" s="172"/>
      <c r="E119" s="172"/>
      <c r="F119" s="173"/>
      <c r="G119" s="172"/>
      <c r="H119" s="231"/>
      <c r="I119" s="172"/>
      <c r="J119" s="172"/>
      <c r="K119" s="172"/>
      <c r="L119" s="172"/>
      <c r="M119" s="131"/>
      <c r="N119" s="172"/>
      <c r="O119" s="172"/>
      <c r="P119" s="172"/>
      <c r="Q119" s="172"/>
      <c r="R119" s="172"/>
      <c r="S119" s="179"/>
      <c r="T119" s="229"/>
      <c r="U119" s="172"/>
      <c r="V119" s="172"/>
      <c r="W119" s="172"/>
      <c r="X119" s="172"/>
      <c r="Y119" s="172"/>
      <c r="Z119" s="172"/>
      <c r="AA119" s="172"/>
      <c r="AB119" s="172"/>
      <c r="AC119" s="172"/>
      <c r="AD119" s="172"/>
      <c r="AE119" s="172"/>
      <c r="AF119" s="172"/>
      <c r="AG119" s="172"/>
      <c r="AH119" s="172"/>
      <c r="AI119" s="172"/>
      <c r="AJ119" s="172"/>
      <c r="AK119" s="172"/>
      <c r="AL119" s="172"/>
      <c r="AM119" s="172"/>
      <c r="AN119" s="172"/>
      <c r="AO119" s="172"/>
      <c r="AP119" s="172"/>
      <c r="AQ119" s="172"/>
      <c r="AR119" s="172"/>
      <c r="AS119" s="172"/>
      <c r="AT119" s="172"/>
      <c r="AU119" s="172"/>
      <c r="AV119" s="172"/>
      <c r="AW119" s="172"/>
      <c r="AX119" s="172"/>
    </row>
    <row r="120" spans="1:50" s="171" customFormat="1" ht="30" customHeight="1" x14ac:dyDescent="0.25">
      <c r="A120" s="171">
        <v>92</v>
      </c>
      <c r="B120" s="172"/>
      <c r="C120" s="227"/>
      <c r="D120" s="172"/>
      <c r="E120" s="172"/>
      <c r="F120" s="173"/>
      <c r="G120" s="172"/>
      <c r="H120" s="231"/>
      <c r="I120" s="172"/>
      <c r="J120" s="172"/>
      <c r="K120" s="172"/>
      <c r="L120" s="172"/>
      <c r="M120" s="131"/>
      <c r="N120" s="172"/>
      <c r="O120" s="172"/>
      <c r="P120" s="172"/>
      <c r="Q120" s="172"/>
      <c r="R120" s="172"/>
      <c r="S120" s="179"/>
      <c r="T120" s="229"/>
      <c r="U120" s="172"/>
      <c r="V120" s="172"/>
      <c r="W120" s="172"/>
      <c r="X120" s="172"/>
      <c r="Y120" s="172"/>
      <c r="Z120" s="172"/>
      <c r="AA120" s="172"/>
      <c r="AB120" s="172"/>
      <c r="AC120" s="172"/>
      <c r="AD120" s="172"/>
      <c r="AE120" s="172"/>
      <c r="AF120" s="172"/>
      <c r="AG120" s="172"/>
      <c r="AH120" s="172"/>
      <c r="AI120" s="172"/>
      <c r="AJ120" s="172"/>
      <c r="AK120" s="172"/>
      <c r="AL120" s="172"/>
      <c r="AM120" s="172"/>
      <c r="AN120" s="172"/>
      <c r="AO120" s="172"/>
      <c r="AP120" s="172"/>
      <c r="AQ120" s="172"/>
      <c r="AR120" s="172"/>
      <c r="AS120" s="172"/>
      <c r="AT120" s="172"/>
      <c r="AU120" s="172"/>
      <c r="AV120" s="172"/>
      <c r="AW120" s="172"/>
      <c r="AX120" s="172"/>
    </row>
    <row r="121" spans="1:50" s="171" customFormat="1" ht="30" customHeight="1" x14ac:dyDescent="0.25">
      <c r="A121" s="171">
        <v>93</v>
      </c>
      <c r="B121" s="172"/>
      <c r="C121" s="227"/>
      <c r="D121" s="172"/>
      <c r="E121" s="172"/>
      <c r="F121" s="173"/>
      <c r="G121" s="172"/>
      <c r="H121" s="231"/>
      <c r="I121" s="172"/>
      <c r="J121" s="172"/>
      <c r="K121" s="172"/>
      <c r="L121" s="172"/>
      <c r="M121" s="131"/>
      <c r="N121" s="172"/>
      <c r="O121" s="172"/>
      <c r="P121" s="172"/>
      <c r="Q121" s="172"/>
      <c r="R121" s="172"/>
      <c r="S121" s="179"/>
      <c r="T121" s="229"/>
      <c r="U121" s="172"/>
      <c r="V121" s="172"/>
      <c r="W121" s="172"/>
      <c r="X121" s="172"/>
      <c r="Y121" s="172"/>
      <c r="Z121" s="172"/>
      <c r="AA121" s="172"/>
      <c r="AB121" s="172"/>
      <c r="AC121" s="172"/>
      <c r="AD121" s="172"/>
      <c r="AE121" s="172"/>
      <c r="AF121" s="172"/>
      <c r="AG121" s="172"/>
      <c r="AH121" s="172"/>
      <c r="AI121" s="172"/>
      <c r="AJ121" s="172"/>
      <c r="AK121" s="172"/>
      <c r="AL121" s="172"/>
      <c r="AM121" s="172"/>
      <c r="AN121" s="172"/>
      <c r="AO121" s="172"/>
      <c r="AP121" s="172"/>
      <c r="AQ121" s="172"/>
      <c r="AR121" s="172"/>
      <c r="AS121" s="172"/>
      <c r="AT121" s="172"/>
      <c r="AU121" s="172"/>
      <c r="AV121" s="172"/>
      <c r="AW121" s="172"/>
      <c r="AX121" s="172"/>
    </row>
    <row r="122" spans="1:50" s="171" customFormat="1" ht="30" customHeight="1" x14ac:dyDescent="0.25">
      <c r="A122" s="171">
        <v>131</v>
      </c>
      <c r="B122" s="172"/>
      <c r="C122" s="227"/>
      <c r="D122" s="172"/>
      <c r="E122" s="172"/>
      <c r="F122" s="173"/>
      <c r="G122" s="172"/>
      <c r="H122" s="231"/>
      <c r="I122" s="172"/>
      <c r="J122" s="172"/>
      <c r="K122" s="172"/>
      <c r="L122" s="172"/>
      <c r="M122" s="131"/>
      <c r="N122" s="172"/>
      <c r="O122" s="172"/>
      <c r="P122" s="172"/>
      <c r="Q122" s="172"/>
      <c r="R122" s="172"/>
      <c r="S122" s="172"/>
      <c r="T122" s="229"/>
      <c r="U122" s="172"/>
      <c r="V122" s="172"/>
      <c r="W122" s="172"/>
      <c r="X122" s="172"/>
      <c r="Y122" s="172"/>
      <c r="Z122" s="172"/>
      <c r="AA122" s="172"/>
      <c r="AB122" s="172"/>
      <c r="AC122" s="172"/>
      <c r="AD122" s="172"/>
      <c r="AE122" s="172"/>
      <c r="AF122" s="172"/>
      <c r="AG122" s="172"/>
      <c r="AH122" s="172"/>
      <c r="AI122" s="172"/>
      <c r="AJ122" s="172"/>
      <c r="AK122" s="172"/>
      <c r="AL122" s="172"/>
      <c r="AM122" s="172"/>
      <c r="AN122" s="172"/>
      <c r="AO122" s="172"/>
      <c r="AP122" s="172"/>
      <c r="AQ122" s="172"/>
      <c r="AR122" s="172"/>
      <c r="AS122" s="172"/>
      <c r="AT122" s="172"/>
      <c r="AU122" s="172"/>
      <c r="AV122" s="172"/>
      <c r="AW122" s="172"/>
      <c r="AX122" s="172"/>
    </row>
    <row r="123" spans="1:50" s="171" customFormat="1" ht="30" customHeight="1" x14ac:dyDescent="0.25">
      <c r="A123" s="171">
        <v>132</v>
      </c>
      <c r="B123" s="172"/>
      <c r="C123" s="227"/>
      <c r="D123" s="172"/>
      <c r="E123" s="172"/>
      <c r="F123" s="173"/>
      <c r="G123" s="172"/>
      <c r="H123" s="231"/>
      <c r="I123" s="172"/>
      <c r="J123" s="172"/>
      <c r="K123" s="172"/>
      <c r="L123" s="172"/>
      <c r="M123" s="131"/>
      <c r="N123" s="172"/>
      <c r="O123" s="172"/>
      <c r="P123" s="172"/>
      <c r="Q123" s="172"/>
      <c r="R123" s="172"/>
      <c r="S123" s="172"/>
      <c r="T123" s="229"/>
      <c r="U123" s="172"/>
      <c r="V123" s="172"/>
      <c r="W123" s="172"/>
      <c r="X123" s="172"/>
      <c r="Y123" s="172"/>
      <c r="Z123" s="172"/>
      <c r="AA123" s="172"/>
      <c r="AB123" s="172"/>
      <c r="AC123" s="172"/>
      <c r="AD123" s="172"/>
      <c r="AE123" s="172"/>
      <c r="AF123" s="172"/>
      <c r="AG123" s="172"/>
      <c r="AH123" s="172"/>
      <c r="AI123" s="172"/>
      <c r="AJ123" s="172"/>
      <c r="AK123" s="172"/>
      <c r="AL123" s="172"/>
      <c r="AM123" s="172"/>
      <c r="AN123" s="172"/>
      <c r="AO123" s="172"/>
      <c r="AP123" s="172"/>
      <c r="AQ123" s="172"/>
      <c r="AR123" s="172"/>
      <c r="AS123" s="172"/>
      <c r="AT123" s="172"/>
      <c r="AU123" s="172"/>
      <c r="AV123" s="172"/>
      <c r="AW123" s="172"/>
      <c r="AX123" s="172"/>
    </row>
  </sheetData>
  <autoFilter ref="A2:EM123" xr:uid="{063F1DC7-7F33-42C9-9B67-067C88FDFB69}">
    <filterColumn colId="24">
      <filters blank="1">
        <filter val="0.1%"/>
        <filter val="10 %"/>
        <filter val="100 %"/>
        <filter val="15 %"/>
        <filter val="2 %"/>
        <filter val="20 %"/>
        <filter val="25 %"/>
        <filter val="30 %"/>
        <filter val="5 %"/>
        <filter val="50 %"/>
        <filter val="70 %"/>
      </filters>
    </filterColumn>
  </autoFilter>
  <mergeCells count="4">
    <mergeCell ref="Y1:AX1"/>
    <mergeCell ref="J1:T1"/>
    <mergeCell ref="B1:I1"/>
    <mergeCell ref="U1:X1"/>
  </mergeCells>
  <phoneticPr fontId="0" type="noConversion"/>
  <conditionalFormatting sqref="Y47:Y48 J44 Y31:Y33 Y41:Y42 J37:J38 Y27:Y29 J27:J33 Y51:Y53 J47:J53 J3:J8 Y3:Y8 J62:J68 Y62:Y68 Y11:Y13 J11:J13 J85:J92 Y85:Y92 Y94:Y95 J94:J110 J41:J42">
    <cfRule type="cellIs" dxfId="2047" priority="4415" stopIfTrue="1" operator="greaterThan">
      <formula>0.5</formula>
    </cfRule>
    <cfRule type="cellIs" dxfId="2046" priority="4416" stopIfTrue="1" operator="between">
      <formula>0.10001</formula>
      <formula>0.5</formula>
    </cfRule>
    <cfRule type="cellIs" dxfId="2045" priority="4417" stopIfTrue="1" operator="between">
      <formula>0.0100001</formula>
      <formula>0.1</formula>
    </cfRule>
    <cfRule type="cellIs" dxfId="2044" priority="4418" stopIfTrue="1" operator="between">
      <formula>0.000001</formula>
      <formula>0.01</formula>
    </cfRule>
  </conditionalFormatting>
  <conditionalFormatting sqref="AL37 AL27:AL33 AL47:AL53 AL3:AM6 T3:T8 AL85:AL92 T62:T68 AL62:AL67 T11:T20 AL11:AL13 T85:T92 T94:T113 T27:T38 T41:T44 AL41:AL42 AL7:AL8 AM75:AM114 AM7:AM22 T46:T53 AM46:AM67 AM39 AM27:AM37 AM69:AM70 AM41:AM44">
    <cfRule type="containsText" dxfId="2043" priority="2843" stopIfTrue="1" operator="containsText" text="High">
      <formula>NOT(ISERROR(SEARCH("High",T3)))</formula>
    </cfRule>
    <cfRule type="containsText" dxfId="2042" priority="2844" stopIfTrue="1" operator="containsText" text="Moderate">
      <formula>NOT(ISERROR(SEARCH("Moderate",T3)))</formula>
    </cfRule>
    <cfRule type="containsText" dxfId="2041" priority="2845" stopIfTrue="1" operator="containsText" text="Low">
      <formula>NOT(ISERROR(SEARCH("Low",T3)))</formula>
    </cfRule>
    <cfRule type="containsText" dxfId="2040" priority="2846" stopIfTrue="1" operator="containsText" text="Negligible">
      <formula>NOT(ISERROR(SEARCH("Negligible",T3)))</formula>
    </cfRule>
  </conditionalFormatting>
  <conditionalFormatting sqref="AL44">
    <cfRule type="containsText" dxfId="2039" priority="2839" stopIfTrue="1" operator="containsText" text="High">
      <formula>NOT(ISERROR(SEARCH("High",AL44)))</formula>
    </cfRule>
    <cfRule type="containsText" dxfId="2038" priority="2840" stopIfTrue="1" operator="containsText" text="Moderate">
      <formula>NOT(ISERROR(SEARCH("Moderate",AL44)))</formula>
    </cfRule>
    <cfRule type="containsText" dxfId="2037" priority="2841" stopIfTrue="1" operator="containsText" text="Low">
      <formula>NOT(ISERROR(SEARCH("Low",AL44)))</formula>
    </cfRule>
    <cfRule type="containsText" dxfId="2036" priority="2842" stopIfTrue="1" operator="containsText" text="Negligible">
      <formula>NOT(ISERROR(SEARCH("Negligible",AL44)))</formula>
    </cfRule>
  </conditionalFormatting>
  <conditionalFormatting sqref="R44:S44 R37:S38 AN37:AN38 R27:S33 AN27:AN33 R47:S53 AN47:AN53 R3:S8 AN3:AN8 AN85:AN92 AN62:AN67 R62:S68 AN11:AN13 R11:S13 R85:S92 S115:S121 R94:S113 AN94:AN95 AN41:AN42 R41:S42 AN69:AN70">
    <cfRule type="containsText" dxfId="2035" priority="2727" stopIfTrue="1" operator="containsText" text="High">
      <formula>NOT(ISERROR(SEARCH("High",R3)))</formula>
    </cfRule>
    <cfRule type="containsText" dxfId="2034" priority="2728" stopIfTrue="1" operator="containsText" text="Moderate">
      <formula>NOT(ISERROR(SEARCH("Moderate",R3)))</formula>
    </cfRule>
    <cfRule type="containsText" dxfId="2033" priority="2729" stopIfTrue="1" operator="containsText" text="Low">
      <formula>NOT(ISERROR(SEARCH("Low",R3)))</formula>
    </cfRule>
    <cfRule type="containsText" dxfId="2032" priority="2730" stopIfTrue="1" operator="containsText" text="Negligible">
      <formula>NOT(ISERROR(SEARCH("Negligible",R3)))</formula>
    </cfRule>
  </conditionalFormatting>
  <conditionalFormatting sqref="AH44 AH37 AH27:AH33 AH47:AH53 AH3:AH8 AH62:AH66 AH11:AH13 AH82:AH92 AH94:AH114 AH18:AH20 AH41:AH42">
    <cfRule type="expression" dxfId="2031" priority="2563">
      <formula>$AH3&gt;$N3</formula>
    </cfRule>
    <cfRule type="expression" dxfId="2030" priority="2564">
      <formula>$AH3=$N3</formula>
    </cfRule>
    <cfRule type="expression" dxfId="2029" priority="2565">
      <formula>$AH3&lt;$N3</formula>
    </cfRule>
  </conditionalFormatting>
  <conditionalFormatting sqref="AI44 AI37 AI27:AI33 AI47:AI53 AI3:AI8 AI62:AI66 AI11:AI13 AI82:AI92 AI94:AI114 AI18:AI20 AI41:AI42">
    <cfRule type="expression" dxfId="2028" priority="2557">
      <formula>$AI3&gt;$O3</formula>
    </cfRule>
    <cfRule type="expression" dxfId="2027" priority="2558">
      <formula>$AI3=$O3</formula>
    </cfRule>
    <cfRule type="expression" dxfId="2026" priority="2559">
      <formula>$AI3&lt;$O3</formula>
    </cfRule>
  </conditionalFormatting>
  <conditionalFormatting sqref="AJ44 AJ37 AJ27:AJ33 AJ47:AJ53 AJ3:AJ8 AJ62:AJ66 AJ11:AJ13 AJ82:AJ92 AJ94:AJ114 AJ18:AJ20 AJ41:AJ42">
    <cfRule type="expression" dxfId="2025" priority="2551">
      <formula>$AJ3&gt;$P3</formula>
    </cfRule>
    <cfRule type="expression" dxfId="2024" priority="2552">
      <formula>$AJ3=$P3</formula>
    </cfRule>
    <cfRule type="expression" dxfId="2023" priority="2553">
      <formula>$AJ3&lt;$P3</formula>
    </cfRule>
  </conditionalFormatting>
  <conditionalFormatting sqref="AK44 AK37 AK27:AK33 AK47:AK53 AK3:AK8 AK62:AK66 AK11:AK13 AK82:AK92 AK94:AK114 AK18:AK20 AK41:AK42">
    <cfRule type="expression" dxfId="2022" priority="2545">
      <formula>$AK3&gt;$Q3</formula>
    </cfRule>
    <cfRule type="expression" dxfId="2021" priority="2546">
      <formula>$AK3=$Q3</formula>
    </cfRule>
    <cfRule type="expression" dxfId="2020" priority="2547">
      <formula>$AK3&lt;$Q3</formula>
    </cfRule>
  </conditionalFormatting>
  <conditionalFormatting sqref="M44 M37:M38 M47:M53 M3:M8 M85:M92 M62:M68 M94:M95 M27:M33 M11:M20 M41:M42">
    <cfRule type="expression" dxfId="2019" priority="2528" stopIfTrue="1">
      <formula>$M3=""</formula>
    </cfRule>
  </conditionalFormatting>
  <conditionalFormatting sqref="AN44">
    <cfRule type="containsText" dxfId="2018" priority="2519" stopIfTrue="1" operator="containsText" text="High">
      <formula>NOT(ISERROR(SEARCH("High",AN44)))</formula>
    </cfRule>
    <cfRule type="containsText" dxfId="2017" priority="2520" stopIfTrue="1" operator="containsText" text="Moderate">
      <formula>NOT(ISERROR(SEARCH("Moderate",AN44)))</formula>
    </cfRule>
    <cfRule type="containsText" dxfId="2016" priority="2521" stopIfTrue="1" operator="containsText" text="Low">
      <formula>NOT(ISERROR(SEARCH("Low",AN44)))</formula>
    </cfRule>
    <cfRule type="containsText" dxfId="2015" priority="2522" stopIfTrue="1" operator="containsText" text="Negligible">
      <formula>NOT(ISERROR(SEARCH("Negligible",AN44)))</formula>
    </cfRule>
  </conditionalFormatting>
  <conditionalFormatting sqref="AC31:AC32 AC41:AC42 AC27:AC29 AC63:AC65 AC6:AC8 AC85:AC88 AC47:AC53 AC94:AC95 AC20">
    <cfRule type="expression" dxfId="2014" priority="2506">
      <formula>$AC6&lt;$AB6</formula>
    </cfRule>
    <cfRule type="expression" dxfId="2013" priority="2510">
      <formula>$AC6&gt;$M6</formula>
    </cfRule>
  </conditionalFormatting>
  <conditionalFormatting sqref="AD31:AD32 AD41:AD42 AD27:AD29 AD63:AD65 AD6:AD8 AD85:AD88 AD47:AD51 AD14 AD94:AD95 AD20 AD67:AD68">
    <cfRule type="expression" dxfId="2012" priority="2508">
      <formula>$AD6&lt;$AC6</formula>
    </cfRule>
  </conditionalFormatting>
  <conditionalFormatting sqref="J14:J17 Y14:Y16">
    <cfRule type="cellIs" dxfId="2011" priority="2480" stopIfTrue="1" operator="greaterThan">
      <formula>0.5</formula>
    </cfRule>
    <cfRule type="cellIs" dxfId="2010" priority="2481" stopIfTrue="1" operator="between">
      <formula>0.10001</formula>
      <formula>0.5</formula>
    </cfRule>
    <cfRule type="cellIs" dxfId="2009" priority="2482" stopIfTrue="1" operator="between">
      <formula>0.0100001</formula>
      <formula>0.1</formula>
    </cfRule>
    <cfRule type="cellIs" dxfId="2008" priority="2483" stopIfTrue="1" operator="between">
      <formula>0.000001</formula>
      <formula>0.01</formula>
    </cfRule>
  </conditionalFormatting>
  <conditionalFormatting sqref="T14:T17">
    <cfRule type="containsText" dxfId="2007" priority="2476" stopIfTrue="1" operator="containsText" text="High">
      <formula>NOT(ISERROR(SEARCH("High",T14)))</formula>
    </cfRule>
    <cfRule type="containsText" dxfId="2006" priority="2477" stopIfTrue="1" operator="containsText" text="Moderate">
      <formula>NOT(ISERROR(SEARCH("Moderate",T14)))</formula>
    </cfRule>
    <cfRule type="containsText" dxfId="2005" priority="2478" stopIfTrue="1" operator="containsText" text="Low">
      <formula>NOT(ISERROR(SEARCH("Low",T14)))</formula>
    </cfRule>
    <cfRule type="containsText" dxfId="2004" priority="2479" stopIfTrue="1" operator="containsText" text="Negligible">
      <formula>NOT(ISERROR(SEARCH("Negligible",T14)))</formula>
    </cfRule>
  </conditionalFormatting>
  <conditionalFormatting sqref="AL14:AL17">
    <cfRule type="containsText" dxfId="2003" priority="2472" stopIfTrue="1" operator="containsText" text="High">
      <formula>NOT(ISERROR(SEARCH("High",AL14)))</formula>
    </cfRule>
    <cfRule type="containsText" dxfId="2002" priority="2473" stopIfTrue="1" operator="containsText" text="Moderate">
      <formula>NOT(ISERROR(SEARCH("Moderate",AL14)))</formula>
    </cfRule>
    <cfRule type="containsText" dxfId="2001" priority="2474" stopIfTrue="1" operator="containsText" text="Low">
      <formula>NOT(ISERROR(SEARCH("Low",AL14)))</formula>
    </cfRule>
    <cfRule type="containsText" dxfId="2000" priority="2475" stopIfTrue="1" operator="containsText" text="Negligible">
      <formula>NOT(ISERROR(SEARCH("Negligible",AL14)))</formula>
    </cfRule>
  </conditionalFormatting>
  <conditionalFormatting sqref="R14:S17">
    <cfRule type="containsText" dxfId="1999" priority="2468" stopIfTrue="1" operator="containsText" text="High">
      <formula>NOT(ISERROR(SEARCH("High",R14)))</formula>
    </cfRule>
    <cfRule type="containsText" dxfId="1998" priority="2469" stopIfTrue="1" operator="containsText" text="Moderate">
      <formula>NOT(ISERROR(SEARCH("Moderate",R14)))</formula>
    </cfRule>
    <cfRule type="containsText" dxfId="1997" priority="2470" stopIfTrue="1" operator="containsText" text="Low">
      <formula>NOT(ISERROR(SEARCH("Low",R14)))</formula>
    </cfRule>
    <cfRule type="containsText" dxfId="1996" priority="2471" stopIfTrue="1" operator="containsText" text="Negligible">
      <formula>NOT(ISERROR(SEARCH("Negligible",R14)))</formula>
    </cfRule>
  </conditionalFormatting>
  <conditionalFormatting sqref="AH14:AH17">
    <cfRule type="expression" dxfId="1995" priority="2457">
      <formula>$AH14&gt;$N14</formula>
    </cfRule>
    <cfRule type="expression" dxfId="1994" priority="2458">
      <formula>$AH14=$N14</formula>
    </cfRule>
    <cfRule type="expression" dxfId="1993" priority="2459">
      <formula>$AH14&lt;$N14</formula>
    </cfRule>
  </conditionalFormatting>
  <conditionalFormatting sqref="AI14:AI17">
    <cfRule type="expression" dxfId="1992" priority="2454">
      <formula>$AI14&gt;$O14</formula>
    </cfRule>
    <cfRule type="expression" dxfId="1991" priority="2455">
      <formula>$AI14=$O14</formula>
    </cfRule>
    <cfRule type="expression" dxfId="1990" priority="2456">
      <formula>$AI14&lt;$O14</formula>
    </cfRule>
  </conditionalFormatting>
  <conditionalFormatting sqref="AJ14:AJ17">
    <cfRule type="expression" dxfId="1989" priority="2451">
      <formula>$AJ14&gt;$P14</formula>
    </cfRule>
    <cfRule type="expression" dxfId="1988" priority="2452">
      <formula>$AJ14=$P14</formula>
    </cfRule>
    <cfRule type="expression" dxfId="1987" priority="2453">
      <formula>$AJ14&lt;$P14</formula>
    </cfRule>
  </conditionalFormatting>
  <conditionalFormatting sqref="AK14:AK17">
    <cfRule type="expression" dxfId="1986" priority="2448">
      <formula>$AK14&gt;$Q14</formula>
    </cfRule>
    <cfRule type="expression" dxfId="1985" priority="2449">
      <formula>$AK14=$Q14</formula>
    </cfRule>
    <cfRule type="expression" dxfId="1984" priority="2450">
      <formula>$AK14&lt;$Q14</formula>
    </cfRule>
  </conditionalFormatting>
  <conditionalFormatting sqref="M14:M17">
    <cfRule type="expression" dxfId="1983" priority="2443" stopIfTrue="1">
      <formula>$M14=""</formula>
    </cfRule>
  </conditionalFormatting>
  <conditionalFormatting sqref="AN14:AN17">
    <cfRule type="containsText" dxfId="1982" priority="2439" stopIfTrue="1" operator="containsText" text="High">
      <formula>NOT(ISERROR(SEARCH("High",AN14)))</formula>
    </cfRule>
    <cfRule type="containsText" dxfId="1981" priority="2440" stopIfTrue="1" operator="containsText" text="Moderate">
      <formula>NOT(ISERROR(SEARCH("Moderate",AN14)))</formula>
    </cfRule>
    <cfRule type="containsText" dxfId="1980" priority="2441" stopIfTrue="1" operator="containsText" text="Low">
      <formula>NOT(ISERROR(SEARCH("Low",AN14)))</formula>
    </cfRule>
    <cfRule type="containsText" dxfId="1979" priority="2442" stopIfTrue="1" operator="containsText" text="Negligible">
      <formula>NOT(ISERROR(SEARCH("Negligible",AN14)))</formula>
    </cfRule>
  </conditionalFormatting>
  <conditionalFormatting sqref="AC15:AC16">
    <cfRule type="expression" dxfId="1978" priority="2436">
      <formula>$AC15&lt;$AB15</formula>
    </cfRule>
    <cfRule type="expression" dxfId="1977" priority="2438">
      <formula>$AC15&gt;$M15</formula>
    </cfRule>
  </conditionalFormatting>
  <conditionalFormatting sqref="AD15:AD16">
    <cfRule type="expression" dxfId="1976" priority="2437">
      <formula>$AD15&lt;$AC15</formula>
    </cfRule>
  </conditionalFormatting>
  <conditionalFormatting sqref="J18:J20">
    <cfRule type="cellIs" dxfId="1975" priority="2432" stopIfTrue="1" operator="greaterThan">
      <formula>0.5</formula>
    </cfRule>
    <cfRule type="cellIs" dxfId="1974" priority="2433" stopIfTrue="1" operator="between">
      <formula>0.10001</formula>
      <formula>0.5</formula>
    </cfRule>
    <cfRule type="cellIs" dxfId="1973" priority="2434" stopIfTrue="1" operator="between">
      <formula>0.0100001</formula>
      <formula>0.1</formula>
    </cfRule>
    <cfRule type="cellIs" dxfId="1972" priority="2435" stopIfTrue="1" operator="between">
      <formula>0.000001</formula>
      <formula>0.01</formula>
    </cfRule>
  </conditionalFormatting>
  <conditionalFormatting sqref="T18:T20">
    <cfRule type="containsText" dxfId="1971" priority="2428" stopIfTrue="1" operator="containsText" text="High">
      <formula>NOT(ISERROR(SEARCH("High",T18)))</formula>
    </cfRule>
    <cfRule type="containsText" dxfId="1970" priority="2429" stopIfTrue="1" operator="containsText" text="Moderate">
      <formula>NOT(ISERROR(SEARCH("Moderate",T18)))</formula>
    </cfRule>
    <cfRule type="containsText" dxfId="1969" priority="2430" stopIfTrue="1" operator="containsText" text="Low">
      <formula>NOT(ISERROR(SEARCH("Low",T18)))</formula>
    </cfRule>
    <cfRule type="containsText" dxfId="1968" priority="2431" stopIfTrue="1" operator="containsText" text="Negligible">
      <formula>NOT(ISERROR(SEARCH("Negligible",T18)))</formula>
    </cfRule>
  </conditionalFormatting>
  <conditionalFormatting sqref="AL18:AL20">
    <cfRule type="containsText" dxfId="1967" priority="2424" stopIfTrue="1" operator="containsText" text="High">
      <formula>NOT(ISERROR(SEARCH("High",AL18)))</formula>
    </cfRule>
    <cfRule type="containsText" dxfId="1966" priority="2425" stopIfTrue="1" operator="containsText" text="Moderate">
      <formula>NOT(ISERROR(SEARCH("Moderate",AL18)))</formula>
    </cfRule>
    <cfRule type="containsText" dxfId="1965" priority="2426" stopIfTrue="1" operator="containsText" text="Low">
      <formula>NOT(ISERROR(SEARCH("Low",AL18)))</formula>
    </cfRule>
    <cfRule type="containsText" dxfId="1964" priority="2427" stopIfTrue="1" operator="containsText" text="Negligible">
      <formula>NOT(ISERROR(SEARCH("Negligible",AL18)))</formula>
    </cfRule>
  </conditionalFormatting>
  <conditionalFormatting sqref="R18:S20">
    <cfRule type="containsText" dxfId="1963" priority="2420" stopIfTrue="1" operator="containsText" text="High">
      <formula>NOT(ISERROR(SEARCH("High",R18)))</formula>
    </cfRule>
    <cfRule type="containsText" dxfId="1962" priority="2421" stopIfTrue="1" operator="containsText" text="Moderate">
      <formula>NOT(ISERROR(SEARCH("Moderate",R18)))</formula>
    </cfRule>
    <cfRule type="containsText" dxfId="1961" priority="2422" stopIfTrue="1" operator="containsText" text="Low">
      <formula>NOT(ISERROR(SEARCH("Low",R18)))</formula>
    </cfRule>
    <cfRule type="containsText" dxfId="1960" priority="2423" stopIfTrue="1" operator="containsText" text="Negligible">
      <formula>NOT(ISERROR(SEARCH("Negligible",R18)))</formula>
    </cfRule>
  </conditionalFormatting>
  <conditionalFormatting sqref="AN18:AN20">
    <cfRule type="containsText" dxfId="1959" priority="2391" stopIfTrue="1" operator="containsText" text="High">
      <formula>NOT(ISERROR(SEARCH("High",AN18)))</formula>
    </cfRule>
    <cfRule type="containsText" dxfId="1958" priority="2392" stopIfTrue="1" operator="containsText" text="Moderate">
      <formula>NOT(ISERROR(SEARCH("Moderate",AN18)))</formula>
    </cfRule>
    <cfRule type="containsText" dxfId="1957" priority="2393" stopIfTrue="1" operator="containsText" text="Low">
      <formula>NOT(ISERROR(SEARCH("Low",AN18)))</formula>
    </cfRule>
    <cfRule type="containsText" dxfId="1956" priority="2394" stopIfTrue="1" operator="containsText" text="Negligible">
      <formula>NOT(ISERROR(SEARCH("Negligible",AN18)))</formula>
    </cfRule>
  </conditionalFormatting>
  <conditionalFormatting sqref="J46 Y46">
    <cfRule type="cellIs" dxfId="1955" priority="2284" stopIfTrue="1" operator="greaterThan">
      <formula>0.5</formula>
    </cfRule>
    <cfRule type="cellIs" dxfId="1954" priority="2285" stopIfTrue="1" operator="between">
      <formula>0.10001</formula>
      <formula>0.5</formula>
    </cfRule>
    <cfRule type="cellIs" dxfId="1953" priority="2286" stopIfTrue="1" operator="between">
      <formula>0.0100001</formula>
      <formula>0.1</formula>
    </cfRule>
    <cfRule type="cellIs" dxfId="1952" priority="2287" stopIfTrue="1" operator="between">
      <formula>0.000001</formula>
      <formula>0.01</formula>
    </cfRule>
  </conditionalFormatting>
  <conditionalFormatting sqref="T46">
    <cfRule type="containsText" dxfId="1951" priority="2280" stopIfTrue="1" operator="containsText" text="High">
      <formula>NOT(ISERROR(SEARCH("High",T46)))</formula>
    </cfRule>
    <cfRule type="containsText" dxfId="1950" priority="2281" stopIfTrue="1" operator="containsText" text="Moderate">
      <formula>NOT(ISERROR(SEARCH("Moderate",T46)))</formula>
    </cfRule>
    <cfRule type="containsText" dxfId="1949" priority="2282" stopIfTrue="1" operator="containsText" text="Low">
      <formula>NOT(ISERROR(SEARCH("Low",T46)))</formula>
    </cfRule>
    <cfRule type="containsText" dxfId="1948" priority="2283" stopIfTrue="1" operator="containsText" text="Negligible">
      <formula>NOT(ISERROR(SEARCH("Negligible",T46)))</formula>
    </cfRule>
  </conditionalFormatting>
  <conditionalFormatting sqref="AL46">
    <cfRule type="containsText" dxfId="1947" priority="2276" stopIfTrue="1" operator="containsText" text="High">
      <formula>NOT(ISERROR(SEARCH("High",AL46)))</formula>
    </cfRule>
    <cfRule type="containsText" dxfId="1946" priority="2277" stopIfTrue="1" operator="containsText" text="Moderate">
      <formula>NOT(ISERROR(SEARCH("Moderate",AL46)))</formula>
    </cfRule>
    <cfRule type="containsText" dxfId="1945" priority="2278" stopIfTrue="1" operator="containsText" text="Low">
      <formula>NOT(ISERROR(SEARCH("Low",AL46)))</formula>
    </cfRule>
    <cfRule type="containsText" dxfId="1944" priority="2279" stopIfTrue="1" operator="containsText" text="Negligible">
      <formula>NOT(ISERROR(SEARCH("Negligible",AL46)))</formula>
    </cfRule>
  </conditionalFormatting>
  <conditionalFormatting sqref="R46:S46">
    <cfRule type="containsText" dxfId="1943" priority="2272" stopIfTrue="1" operator="containsText" text="High">
      <formula>NOT(ISERROR(SEARCH("High",R46)))</formula>
    </cfRule>
    <cfRule type="containsText" dxfId="1942" priority="2273" stopIfTrue="1" operator="containsText" text="Moderate">
      <formula>NOT(ISERROR(SEARCH("Moderate",R46)))</formula>
    </cfRule>
    <cfRule type="containsText" dxfId="1941" priority="2274" stopIfTrue="1" operator="containsText" text="Low">
      <formula>NOT(ISERROR(SEARCH("Low",R46)))</formula>
    </cfRule>
    <cfRule type="containsText" dxfId="1940" priority="2275" stopIfTrue="1" operator="containsText" text="Negligible">
      <formula>NOT(ISERROR(SEARCH("Negligible",R46)))</formula>
    </cfRule>
  </conditionalFormatting>
  <conditionalFormatting sqref="AH46">
    <cfRule type="expression" dxfId="1939" priority="2261">
      <formula>$AH46&gt;$N46</formula>
    </cfRule>
    <cfRule type="expression" dxfId="1938" priority="2262">
      <formula>$AH46=$N46</formula>
    </cfRule>
    <cfRule type="expression" dxfId="1937" priority="2263">
      <formula>$AH46&lt;$N46</formula>
    </cfRule>
  </conditionalFormatting>
  <conditionalFormatting sqref="AI46">
    <cfRule type="expression" dxfId="1936" priority="2258">
      <formula>$AI46&gt;$O46</formula>
    </cfRule>
    <cfRule type="expression" dxfId="1935" priority="2259">
      <formula>$AI46=$O46</formula>
    </cfRule>
    <cfRule type="expression" dxfId="1934" priority="2260">
      <formula>$AI46&lt;$O46</formula>
    </cfRule>
  </conditionalFormatting>
  <conditionalFormatting sqref="AJ46">
    <cfRule type="expression" dxfId="1933" priority="2255">
      <formula>$AJ46&gt;$P46</formula>
    </cfRule>
    <cfRule type="expression" dxfId="1932" priority="2256">
      <formula>$AJ46=$P46</formula>
    </cfRule>
    <cfRule type="expression" dxfId="1931" priority="2257">
      <formula>$AJ46&lt;$P46</formula>
    </cfRule>
  </conditionalFormatting>
  <conditionalFormatting sqref="AK46">
    <cfRule type="expression" dxfId="1930" priority="2252">
      <formula>$AK46&gt;$Q46</formula>
    </cfRule>
    <cfRule type="expression" dxfId="1929" priority="2253">
      <formula>$AK46=$Q46</formula>
    </cfRule>
    <cfRule type="expression" dxfId="1928" priority="2254">
      <formula>$AK46&lt;$Q46</formula>
    </cfRule>
  </conditionalFormatting>
  <conditionalFormatting sqref="M46">
    <cfRule type="expression" dxfId="1927" priority="2247" stopIfTrue="1">
      <formula>$M46=""</formula>
    </cfRule>
  </conditionalFormatting>
  <conditionalFormatting sqref="AN46">
    <cfRule type="containsText" dxfId="1926" priority="2243" stopIfTrue="1" operator="containsText" text="High">
      <formula>NOT(ISERROR(SEARCH("High",AN46)))</formula>
    </cfRule>
    <cfRule type="containsText" dxfId="1925" priority="2244" stopIfTrue="1" operator="containsText" text="Moderate">
      <formula>NOT(ISERROR(SEARCH("Moderate",AN46)))</formula>
    </cfRule>
    <cfRule type="containsText" dxfId="1924" priority="2245" stopIfTrue="1" operator="containsText" text="Low">
      <formula>NOT(ISERROR(SEARCH("Low",AN46)))</formula>
    </cfRule>
    <cfRule type="containsText" dxfId="1923" priority="2246" stopIfTrue="1" operator="containsText" text="Negligible">
      <formula>NOT(ISERROR(SEARCH("Negligible",AN46)))</formula>
    </cfRule>
  </conditionalFormatting>
  <conditionalFormatting sqref="AC46">
    <cfRule type="expression" dxfId="1922" priority="2240">
      <formula>$AC46&lt;$AB46</formula>
    </cfRule>
    <cfRule type="expression" dxfId="1921" priority="2242">
      <formula>$AC46&gt;$M46</formula>
    </cfRule>
  </conditionalFormatting>
  <conditionalFormatting sqref="AD46">
    <cfRule type="expression" dxfId="1920" priority="2241">
      <formula>$AD46&lt;$AC46</formula>
    </cfRule>
  </conditionalFormatting>
  <conditionalFormatting sqref="AC3:AC4">
    <cfRule type="expression" dxfId="1919" priority="2237">
      <formula>$AC3&lt;$AB3</formula>
    </cfRule>
    <cfRule type="expression" dxfId="1918" priority="2239">
      <formula>$AC3&gt;$M3</formula>
    </cfRule>
  </conditionalFormatting>
  <conditionalFormatting sqref="AD3:AD4">
    <cfRule type="expression" dxfId="1917" priority="2238">
      <formula>$AD3&lt;$AC3</formula>
    </cfRule>
  </conditionalFormatting>
  <conditionalFormatting sqref="AC11:AC14">
    <cfRule type="expression" dxfId="1916" priority="2234">
      <formula>$AC11&lt;$AB11</formula>
    </cfRule>
    <cfRule type="expression" dxfId="1915" priority="2236">
      <formula>$AC11&gt;$M11</formula>
    </cfRule>
  </conditionalFormatting>
  <conditionalFormatting sqref="AD11:AD12">
    <cfRule type="expression" dxfId="1914" priority="2235">
      <formula>$AD11&lt;$AC11</formula>
    </cfRule>
  </conditionalFormatting>
  <conditionalFormatting sqref="J43 Y43">
    <cfRule type="cellIs" dxfId="1913" priority="2230" stopIfTrue="1" operator="greaterThan">
      <formula>0.5</formula>
    </cfRule>
    <cfRule type="cellIs" dxfId="1912" priority="2231" stopIfTrue="1" operator="between">
      <formula>0.10001</formula>
      <formula>0.5</formula>
    </cfRule>
    <cfRule type="cellIs" dxfId="1911" priority="2232" stopIfTrue="1" operator="between">
      <formula>0.0100001</formula>
      <formula>0.1</formula>
    </cfRule>
    <cfRule type="cellIs" dxfId="1910" priority="2233" stopIfTrue="1" operator="between">
      <formula>0.000001</formula>
      <formula>0.01</formula>
    </cfRule>
  </conditionalFormatting>
  <conditionalFormatting sqref="T43">
    <cfRule type="containsText" dxfId="1909" priority="2226" stopIfTrue="1" operator="containsText" text="High">
      <formula>NOT(ISERROR(SEARCH("High",T43)))</formula>
    </cfRule>
    <cfRule type="containsText" dxfId="1908" priority="2227" stopIfTrue="1" operator="containsText" text="Moderate">
      <formula>NOT(ISERROR(SEARCH("Moderate",T43)))</formula>
    </cfRule>
    <cfRule type="containsText" dxfId="1907" priority="2228" stopIfTrue="1" operator="containsText" text="Low">
      <formula>NOT(ISERROR(SEARCH("Low",T43)))</formula>
    </cfRule>
    <cfRule type="containsText" dxfId="1906" priority="2229" stopIfTrue="1" operator="containsText" text="Negligible">
      <formula>NOT(ISERROR(SEARCH("Negligible",T43)))</formula>
    </cfRule>
  </conditionalFormatting>
  <conditionalFormatting sqref="AL43">
    <cfRule type="containsText" dxfId="1905" priority="2222" stopIfTrue="1" operator="containsText" text="High">
      <formula>NOT(ISERROR(SEARCH("High",AL43)))</formula>
    </cfRule>
    <cfRule type="containsText" dxfId="1904" priority="2223" stopIfTrue="1" operator="containsText" text="Moderate">
      <formula>NOT(ISERROR(SEARCH("Moderate",AL43)))</formula>
    </cfRule>
    <cfRule type="containsText" dxfId="1903" priority="2224" stopIfTrue="1" operator="containsText" text="Low">
      <formula>NOT(ISERROR(SEARCH("Low",AL43)))</formula>
    </cfRule>
    <cfRule type="containsText" dxfId="1902" priority="2225" stopIfTrue="1" operator="containsText" text="Negligible">
      <formula>NOT(ISERROR(SEARCH("Negligible",AL43)))</formula>
    </cfRule>
  </conditionalFormatting>
  <conditionalFormatting sqref="R43:S43">
    <cfRule type="containsText" dxfId="1901" priority="2218" stopIfTrue="1" operator="containsText" text="High">
      <formula>NOT(ISERROR(SEARCH("High",R43)))</formula>
    </cfRule>
    <cfRule type="containsText" dxfId="1900" priority="2219" stopIfTrue="1" operator="containsText" text="Moderate">
      <formula>NOT(ISERROR(SEARCH("Moderate",R43)))</formula>
    </cfRule>
    <cfRule type="containsText" dxfId="1899" priority="2220" stopIfTrue="1" operator="containsText" text="Low">
      <formula>NOT(ISERROR(SEARCH("Low",R43)))</formula>
    </cfRule>
    <cfRule type="containsText" dxfId="1898" priority="2221" stopIfTrue="1" operator="containsText" text="Negligible">
      <formula>NOT(ISERROR(SEARCH("Negligible",R43)))</formula>
    </cfRule>
  </conditionalFormatting>
  <conditionalFormatting sqref="AH43">
    <cfRule type="expression" dxfId="1897" priority="2207">
      <formula>$AH43&gt;$N43</formula>
    </cfRule>
    <cfRule type="expression" dxfId="1896" priority="2208">
      <formula>$AH43=$N43</formula>
    </cfRule>
    <cfRule type="expression" dxfId="1895" priority="2209">
      <formula>$AH43&lt;$N43</formula>
    </cfRule>
  </conditionalFormatting>
  <conditionalFormatting sqref="AI43">
    <cfRule type="expression" dxfId="1894" priority="2204">
      <formula>$AI43&gt;$O43</formula>
    </cfRule>
    <cfRule type="expression" dxfId="1893" priority="2205">
      <formula>$AI43=$O43</formula>
    </cfRule>
    <cfRule type="expression" dxfId="1892" priority="2206">
      <formula>$AI43&lt;$O43</formula>
    </cfRule>
  </conditionalFormatting>
  <conditionalFormatting sqref="AJ43">
    <cfRule type="expression" dxfId="1891" priority="2201">
      <formula>$AJ43&gt;$P43</formula>
    </cfRule>
    <cfRule type="expression" dxfId="1890" priority="2202">
      <formula>$AJ43=$P43</formula>
    </cfRule>
    <cfRule type="expression" dxfId="1889" priority="2203">
      <formula>$AJ43&lt;$P43</formula>
    </cfRule>
  </conditionalFormatting>
  <conditionalFormatting sqref="AK43">
    <cfRule type="expression" dxfId="1888" priority="2198">
      <formula>$AK43&gt;$Q43</formula>
    </cfRule>
    <cfRule type="expression" dxfId="1887" priority="2199">
      <formula>$AK43=$Q43</formula>
    </cfRule>
    <cfRule type="expression" dxfId="1886" priority="2200">
      <formula>$AK43&lt;$Q43</formula>
    </cfRule>
  </conditionalFormatting>
  <conditionalFormatting sqref="M43">
    <cfRule type="expression" dxfId="1885" priority="2193" stopIfTrue="1">
      <formula>$M43=""</formula>
    </cfRule>
  </conditionalFormatting>
  <conditionalFormatting sqref="AN43">
    <cfRule type="containsText" dxfId="1884" priority="2189" stopIfTrue="1" operator="containsText" text="High">
      <formula>NOT(ISERROR(SEARCH("High",AN43)))</formula>
    </cfRule>
    <cfRule type="containsText" dxfId="1883" priority="2190" stopIfTrue="1" operator="containsText" text="Moderate">
      <formula>NOT(ISERROR(SEARCH("Moderate",AN43)))</formula>
    </cfRule>
    <cfRule type="containsText" dxfId="1882" priority="2191" stopIfTrue="1" operator="containsText" text="Low">
      <formula>NOT(ISERROR(SEARCH("Low",AN43)))</formula>
    </cfRule>
    <cfRule type="containsText" dxfId="1881" priority="2192" stopIfTrue="1" operator="containsText" text="Negligible">
      <formula>NOT(ISERROR(SEARCH("Negligible",AN43)))</formula>
    </cfRule>
  </conditionalFormatting>
  <conditionalFormatting sqref="Y17:Y19">
    <cfRule type="cellIs" dxfId="1880" priority="2182" stopIfTrue="1" operator="greaterThan">
      <formula>0.5</formula>
    </cfRule>
    <cfRule type="cellIs" dxfId="1879" priority="2183" stopIfTrue="1" operator="between">
      <formula>0.10001</formula>
      <formula>0.5</formula>
    </cfRule>
    <cfRule type="cellIs" dxfId="1878" priority="2184" stopIfTrue="1" operator="between">
      <formula>0.0100001</formula>
      <formula>0.1</formula>
    </cfRule>
    <cfRule type="cellIs" dxfId="1877" priority="2185" stopIfTrue="1" operator="between">
      <formula>0.000001</formula>
      <formula>0.01</formula>
    </cfRule>
  </conditionalFormatting>
  <conditionalFormatting sqref="AC17:AC19">
    <cfRule type="expression" dxfId="1876" priority="2175">
      <formula>$AC17&lt;$AB17</formula>
    </cfRule>
    <cfRule type="expression" dxfId="1875" priority="2177">
      <formula>$AC17&gt;$M17</formula>
    </cfRule>
  </conditionalFormatting>
  <conditionalFormatting sqref="AD17:AD19">
    <cfRule type="expression" dxfId="1874" priority="2176">
      <formula>$AD17&lt;$AC17</formula>
    </cfRule>
  </conditionalFormatting>
  <conditionalFormatting sqref="Y20">
    <cfRule type="cellIs" dxfId="1873" priority="2171" stopIfTrue="1" operator="greaterThan">
      <formula>0.5</formula>
    </cfRule>
    <cfRule type="cellIs" dxfId="1872" priority="2172" stopIfTrue="1" operator="between">
      <formula>0.10001</formula>
      <formula>0.5</formula>
    </cfRule>
    <cfRule type="cellIs" dxfId="1871" priority="2173" stopIfTrue="1" operator="between">
      <formula>0.0100001</formula>
      <formula>0.1</formula>
    </cfRule>
    <cfRule type="cellIs" dxfId="1870" priority="2174" stopIfTrue="1" operator="between">
      <formula>0.000001</formula>
      <formula>0.01</formula>
    </cfRule>
  </conditionalFormatting>
  <conditionalFormatting sqref="Y30">
    <cfRule type="cellIs" dxfId="1869" priority="2160" stopIfTrue="1" operator="greaterThan">
      <formula>0.5</formula>
    </cfRule>
    <cfRule type="cellIs" dxfId="1868" priority="2161" stopIfTrue="1" operator="between">
      <formula>0.10001</formula>
      <formula>0.5</formula>
    </cfRule>
    <cfRule type="cellIs" dxfId="1867" priority="2162" stopIfTrue="1" operator="between">
      <formula>0.0100001</formula>
      <formula>0.1</formula>
    </cfRule>
    <cfRule type="cellIs" dxfId="1866" priority="2163" stopIfTrue="1" operator="between">
      <formula>0.000001</formula>
      <formula>0.01</formula>
    </cfRule>
  </conditionalFormatting>
  <conditionalFormatting sqref="AC30">
    <cfRule type="expression" dxfId="1865" priority="2153">
      <formula>$AC30&lt;$AB30</formula>
    </cfRule>
    <cfRule type="expression" dxfId="1864" priority="2155">
      <formula>$AC30&gt;$M30</formula>
    </cfRule>
  </conditionalFormatting>
  <conditionalFormatting sqref="AD30">
    <cfRule type="expression" dxfId="1863" priority="2154">
      <formula>$AD30&lt;$AC30</formula>
    </cfRule>
  </conditionalFormatting>
  <conditionalFormatting sqref="Y49">
    <cfRule type="cellIs" dxfId="1862" priority="2149" stopIfTrue="1" operator="greaterThan">
      <formula>0.5</formula>
    </cfRule>
    <cfRule type="cellIs" dxfId="1861" priority="2150" stopIfTrue="1" operator="between">
      <formula>0.10001</formula>
      <formula>0.5</formula>
    </cfRule>
    <cfRule type="cellIs" dxfId="1860" priority="2151" stopIfTrue="1" operator="between">
      <formula>0.0100001</formula>
      <formula>0.1</formula>
    </cfRule>
    <cfRule type="cellIs" dxfId="1859" priority="2152" stopIfTrue="1" operator="between">
      <formula>0.000001</formula>
      <formula>0.01</formula>
    </cfRule>
  </conditionalFormatting>
  <conditionalFormatting sqref="Y50">
    <cfRule type="cellIs" dxfId="1858" priority="2138" stopIfTrue="1" operator="greaterThan">
      <formula>0.5</formula>
    </cfRule>
    <cfRule type="cellIs" dxfId="1857" priority="2139" stopIfTrue="1" operator="between">
      <formula>0.10001</formula>
      <formula>0.5</formula>
    </cfRule>
    <cfRule type="cellIs" dxfId="1856" priority="2140" stopIfTrue="1" operator="between">
      <formula>0.0100001</formula>
      <formula>0.1</formula>
    </cfRule>
    <cfRule type="cellIs" dxfId="1855" priority="2141" stopIfTrue="1" operator="between">
      <formula>0.000001</formula>
      <formula>0.01</formula>
    </cfRule>
  </conditionalFormatting>
  <conditionalFormatting sqref="AD53">
    <cfRule type="expression" dxfId="1854" priority="2130">
      <formula>$AD53&lt;$AC53</formula>
    </cfRule>
  </conditionalFormatting>
  <conditionalFormatting sqref="AD52:AG52">
    <cfRule type="expression" dxfId="1853" priority="2129">
      <formula>$AD52&lt;$AC52</formula>
    </cfRule>
  </conditionalFormatting>
  <conditionalFormatting sqref="Y44">
    <cfRule type="cellIs" dxfId="1852" priority="2125" stopIfTrue="1" operator="greaterThan">
      <formula>0.5</formula>
    </cfRule>
    <cfRule type="cellIs" dxfId="1851" priority="2126" stopIfTrue="1" operator="between">
      <formula>0.10001</formula>
      <formula>0.5</formula>
    </cfRule>
    <cfRule type="cellIs" dxfId="1850" priority="2127" stopIfTrue="1" operator="between">
      <formula>0.0100001</formula>
      <formula>0.1</formula>
    </cfRule>
    <cfRule type="cellIs" dxfId="1849" priority="2128" stopIfTrue="1" operator="between">
      <formula>0.000001</formula>
      <formula>0.01</formula>
    </cfRule>
  </conditionalFormatting>
  <conditionalFormatting sqref="J35">
    <cfRule type="cellIs" dxfId="1848" priority="2114" stopIfTrue="1" operator="greaterThan">
      <formula>0.5</formula>
    </cfRule>
    <cfRule type="cellIs" dxfId="1847" priority="2115" stopIfTrue="1" operator="between">
      <formula>0.10001</formula>
      <formula>0.5</formula>
    </cfRule>
    <cfRule type="cellIs" dxfId="1846" priority="2116" stopIfTrue="1" operator="between">
      <formula>0.0100001</formula>
      <formula>0.1</formula>
    </cfRule>
    <cfRule type="cellIs" dxfId="1845" priority="2117" stopIfTrue="1" operator="between">
      <formula>0.000001</formula>
      <formula>0.01</formula>
    </cfRule>
  </conditionalFormatting>
  <conditionalFormatting sqref="T35">
    <cfRule type="containsText" dxfId="1844" priority="2110" stopIfTrue="1" operator="containsText" text="High">
      <formula>NOT(ISERROR(SEARCH("High",T35)))</formula>
    </cfRule>
    <cfRule type="containsText" dxfId="1843" priority="2111" stopIfTrue="1" operator="containsText" text="Moderate">
      <formula>NOT(ISERROR(SEARCH("Moderate",T35)))</formula>
    </cfRule>
    <cfRule type="containsText" dxfId="1842" priority="2112" stopIfTrue="1" operator="containsText" text="Low">
      <formula>NOT(ISERROR(SEARCH("Low",T35)))</formula>
    </cfRule>
    <cfRule type="containsText" dxfId="1841" priority="2113" stopIfTrue="1" operator="containsText" text="Negligible">
      <formula>NOT(ISERROR(SEARCH("Negligible",T35)))</formula>
    </cfRule>
  </conditionalFormatting>
  <conditionalFormatting sqref="AL35">
    <cfRule type="containsText" dxfId="1840" priority="2106" stopIfTrue="1" operator="containsText" text="High">
      <formula>NOT(ISERROR(SEARCH("High",AL35)))</formula>
    </cfRule>
    <cfRule type="containsText" dxfId="1839" priority="2107" stopIfTrue="1" operator="containsText" text="Moderate">
      <formula>NOT(ISERROR(SEARCH("Moderate",AL35)))</formula>
    </cfRule>
    <cfRule type="containsText" dxfId="1838" priority="2108" stopIfTrue="1" operator="containsText" text="Low">
      <formula>NOT(ISERROR(SEARCH("Low",AL35)))</formula>
    </cfRule>
    <cfRule type="containsText" dxfId="1837" priority="2109" stopIfTrue="1" operator="containsText" text="Negligible">
      <formula>NOT(ISERROR(SEARCH("Negligible",AL35)))</formula>
    </cfRule>
  </conditionalFormatting>
  <conditionalFormatting sqref="R35:S35">
    <cfRule type="containsText" dxfId="1836" priority="2102" stopIfTrue="1" operator="containsText" text="High">
      <formula>NOT(ISERROR(SEARCH("High",R35)))</formula>
    </cfRule>
    <cfRule type="containsText" dxfId="1835" priority="2103" stopIfTrue="1" operator="containsText" text="Moderate">
      <formula>NOT(ISERROR(SEARCH("Moderate",R35)))</formula>
    </cfRule>
    <cfRule type="containsText" dxfId="1834" priority="2104" stopIfTrue="1" operator="containsText" text="Low">
      <formula>NOT(ISERROR(SEARCH("Low",R35)))</formula>
    </cfRule>
    <cfRule type="containsText" dxfId="1833" priority="2105" stopIfTrue="1" operator="containsText" text="Negligible">
      <formula>NOT(ISERROR(SEARCH("Negligible",R35)))</formula>
    </cfRule>
  </conditionalFormatting>
  <conditionalFormatting sqref="AH35">
    <cfRule type="expression" dxfId="1832" priority="2091">
      <formula>$AH35&gt;$N35</formula>
    </cfRule>
    <cfRule type="expression" dxfId="1831" priority="2092">
      <formula>$AH35=$N35</formula>
    </cfRule>
    <cfRule type="expression" dxfId="1830" priority="2093">
      <formula>$AH35&lt;$N35</formula>
    </cfRule>
  </conditionalFormatting>
  <conditionalFormatting sqref="AI35">
    <cfRule type="expression" dxfId="1829" priority="2088">
      <formula>$AI35&gt;$O35</formula>
    </cfRule>
    <cfRule type="expression" dxfId="1828" priority="2089">
      <formula>$AI35=$O35</formula>
    </cfRule>
    <cfRule type="expression" dxfId="1827" priority="2090">
      <formula>$AI35&lt;$O35</formula>
    </cfRule>
  </conditionalFormatting>
  <conditionalFormatting sqref="AJ35">
    <cfRule type="expression" dxfId="1826" priority="2085">
      <formula>$AJ35&gt;$P35</formula>
    </cfRule>
    <cfRule type="expression" dxfId="1825" priority="2086">
      <formula>$AJ35=$P35</formula>
    </cfRule>
    <cfRule type="expression" dxfId="1824" priority="2087">
      <formula>$AJ35&lt;$P35</formula>
    </cfRule>
  </conditionalFormatting>
  <conditionalFormatting sqref="AK35">
    <cfRule type="expression" dxfId="1823" priority="2082">
      <formula>$AK35&gt;$Q35</formula>
    </cfRule>
    <cfRule type="expression" dxfId="1822" priority="2083">
      <formula>$AK35=$Q35</formula>
    </cfRule>
    <cfRule type="expression" dxfId="1821" priority="2084">
      <formula>$AK35&lt;$Q35</formula>
    </cfRule>
  </conditionalFormatting>
  <conditionalFormatting sqref="M35">
    <cfRule type="expression" dxfId="1820" priority="2077" stopIfTrue="1">
      <formula>$M35=""</formula>
    </cfRule>
  </conditionalFormatting>
  <conditionalFormatting sqref="AN35">
    <cfRule type="containsText" dxfId="1819" priority="2073" stopIfTrue="1" operator="containsText" text="High">
      <formula>NOT(ISERROR(SEARCH("High",AN35)))</formula>
    </cfRule>
    <cfRule type="containsText" dxfId="1818" priority="2074" stopIfTrue="1" operator="containsText" text="Moderate">
      <formula>NOT(ISERROR(SEARCH("Moderate",AN35)))</formula>
    </cfRule>
    <cfRule type="containsText" dxfId="1817" priority="2075" stopIfTrue="1" operator="containsText" text="Low">
      <formula>NOT(ISERROR(SEARCH("Low",AN35)))</formula>
    </cfRule>
    <cfRule type="containsText" dxfId="1816" priority="2076" stopIfTrue="1" operator="containsText" text="Negligible">
      <formula>NOT(ISERROR(SEARCH("Negligible",AN35)))</formula>
    </cfRule>
  </conditionalFormatting>
  <conditionalFormatting sqref="J36">
    <cfRule type="cellIs" dxfId="1815" priority="2066" stopIfTrue="1" operator="greaterThan">
      <formula>0.5</formula>
    </cfRule>
    <cfRule type="cellIs" dxfId="1814" priority="2067" stopIfTrue="1" operator="between">
      <formula>0.10001</formula>
      <formula>0.5</formula>
    </cfRule>
    <cfRule type="cellIs" dxfId="1813" priority="2068" stopIfTrue="1" operator="between">
      <formula>0.0100001</formula>
      <formula>0.1</formula>
    </cfRule>
    <cfRule type="cellIs" dxfId="1812" priority="2069" stopIfTrue="1" operator="between">
      <formula>0.000001</formula>
      <formula>0.01</formula>
    </cfRule>
  </conditionalFormatting>
  <conditionalFormatting sqref="T36">
    <cfRule type="containsText" dxfId="1811" priority="2062" stopIfTrue="1" operator="containsText" text="High">
      <formula>NOT(ISERROR(SEARCH("High",T36)))</formula>
    </cfRule>
    <cfRule type="containsText" dxfId="1810" priority="2063" stopIfTrue="1" operator="containsText" text="Moderate">
      <formula>NOT(ISERROR(SEARCH("Moderate",T36)))</formula>
    </cfRule>
    <cfRule type="containsText" dxfId="1809" priority="2064" stopIfTrue="1" operator="containsText" text="Low">
      <formula>NOT(ISERROR(SEARCH("Low",T36)))</formula>
    </cfRule>
    <cfRule type="containsText" dxfId="1808" priority="2065" stopIfTrue="1" operator="containsText" text="Negligible">
      <formula>NOT(ISERROR(SEARCH("Negligible",T36)))</formula>
    </cfRule>
  </conditionalFormatting>
  <conditionalFormatting sqref="AL36">
    <cfRule type="containsText" dxfId="1807" priority="2058" stopIfTrue="1" operator="containsText" text="High">
      <formula>NOT(ISERROR(SEARCH("High",AL36)))</formula>
    </cfRule>
    <cfRule type="containsText" dxfId="1806" priority="2059" stopIfTrue="1" operator="containsText" text="Moderate">
      <formula>NOT(ISERROR(SEARCH("Moderate",AL36)))</formula>
    </cfRule>
    <cfRule type="containsText" dxfId="1805" priority="2060" stopIfTrue="1" operator="containsText" text="Low">
      <formula>NOT(ISERROR(SEARCH("Low",AL36)))</formula>
    </cfRule>
    <cfRule type="containsText" dxfId="1804" priority="2061" stopIfTrue="1" operator="containsText" text="Negligible">
      <formula>NOT(ISERROR(SEARCH("Negligible",AL36)))</formula>
    </cfRule>
  </conditionalFormatting>
  <conditionalFormatting sqref="R36:S36">
    <cfRule type="containsText" dxfId="1803" priority="2054" stopIfTrue="1" operator="containsText" text="High">
      <formula>NOT(ISERROR(SEARCH("High",R36)))</formula>
    </cfRule>
    <cfRule type="containsText" dxfId="1802" priority="2055" stopIfTrue="1" operator="containsText" text="Moderate">
      <formula>NOT(ISERROR(SEARCH("Moderate",R36)))</formula>
    </cfRule>
    <cfRule type="containsText" dxfId="1801" priority="2056" stopIfTrue="1" operator="containsText" text="Low">
      <formula>NOT(ISERROR(SEARCH("Low",R36)))</formula>
    </cfRule>
    <cfRule type="containsText" dxfId="1800" priority="2057" stopIfTrue="1" operator="containsText" text="Negligible">
      <formula>NOT(ISERROR(SEARCH("Negligible",R36)))</formula>
    </cfRule>
  </conditionalFormatting>
  <conditionalFormatting sqref="AH36">
    <cfRule type="expression" dxfId="1799" priority="2043">
      <formula>$AH36&gt;$N36</formula>
    </cfRule>
    <cfRule type="expression" dxfId="1798" priority="2044">
      <formula>$AH36=$N36</formula>
    </cfRule>
    <cfRule type="expression" dxfId="1797" priority="2045">
      <formula>$AH36&lt;$N36</formula>
    </cfRule>
  </conditionalFormatting>
  <conditionalFormatting sqref="AI36">
    <cfRule type="expression" dxfId="1796" priority="2040">
      <formula>$AI36&gt;$O36</formula>
    </cfRule>
    <cfRule type="expression" dxfId="1795" priority="2041">
      <formula>$AI36=$O36</formula>
    </cfRule>
    <cfRule type="expression" dxfId="1794" priority="2042">
      <formula>$AI36&lt;$O36</formula>
    </cfRule>
  </conditionalFormatting>
  <conditionalFormatting sqref="AJ36">
    <cfRule type="expression" dxfId="1793" priority="2037">
      <formula>$AJ36&gt;$P36</formula>
    </cfRule>
    <cfRule type="expression" dxfId="1792" priority="2038">
      <formula>$AJ36=$P36</formula>
    </cfRule>
    <cfRule type="expression" dxfId="1791" priority="2039">
      <formula>$AJ36&lt;$P36</formula>
    </cfRule>
  </conditionalFormatting>
  <conditionalFormatting sqref="AK36">
    <cfRule type="expression" dxfId="1790" priority="2034">
      <formula>$AK36&gt;$Q36</formula>
    </cfRule>
    <cfRule type="expression" dxfId="1789" priority="2035">
      <formula>$AK36=$Q36</formula>
    </cfRule>
    <cfRule type="expression" dxfId="1788" priority="2036">
      <formula>$AK36&lt;$Q36</formula>
    </cfRule>
  </conditionalFormatting>
  <conditionalFormatting sqref="M36">
    <cfRule type="expression" dxfId="1787" priority="2029" stopIfTrue="1">
      <formula>$M36=""</formula>
    </cfRule>
  </conditionalFormatting>
  <conditionalFormatting sqref="AN36">
    <cfRule type="containsText" dxfId="1786" priority="2025" stopIfTrue="1" operator="containsText" text="High">
      <formula>NOT(ISERROR(SEARCH("High",AN36)))</formula>
    </cfRule>
    <cfRule type="containsText" dxfId="1785" priority="2026" stopIfTrue="1" operator="containsText" text="Moderate">
      <formula>NOT(ISERROR(SEARCH("Moderate",AN36)))</formula>
    </cfRule>
    <cfRule type="containsText" dxfId="1784" priority="2027" stopIfTrue="1" operator="containsText" text="Low">
      <formula>NOT(ISERROR(SEARCH("Low",AN36)))</formula>
    </cfRule>
    <cfRule type="containsText" dxfId="1783" priority="2028" stopIfTrue="1" operator="containsText" text="Negligible">
      <formula>NOT(ISERROR(SEARCH("Negligible",AN36)))</formula>
    </cfRule>
  </conditionalFormatting>
  <conditionalFormatting sqref="AD13">
    <cfRule type="expression" dxfId="1782" priority="1972">
      <formula>$AC13&lt;$AB13</formula>
    </cfRule>
    <cfRule type="expression" dxfId="1781" priority="1973">
      <formula>$AC13&gt;$M13</formula>
    </cfRule>
  </conditionalFormatting>
  <conditionalFormatting sqref="Y34 J34">
    <cfRule type="cellIs" dxfId="1780" priority="1952" stopIfTrue="1" operator="greaterThan">
      <formula>0.5</formula>
    </cfRule>
    <cfRule type="cellIs" dxfId="1779" priority="1953" stopIfTrue="1" operator="between">
      <formula>0.10001</formula>
      <formula>0.5</formula>
    </cfRule>
    <cfRule type="cellIs" dxfId="1778" priority="1954" stopIfTrue="1" operator="between">
      <formula>0.0100001</formula>
      <formula>0.1</formula>
    </cfRule>
    <cfRule type="cellIs" dxfId="1777" priority="1955" stopIfTrue="1" operator="between">
      <formula>0.000001</formula>
      <formula>0.01</formula>
    </cfRule>
  </conditionalFormatting>
  <conditionalFormatting sqref="T34 AL34">
    <cfRule type="containsText" dxfId="1776" priority="1948" stopIfTrue="1" operator="containsText" text="High">
      <formula>NOT(ISERROR(SEARCH("High",T34)))</formula>
    </cfRule>
    <cfRule type="containsText" dxfId="1775" priority="1949" stopIfTrue="1" operator="containsText" text="Moderate">
      <formula>NOT(ISERROR(SEARCH("Moderate",T34)))</formula>
    </cfRule>
    <cfRule type="containsText" dxfId="1774" priority="1950" stopIfTrue="1" operator="containsText" text="Low">
      <formula>NOT(ISERROR(SEARCH("Low",T34)))</formula>
    </cfRule>
    <cfRule type="containsText" dxfId="1773" priority="1951" stopIfTrue="1" operator="containsText" text="Negligible">
      <formula>NOT(ISERROR(SEARCH("Negligible",T34)))</formula>
    </cfRule>
  </conditionalFormatting>
  <conditionalFormatting sqref="R34:S34 AN34">
    <cfRule type="containsText" dxfId="1772" priority="1944" stopIfTrue="1" operator="containsText" text="High">
      <formula>NOT(ISERROR(SEARCH("High",R34)))</formula>
    </cfRule>
    <cfRule type="containsText" dxfId="1771" priority="1945" stopIfTrue="1" operator="containsText" text="Moderate">
      <formula>NOT(ISERROR(SEARCH("Moderate",R34)))</formula>
    </cfRule>
    <cfRule type="containsText" dxfId="1770" priority="1946" stopIfTrue="1" operator="containsText" text="Low">
      <formula>NOT(ISERROR(SEARCH("Low",R34)))</formula>
    </cfRule>
    <cfRule type="containsText" dxfId="1769" priority="1947" stopIfTrue="1" operator="containsText" text="Negligible">
      <formula>NOT(ISERROR(SEARCH("Negligible",R34)))</formula>
    </cfRule>
  </conditionalFormatting>
  <conditionalFormatting sqref="AH34">
    <cfRule type="expression" dxfId="1768" priority="1937">
      <formula>$AH34&gt;$N34</formula>
    </cfRule>
    <cfRule type="expression" dxfId="1767" priority="1938">
      <formula>$AH34=$N34</formula>
    </cfRule>
    <cfRule type="expression" dxfId="1766" priority="1939">
      <formula>$AH34&lt;$N34</formula>
    </cfRule>
  </conditionalFormatting>
  <conditionalFormatting sqref="AI34">
    <cfRule type="expression" dxfId="1765" priority="1934">
      <formula>$AI34&gt;$O34</formula>
    </cfRule>
    <cfRule type="expression" dxfId="1764" priority="1935">
      <formula>$AI34=$O34</formula>
    </cfRule>
    <cfRule type="expression" dxfId="1763" priority="1936">
      <formula>$AI34&lt;$O34</formula>
    </cfRule>
  </conditionalFormatting>
  <conditionalFormatting sqref="AJ34">
    <cfRule type="expression" dxfId="1762" priority="1931">
      <formula>$AJ34&gt;$P34</formula>
    </cfRule>
    <cfRule type="expression" dxfId="1761" priority="1932">
      <formula>$AJ34=$P34</formula>
    </cfRule>
    <cfRule type="expression" dxfId="1760" priority="1933">
      <formula>$AJ34&lt;$P34</formula>
    </cfRule>
  </conditionalFormatting>
  <conditionalFormatting sqref="AK34">
    <cfRule type="expression" dxfId="1759" priority="1928">
      <formula>$AK34&gt;$Q34</formula>
    </cfRule>
    <cfRule type="expression" dxfId="1758" priority="1929">
      <formula>$AK34=$Q34</formula>
    </cfRule>
    <cfRule type="expression" dxfId="1757" priority="1930">
      <formula>$AK34&lt;$Q34</formula>
    </cfRule>
  </conditionalFormatting>
  <conditionalFormatting sqref="M34">
    <cfRule type="expression" dxfId="1756" priority="1923" stopIfTrue="1">
      <formula>$M34=""</formula>
    </cfRule>
  </conditionalFormatting>
  <conditionalFormatting sqref="AC34">
    <cfRule type="expression" dxfId="1755" priority="1920">
      <formula>$AC34&lt;$AB34</formula>
    </cfRule>
    <cfRule type="expression" dxfId="1754" priority="1922">
      <formula>$AC34&gt;$M34</formula>
    </cfRule>
  </conditionalFormatting>
  <conditionalFormatting sqref="AD34">
    <cfRule type="expression" dxfId="1753" priority="1921">
      <formula>$AD34&lt;$AC34</formula>
    </cfRule>
  </conditionalFormatting>
  <conditionalFormatting sqref="AC49">
    <cfRule type="expression" dxfId="1752" priority="1917">
      <formula>$AC49&lt;$AB49</formula>
    </cfRule>
    <cfRule type="expression" dxfId="1751" priority="1919">
      <formula>$AC49&gt;$M49</formula>
    </cfRule>
  </conditionalFormatting>
  <conditionalFormatting sqref="AD49">
    <cfRule type="expression" dxfId="1750" priority="1918">
      <formula>$AD49&lt;$AC49</formula>
    </cfRule>
  </conditionalFormatting>
  <conditionalFormatting sqref="AC50">
    <cfRule type="expression" dxfId="1749" priority="1914">
      <formula>$AC50&lt;$AB50</formula>
    </cfRule>
    <cfRule type="expression" dxfId="1748" priority="1916">
      <formula>$AC50&gt;$M50</formula>
    </cfRule>
  </conditionalFormatting>
  <conditionalFormatting sqref="AD50">
    <cfRule type="expression" dxfId="1747" priority="1915">
      <formula>$AD50&lt;$AC50</formula>
    </cfRule>
  </conditionalFormatting>
  <conditionalFormatting sqref="J69 Y69">
    <cfRule type="cellIs" dxfId="1746" priority="1862" stopIfTrue="1" operator="greaterThan">
      <formula>0.5</formula>
    </cfRule>
    <cfRule type="cellIs" dxfId="1745" priority="1863" stopIfTrue="1" operator="between">
      <formula>0.10001</formula>
      <formula>0.5</formula>
    </cfRule>
    <cfRule type="cellIs" dxfId="1744" priority="1864" stopIfTrue="1" operator="between">
      <formula>0.0100001</formula>
      <formula>0.1</formula>
    </cfRule>
    <cfRule type="cellIs" dxfId="1743" priority="1865" stopIfTrue="1" operator="between">
      <formula>0.000001</formula>
      <formula>0.01</formula>
    </cfRule>
  </conditionalFormatting>
  <conditionalFormatting sqref="AL69">
    <cfRule type="containsText" dxfId="1742" priority="1858" stopIfTrue="1" operator="containsText" text="High">
      <formula>NOT(ISERROR(SEARCH("High",AL69)))</formula>
    </cfRule>
    <cfRule type="containsText" dxfId="1741" priority="1859" stopIfTrue="1" operator="containsText" text="Moderate">
      <formula>NOT(ISERROR(SEARCH("Moderate",AL69)))</formula>
    </cfRule>
    <cfRule type="containsText" dxfId="1740" priority="1860" stopIfTrue="1" operator="containsText" text="Low">
      <formula>NOT(ISERROR(SEARCH("Low",AL69)))</formula>
    </cfRule>
    <cfRule type="containsText" dxfId="1739" priority="1861" stopIfTrue="1" operator="containsText" text="Negligible">
      <formula>NOT(ISERROR(SEARCH("Negligible",AL69)))</formula>
    </cfRule>
  </conditionalFormatting>
  <conditionalFormatting sqref="R69:S69">
    <cfRule type="containsText" dxfId="1738" priority="1854" stopIfTrue="1" operator="containsText" text="High">
      <formula>NOT(ISERROR(SEARCH("High",R69)))</formula>
    </cfRule>
    <cfRule type="containsText" dxfId="1737" priority="1855" stopIfTrue="1" operator="containsText" text="Moderate">
      <formula>NOT(ISERROR(SEARCH("Moderate",R69)))</formula>
    </cfRule>
    <cfRule type="containsText" dxfId="1736" priority="1856" stopIfTrue="1" operator="containsText" text="Low">
      <formula>NOT(ISERROR(SEARCH("Low",R69)))</formula>
    </cfRule>
    <cfRule type="containsText" dxfId="1735" priority="1857" stopIfTrue="1" operator="containsText" text="Negligible">
      <formula>NOT(ISERROR(SEARCH("Negligible",R69)))</formula>
    </cfRule>
  </conditionalFormatting>
  <conditionalFormatting sqref="M69">
    <cfRule type="expression" dxfId="1734" priority="1833" stopIfTrue="1">
      <formula>$M69=""</formula>
    </cfRule>
  </conditionalFormatting>
  <conditionalFormatting sqref="J70 Y70">
    <cfRule type="cellIs" dxfId="1733" priority="1826" stopIfTrue="1" operator="greaterThan">
      <formula>0.5</formula>
    </cfRule>
    <cfRule type="cellIs" dxfId="1732" priority="1827" stopIfTrue="1" operator="between">
      <formula>0.10001</formula>
      <formula>0.5</formula>
    </cfRule>
    <cfRule type="cellIs" dxfId="1731" priority="1828" stopIfTrue="1" operator="between">
      <formula>0.0100001</formula>
      <formula>0.1</formula>
    </cfRule>
    <cfRule type="cellIs" dxfId="1730" priority="1829" stopIfTrue="1" operator="between">
      <formula>0.000001</formula>
      <formula>0.01</formula>
    </cfRule>
  </conditionalFormatting>
  <conditionalFormatting sqref="AL70">
    <cfRule type="containsText" dxfId="1729" priority="1818" stopIfTrue="1" operator="containsText" text="High">
      <formula>NOT(ISERROR(SEARCH("High",AL70)))</formula>
    </cfRule>
    <cfRule type="containsText" dxfId="1728" priority="1819" stopIfTrue="1" operator="containsText" text="Moderate">
      <formula>NOT(ISERROR(SEARCH("Moderate",AL70)))</formula>
    </cfRule>
    <cfRule type="containsText" dxfId="1727" priority="1820" stopIfTrue="1" operator="containsText" text="Low">
      <formula>NOT(ISERROR(SEARCH("Low",AL70)))</formula>
    </cfRule>
    <cfRule type="containsText" dxfId="1726" priority="1821" stopIfTrue="1" operator="containsText" text="Negligible">
      <formula>NOT(ISERROR(SEARCH("Negligible",AL70)))</formula>
    </cfRule>
  </conditionalFormatting>
  <conditionalFormatting sqref="R70:S70">
    <cfRule type="containsText" dxfId="1725" priority="1814" stopIfTrue="1" operator="containsText" text="High">
      <formula>NOT(ISERROR(SEARCH("High",R70)))</formula>
    </cfRule>
    <cfRule type="containsText" dxfId="1724" priority="1815" stopIfTrue="1" operator="containsText" text="Moderate">
      <formula>NOT(ISERROR(SEARCH("Moderate",R70)))</formula>
    </cfRule>
    <cfRule type="containsText" dxfId="1723" priority="1816" stopIfTrue="1" operator="containsText" text="Low">
      <formula>NOT(ISERROR(SEARCH("Low",R70)))</formula>
    </cfRule>
    <cfRule type="containsText" dxfId="1722" priority="1817" stopIfTrue="1" operator="containsText" text="Negligible">
      <formula>NOT(ISERROR(SEARCH("Negligible",R70)))</formula>
    </cfRule>
  </conditionalFormatting>
  <conditionalFormatting sqref="M70">
    <cfRule type="expression" dxfId="1721" priority="1793" stopIfTrue="1">
      <formula>$M70=""</formula>
    </cfRule>
  </conditionalFormatting>
  <conditionalFormatting sqref="T69">
    <cfRule type="containsText" dxfId="1720" priority="1782" stopIfTrue="1" operator="containsText" text="High">
      <formula>NOT(ISERROR(SEARCH("High",T69)))</formula>
    </cfRule>
    <cfRule type="containsText" dxfId="1719" priority="1783" stopIfTrue="1" operator="containsText" text="Moderate">
      <formula>NOT(ISERROR(SEARCH("Moderate",T69)))</formula>
    </cfRule>
    <cfRule type="containsText" dxfId="1718" priority="1784" stopIfTrue="1" operator="containsText" text="Low">
      <formula>NOT(ISERROR(SEARCH("Low",T69)))</formula>
    </cfRule>
    <cfRule type="containsText" dxfId="1717" priority="1785" stopIfTrue="1" operator="containsText" text="Negligible">
      <formula>NOT(ISERROR(SEARCH("Negligible",T69)))</formula>
    </cfRule>
  </conditionalFormatting>
  <conditionalFormatting sqref="T69">
    <cfRule type="expression" dxfId="1716" priority="1781">
      <formula>$Y69=0%</formula>
    </cfRule>
  </conditionalFormatting>
  <conditionalFormatting sqref="T70">
    <cfRule type="containsText" dxfId="1715" priority="1777" stopIfTrue="1" operator="containsText" text="High">
      <formula>NOT(ISERROR(SEARCH("High",T70)))</formula>
    </cfRule>
    <cfRule type="containsText" dxfId="1714" priority="1778" stopIfTrue="1" operator="containsText" text="Moderate">
      <formula>NOT(ISERROR(SEARCH("Moderate",T70)))</formula>
    </cfRule>
    <cfRule type="containsText" dxfId="1713" priority="1779" stopIfTrue="1" operator="containsText" text="Low">
      <formula>NOT(ISERROR(SEARCH("Low",T70)))</formula>
    </cfRule>
    <cfRule type="containsText" dxfId="1712" priority="1780" stopIfTrue="1" operator="containsText" text="Negligible">
      <formula>NOT(ISERROR(SEARCH("Negligible",T70)))</formula>
    </cfRule>
  </conditionalFormatting>
  <conditionalFormatting sqref="J75:J76 Y75:Y76">
    <cfRule type="cellIs" dxfId="1711" priority="1772" stopIfTrue="1" operator="greaterThan">
      <formula>0.5</formula>
    </cfRule>
    <cfRule type="cellIs" dxfId="1710" priority="1773" stopIfTrue="1" operator="between">
      <formula>0.10001</formula>
      <formula>0.5</formula>
    </cfRule>
    <cfRule type="cellIs" dxfId="1709" priority="1774" stopIfTrue="1" operator="between">
      <formula>0.0100001</formula>
      <formula>0.1</formula>
    </cfRule>
    <cfRule type="cellIs" dxfId="1708" priority="1775" stopIfTrue="1" operator="between">
      <formula>0.000001</formula>
      <formula>0.01</formula>
    </cfRule>
  </conditionalFormatting>
  <conditionalFormatting sqref="T75:T76">
    <cfRule type="containsText" dxfId="1707" priority="1768" stopIfTrue="1" operator="containsText" text="High">
      <formula>NOT(ISERROR(SEARCH("High",T75)))</formula>
    </cfRule>
    <cfRule type="containsText" dxfId="1706" priority="1769" stopIfTrue="1" operator="containsText" text="Moderate">
      <formula>NOT(ISERROR(SEARCH("Moderate",T75)))</formula>
    </cfRule>
    <cfRule type="containsText" dxfId="1705" priority="1770" stopIfTrue="1" operator="containsText" text="Low">
      <formula>NOT(ISERROR(SEARCH("Low",T75)))</formula>
    </cfRule>
    <cfRule type="containsText" dxfId="1704" priority="1771" stopIfTrue="1" operator="containsText" text="Negligible">
      <formula>NOT(ISERROR(SEARCH("Negligible",T75)))</formula>
    </cfRule>
  </conditionalFormatting>
  <conditionalFormatting sqref="AL75:AL76">
    <cfRule type="containsText" dxfId="1703" priority="1764" stopIfTrue="1" operator="containsText" text="High">
      <formula>NOT(ISERROR(SEARCH("High",AL75)))</formula>
    </cfRule>
    <cfRule type="containsText" dxfId="1702" priority="1765" stopIfTrue="1" operator="containsText" text="Moderate">
      <formula>NOT(ISERROR(SEARCH("Moderate",AL75)))</formula>
    </cfRule>
    <cfRule type="containsText" dxfId="1701" priority="1766" stopIfTrue="1" operator="containsText" text="Low">
      <formula>NOT(ISERROR(SEARCH("Low",AL75)))</formula>
    </cfRule>
    <cfRule type="containsText" dxfId="1700" priority="1767" stopIfTrue="1" operator="containsText" text="Negligible">
      <formula>NOT(ISERROR(SEARCH("Negligible",AL75)))</formula>
    </cfRule>
  </conditionalFormatting>
  <conditionalFormatting sqref="R75:S76">
    <cfRule type="containsText" dxfId="1699" priority="1760" stopIfTrue="1" operator="containsText" text="High">
      <formula>NOT(ISERROR(SEARCH("High",R75)))</formula>
    </cfRule>
    <cfRule type="containsText" dxfId="1698" priority="1761" stopIfTrue="1" operator="containsText" text="Moderate">
      <formula>NOT(ISERROR(SEARCH("Moderate",R75)))</formula>
    </cfRule>
    <cfRule type="containsText" dxfId="1697" priority="1762" stopIfTrue="1" operator="containsText" text="Low">
      <formula>NOT(ISERROR(SEARCH("Low",R75)))</formula>
    </cfRule>
    <cfRule type="containsText" dxfId="1696" priority="1763" stopIfTrue="1" operator="containsText" text="Negligible">
      <formula>NOT(ISERROR(SEARCH("Negligible",R75)))</formula>
    </cfRule>
  </conditionalFormatting>
  <conditionalFormatting sqref="M75:M76">
    <cfRule type="expression" dxfId="1695" priority="1735" stopIfTrue="1">
      <formula>$M75=""</formula>
    </cfRule>
  </conditionalFormatting>
  <conditionalFormatting sqref="AN75:AN76">
    <cfRule type="containsText" dxfId="1694" priority="1731" stopIfTrue="1" operator="containsText" text="High">
      <formula>NOT(ISERROR(SEARCH("High",AN75)))</formula>
    </cfRule>
    <cfRule type="containsText" dxfId="1693" priority="1732" stopIfTrue="1" operator="containsText" text="Moderate">
      <formula>NOT(ISERROR(SEARCH("Moderate",AN75)))</formula>
    </cfRule>
    <cfRule type="containsText" dxfId="1692" priority="1733" stopIfTrue="1" operator="containsText" text="Low">
      <formula>NOT(ISERROR(SEARCH("Low",AN75)))</formula>
    </cfRule>
    <cfRule type="containsText" dxfId="1691" priority="1734" stopIfTrue="1" operator="containsText" text="Negligible">
      <formula>NOT(ISERROR(SEARCH("Negligible",AN75)))</formula>
    </cfRule>
  </conditionalFormatting>
  <conditionalFormatting sqref="F69">
    <cfRule type="expression" dxfId="1690" priority="1727">
      <formula>$Y69=0%</formula>
    </cfRule>
  </conditionalFormatting>
  <conditionalFormatting sqref="F70">
    <cfRule type="expression" dxfId="1689" priority="1726">
      <formula>$Y70=0%</formula>
    </cfRule>
  </conditionalFormatting>
  <conditionalFormatting sqref="J82:J83 Y82:Y83">
    <cfRule type="cellIs" dxfId="1688" priority="1684" stopIfTrue="1" operator="greaterThan">
      <formula>0.5</formula>
    </cfRule>
    <cfRule type="cellIs" dxfId="1687" priority="1685" stopIfTrue="1" operator="between">
      <formula>0.10001</formula>
      <formula>0.5</formula>
    </cfRule>
    <cfRule type="cellIs" dxfId="1686" priority="1686" stopIfTrue="1" operator="between">
      <formula>0.0100001</formula>
      <formula>0.1</formula>
    </cfRule>
    <cfRule type="cellIs" dxfId="1685" priority="1687" stopIfTrue="1" operator="between">
      <formula>0.000001</formula>
      <formula>0.01</formula>
    </cfRule>
  </conditionalFormatting>
  <conditionalFormatting sqref="R82:S83">
    <cfRule type="containsText" dxfId="1684" priority="1672" stopIfTrue="1" operator="containsText" text="High">
      <formula>NOT(ISERROR(SEARCH("High",R82)))</formula>
    </cfRule>
    <cfRule type="containsText" dxfId="1683" priority="1673" stopIfTrue="1" operator="containsText" text="Moderate">
      <formula>NOT(ISERROR(SEARCH("Moderate",R82)))</formula>
    </cfRule>
    <cfRule type="containsText" dxfId="1682" priority="1674" stopIfTrue="1" operator="containsText" text="Low">
      <formula>NOT(ISERROR(SEARCH("Low",R82)))</formula>
    </cfRule>
    <cfRule type="containsText" dxfId="1681" priority="1675" stopIfTrue="1" operator="containsText" text="Negligible">
      <formula>NOT(ISERROR(SEARCH("Negligible",R82)))</formula>
    </cfRule>
  </conditionalFormatting>
  <conditionalFormatting sqref="M82:M83">
    <cfRule type="expression" dxfId="1680" priority="1647" stopIfTrue="1">
      <formula>$M82=""</formula>
    </cfRule>
  </conditionalFormatting>
  <conditionalFormatting sqref="AN82:AN83">
    <cfRule type="containsText" dxfId="1679" priority="1643" stopIfTrue="1" operator="containsText" text="High">
      <formula>NOT(ISERROR(SEARCH("High",AN82)))</formula>
    </cfRule>
    <cfRule type="containsText" dxfId="1678" priority="1644" stopIfTrue="1" operator="containsText" text="Moderate">
      <formula>NOT(ISERROR(SEARCH("Moderate",AN82)))</formula>
    </cfRule>
    <cfRule type="containsText" dxfId="1677" priority="1645" stopIfTrue="1" operator="containsText" text="Low">
      <formula>NOT(ISERROR(SEARCH("Low",AN82)))</formula>
    </cfRule>
    <cfRule type="containsText" dxfId="1676" priority="1646" stopIfTrue="1" operator="containsText" text="Negligible">
      <formula>NOT(ISERROR(SEARCH("Negligible",AN82)))</formula>
    </cfRule>
  </conditionalFormatting>
  <conditionalFormatting sqref="AD82">
    <cfRule type="expression" dxfId="1675" priority="1641">
      <formula>$AD82&lt;$AC82</formula>
    </cfRule>
  </conditionalFormatting>
  <conditionalFormatting sqref="K82:K83">
    <cfRule type="expression" dxfId="1674" priority="1635">
      <formula>$Y82=0%</formula>
    </cfRule>
  </conditionalFormatting>
  <conditionalFormatting sqref="AC82">
    <cfRule type="expression" dxfId="1673" priority="1634">
      <formula>$AD82&lt;$AC82</formula>
    </cfRule>
  </conditionalFormatting>
  <conditionalFormatting sqref="T82">
    <cfRule type="containsText" dxfId="1672" priority="1630" stopIfTrue="1" operator="containsText" text="High">
      <formula>NOT(ISERROR(SEARCH("High",T82)))</formula>
    </cfRule>
    <cfRule type="containsText" dxfId="1671" priority="1631" stopIfTrue="1" operator="containsText" text="Moderate">
      <formula>NOT(ISERROR(SEARCH("Moderate",T82)))</formula>
    </cfRule>
    <cfRule type="containsText" dxfId="1670" priority="1632" stopIfTrue="1" operator="containsText" text="Low">
      <formula>NOT(ISERROR(SEARCH("Low",T82)))</formula>
    </cfRule>
    <cfRule type="containsText" dxfId="1669" priority="1633" stopIfTrue="1" operator="containsText" text="Negligible">
      <formula>NOT(ISERROR(SEARCH("Negligible",T82)))</formula>
    </cfRule>
  </conditionalFormatting>
  <conditionalFormatting sqref="T83">
    <cfRule type="containsText" dxfId="1668" priority="1626" stopIfTrue="1" operator="containsText" text="High">
      <formula>NOT(ISERROR(SEARCH("High",T83)))</formula>
    </cfRule>
    <cfRule type="containsText" dxfId="1667" priority="1627" stopIfTrue="1" operator="containsText" text="Moderate">
      <formula>NOT(ISERROR(SEARCH("Moderate",T83)))</formula>
    </cfRule>
    <cfRule type="containsText" dxfId="1666" priority="1628" stopIfTrue="1" operator="containsText" text="Low">
      <formula>NOT(ISERROR(SEARCH("Low",T83)))</formula>
    </cfRule>
    <cfRule type="containsText" dxfId="1665" priority="1629" stopIfTrue="1" operator="containsText" text="Negligible">
      <formula>NOT(ISERROR(SEARCH("Negligible",T83)))</formula>
    </cfRule>
  </conditionalFormatting>
  <conditionalFormatting sqref="AL82:AL83">
    <cfRule type="containsText" dxfId="1664" priority="1614" stopIfTrue="1" operator="containsText" text="High">
      <formula>NOT(ISERROR(SEARCH("High",AL82)))</formula>
    </cfRule>
    <cfRule type="containsText" dxfId="1663" priority="1615" stopIfTrue="1" operator="containsText" text="Moderate">
      <formula>NOT(ISERROR(SEARCH("Moderate",AL82)))</formula>
    </cfRule>
    <cfRule type="containsText" dxfId="1662" priority="1616" stopIfTrue="1" operator="containsText" text="Low">
      <formula>NOT(ISERROR(SEARCH("Low",AL82)))</formula>
    </cfRule>
    <cfRule type="containsText" dxfId="1661" priority="1617" stopIfTrue="1" operator="containsText" text="Negligible">
      <formula>NOT(ISERROR(SEARCH("Negligible",AL82)))</formula>
    </cfRule>
  </conditionalFormatting>
  <conditionalFormatting sqref="AE82:AG82">
    <cfRule type="expression" dxfId="1660" priority="1595">
      <formula>$AD82&lt;$AC82</formula>
    </cfRule>
  </conditionalFormatting>
  <conditionalFormatting sqref="AE83:AG83">
    <cfRule type="expression" dxfId="1659" priority="1594">
      <formula>$AD83&lt;$AC83</formula>
    </cfRule>
  </conditionalFormatting>
  <conditionalFormatting sqref="B75:G76 B82:G83 AA82:AG83 AA75:AA76 AA85:AG87 D97:D98 L96:M98 U96:X98 J96:J110 K96:K113 B96:G96 N96:T113 S115:S121 I75:Y76 I82:Y83 AL85:AL92 AL82:AL83 I96:I98 AQ82:AY83 AQ75:AY76 AA96:AB98 AD96:AG98 AN82:AN83 AN85:AN92 AL75:AL76 AE89:AG92 AN94:AN98 AQ95:AY98 AQ87:AY88 AQ89:AR92 AT89:AY92 AQ94 AT94:AY94 B88:AG88 B94:AG95 B89:AB92 B85:Y87 AN75:AN76 AQ85:AX86">
    <cfRule type="expression" dxfId="1658" priority="1593">
      <formula>"$W50=0"</formula>
    </cfRule>
  </conditionalFormatting>
  <conditionalFormatting sqref="Y54">
    <cfRule type="cellIs" dxfId="1657" priority="1577" stopIfTrue="1" operator="greaterThan">
      <formula>0.5</formula>
    </cfRule>
    <cfRule type="cellIs" dxfId="1656" priority="1578" stopIfTrue="1" operator="between">
      <formula>0.10001</formula>
      <formula>0.5</formula>
    </cfRule>
    <cfRule type="cellIs" dxfId="1655" priority="1579" stopIfTrue="1" operator="between">
      <formula>0.0100001</formula>
      <formula>0.1</formula>
    </cfRule>
    <cfRule type="cellIs" dxfId="1654" priority="1580" stopIfTrue="1" operator="between">
      <formula>0.000001</formula>
      <formula>0.01</formula>
    </cfRule>
  </conditionalFormatting>
  <conditionalFormatting sqref="AL54 T54">
    <cfRule type="containsText" dxfId="1653" priority="1573" stopIfTrue="1" operator="containsText" text="High">
      <formula>NOT(ISERROR(SEARCH("High",T54)))</formula>
    </cfRule>
    <cfRule type="containsText" dxfId="1652" priority="1574" stopIfTrue="1" operator="containsText" text="Moderate">
      <formula>NOT(ISERROR(SEARCH("Moderate",T54)))</formula>
    </cfRule>
    <cfRule type="containsText" dxfId="1651" priority="1575" stopIfTrue="1" operator="containsText" text="Low">
      <formula>NOT(ISERROR(SEARCH("Low",T54)))</formula>
    </cfRule>
    <cfRule type="containsText" dxfId="1650" priority="1576" stopIfTrue="1" operator="containsText" text="Negligible">
      <formula>NOT(ISERROR(SEARCH("Negligible",T54)))</formula>
    </cfRule>
  </conditionalFormatting>
  <conditionalFormatting sqref="R54:S54 AN54">
    <cfRule type="containsText" dxfId="1649" priority="1569" stopIfTrue="1" operator="containsText" text="High">
      <formula>NOT(ISERROR(SEARCH("High",R54)))</formula>
    </cfRule>
    <cfRule type="containsText" dxfId="1648" priority="1570" stopIfTrue="1" operator="containsText" text="Moderate">
      <formula>NOT(ISERROR(SEARCH("Moderate",R54)))</formula>
    </cfRule>
    <cfRule type="containsText" dxfId="1647" priority="1571" stopIfTrue="1" operator="containsText" text="Low">
      <formula>NOT(ISERROR(SEARCH("Low",R54)))</formula>
    </cfRule>
    <cfRule type="containsText" dxfId="1646" priority="1572" stopIfTrue="1" operator="containsText" text="Negligible">
      <formula>NOT(ISERROR(SEARCH("Negligible",R54)))</formula>
    </cfRule>
  </conditionalFormatting>
  <conditionalFormatting sqref="AH54">
    <cfRule type="expression" dxfId="1645" priority="1562">
      <formula>$AH54&gt;$N54</formula>
    </cfRule>
    <cfRule type="expression" dxfId="1644" priority="1563">
      <formula>$AH54=$N54</formula>
    </cfRule>
    <cfRule type="expression" dxfId="1643" priority="1564">
      <formula>$AH54&lt;$N54</formula>
    </cfRule>
  </conditionalFormatting>
  <conditionalFormatting sqref="AI54">
    <cfRule type="expression" dxfId="1642" priority="1559">
      <formula>$AI54&gt;$O54</formula>
    </cfRule>
    <cfRule type="expression" dxfId="1641" priority="1560">
      <formula>$AI54=$O54</formula>
    </cfRule>
    <cfRule type="expression" dxfId="1640" priority="1561">
      <formula>$AI54&lt;$O54</formula>
    </cfRule>
  </conditionalFormatting>
  <conditionalFormatting sqref="AJ54">
    <cfRule type="expression" dxfId="1639" priority="1556">
      <formula>$AJ54&gt;$P54</formula>
    </cfRule>
    <cfRule type="expression" dxfId="1638" priority="1557">
      <formula>$AJ54=$P54</formula>
    </cfRule>
    <cfRule type="expression" dxfId="1637" priority="1558">
      <formula>$AJ54&lt;$P54</formula>
    </cfRule>
  </conditionalFormatting>
  <conditionalFormatting sqref="AK54">
    <cfRule type="expression" dxfId="1636" priority="1553">
      <formula>$AK54&gt;$Q54</formula>
    </cfRule>
    <cfRule type="expression" dxfId="1635" priority="1554">
      <formula>$AK54=$Q54</formula>
    </cfRule>
    <cfRule type="expression" dxfId="1634" priority="1555">
      <formula>$AK54&lt;$Q54</formula>
    </cfRule>
  </conditionalFormatting>
  <conditionalFormatting sqref="AC54">
    <cfRule type="expression" dxfId="1633" priority="1546">
      <formula>$AC54&lt;$AB54</formula>
    </cfRule>
  </conditionalFormatting>
  <conditionalFormatting sqref="AD54">
    <cfRule type="expression" dxfId="1632" priority="1545">
      <formula>$AD54&lt;$AC54</formula>
    </cfRule>
  </conditionalFormatting>
  <conditionalFormatting sqref="AU54:AV54">
    <cfRule type="expression" dxfId="1631" priority="1544">
      <formula>$Y54=0%</formula>
    </cfRule>
  </conditionalFormatting>
  <conditionalFormatting sqref="J54">
    <cfRule type="expression" dxfId="1630" priority="1539">
      <formula>$Y54=0%</formula>
    </cfRule>
  </conditionalFormatting>
  <conditionalFormatting sqref="M54">
    <cfRule type="expression" dxfId="1629" priority="1534">
      <formula>$Y54=0%</formula>
    </cfRule>
  </conditionalFormatting>
  <conditionalFormatting sqref="N54">
    <cfRule type="expression" dxfId="1628" priority="1529">
      <formula>$Y54=0%</formula>
    </cfRule>
  </conditionalFormatting>
  <conditionalFormatting sqref="O54">
    <cfRule type="expression" dxfId="1627" priority="1524">
      <formula>$Y54=0%</formula>
    </cfRule>
  </conditionalFormatting>
  <conditionalFormatting sqref="P54:Q54">
    <cfRule type="expression" dxfId="1626" priority="1514">
      <formula>$Y54=0%</formula>
    </cfRule>
  </conditionalFormatting>
  <conditionalFormatting sqref="Y56">
    <cfRule type="cellIs" dxfId="1625" priority="1510" stopIfTrue="1" operator="greaterThan">
      <formula>0.5</formula>
    </cfRule>
    <cfRule type="cellIs" dxfId="1624" priority="1511" stopIfTrue="1" operator="between">
      <formula>0.10001</formula>
      <formula>0.5</formula>
    </cfRule>
    <cfRule type="cellIs" dxfId="1623" priority="1512" stopIfTrue="1" operator="between">
      <formula>0.0100001</formula>
      <formula>0.1</formula>
    </cfRule>
    <cfRule type="cellIs" dxfId="1622" priority="1513" stopIfTrue="1" operator="between">
      <formula>0.000001</formula>
      <formula>0.01</formula>
    </cfRule>
  </conditionalFormatting>
  <conditionalFormatting sqref="AL56 T56">
    <cfRule type="containsText" dxfId="1621" priority="1506" stopIfTrue="1" operator="containsText" text="High">
      <formula>NOT(ISERROR(SEARCH("High",T56)))</formula>
    </cfRule>
    <cfRule type="containsText" dxfId="1620" priority="1507" stopIfTrue="1" operator="containsText" text="Moderate">
      <formula>NOT(ISERROR(SEARCH("Moderate",T56)))</formula>
    </cfRule>
    <cfRule type="containsText" dxfId="1619" priority="1508" stopIfTrue="1" operator="containsText" text="Low">
      <formula>NOT(ISERROR(SEARCH("Low",T56)))</formula>
    </cfRule>
    <cfRule type="containsText" dxfId="1618" priority="1509" stopIfTrue="1" operator="containsText" text="Negligible">
      <formula>NOT(ISERROR(SEARCH("Negligible",T56)))</formula>
    </cfRule>
  </conditionalFormatting>
  <conditionalFormatting sqref="R56:S56 AN56">
    <cfRule type="containsText" dxfId="1617" priority="1502" stopIfTrue="1" operator="containsText" text="High">
      <formula>NOT(ISERROR(SEARCH("High",R56)))</formula>
    </cfRule>
    <cfRule type="containsText" dxfId="1616" priority="1503" stopIfTrue="1" operator="containsText" text="Moderate">
      <formula>NOT(ISERROR(SEARCH("Moderate",R56)))</formula>
    </cfRule>
    <cfRule type="containsText" dxfId="1615" priority="1504" stopIfTrue="1" operator="containsText" text="Low">
      <formula>NOT(ISERROR(SEARCH("Low",R56)))</formula>
    </cfRule>
    <cfRule type="containsText" dxfId="1614" priority="1505" stopIfTrue="1" operator="containsText" text="Negligible">
      <formula>NOT(ISERROR(SEARCH("Negligible",R56)))</formula>
    </cfRule>
  </conditionalFormatting>
  <conditionalFormatting sqref="AH56">
    <cfRule type="expression" dxfId="1613" priority="1495">
      <formula>$AH56&gt;$N56</formula>
    </cfRule>
    <cfRule type="expression" dxfId="1612" priority="1496">
      <formula>$AH56=$N56</formula>
    </cfRule>
    <cfRule type="expression" dxfId="1611" priority="1497">
      <formula>$AH56&lt;$N56</formula>
    </cfRule>
  </conditionalFormatting>
  <conditionalFormatting sqref="AI56">
    <cfRule type="expression" dxfId="1610" priority="1492">
      <formula>$AI56&gt;$O56</formula>
    </cfRule>
    <cfRule type="expression" dxfId="1609" priority="1493">
      <formula>$AI56=$O56</formula>
    </cfRule>
    <cfRule type="expression" dxfId="1608" priority="1494">
      <formula>$AI56&lt;$O56</formula>
    </cfRule>
  </conditionalFormatting>
  <conditionalFormatting sqref="AJ56">
    <cfRule type="expression" dxfId="1607" priority="1489">
      <formula>$AJ56&gt;$P56</formula>
    </cfRule>
    <cfRule type="expression" dxfId="1606" priority="1490">
      <formula>$AJ56=$P56</formula>
    </cfRule>
    <cfRule type="expression" dxfId="1605" priority="1491">
      <formula>$AJ56&lt;$P56</formula>
    </cfRule>
  </conditionalFormatting>
  <conditionalFormatting sqref="AK56">
    <cfRule type="expression" dxfId="1604" priority="1486">
      <formula>$AK56&gt;$Q56</formula>
    </cfRule>
    <cfRule type="expression" dxfId="1603" priority="1487">
      <formula>$AK56=$Q56</formula>
    </cfRule>
    <cfRule type="expression" dxfId="1602" priority="1488">
      <formula>$AK56&lt;$Q56</formula>
    </cfRule>
  </conditionalFormatting>
  <conditionalFormatting sqref="AC56">
    <cfRule type="expression" dxfId="1601" priority="1485">
      <formula>$AC56&lt;$AB56</formula>
    </cfRule>
  </conditionalFormatting>
  <conditionalFormatting sqref="AD56">
    <cfRule type="expression" dxfId="1600" priority="1484">
      <formula>$AD56&lt;$AC56</formula>
    </cfRule>
  </conditionalFormatting>
  <conditionalFormatting sqref="AU56:AV56">
    <cfRule type="expression" dxfId="1599" priority="1483">
      <formula>$Y56=0%</formula>
    </cfRule>
  </conditionalFormatting>
  <conditionalFormatting sqref="J56">
    <cfRule type="expression" dxfId="1598" priority="1478">
      <formula>$Y56=0%</formula>
    </cfRule>
  </conditionalFormatting>
  <conditionalFormatting sqref="M56">
    <cfRule type="expression" dxfId="1597" priority="1473">
      <formula>$Y56=0%</formula>
    </cfRule>
  </conditionalFormatting>
  <conditionalFormatting sqref="N56">
    <cfRule type="expression" dxfId="1596" priority="1468">
      <formula>$Y56=0%</formula>
    </cfRule>
  </conditionalFormatting>
  <conditionalFormatting sqref="O56">
    <cfRule type="expression" dxfId="1595" priority="1463">
      <formula>$Y56=0%</formula>
    </cfRule>
  </conditionalFormatting>
  <conditionalFormatting sqref="P56:Q56">
    <cfRule type="expression" dxfId="1594" priority="1458">
      <formula>$Y56=0%</formula>
    </cfRule>
  </conditionalFormatting>
  <conditionalFormatting sqref="Y55">
    <cfRule type="cellIs" dxfId="1593" priority="1454" stopIfTrue="1" operator="greaterThan">
      <formula>0.5</formula>
    </cfRule>
    <cfRule type="cellIs" dxfId="1592" priority="1455" stopIfTrue="1" operator="between">
      <formula>0.10001</formula>
      <formula>0.5</formula>
    </cfRule>
    <cfRule type="cellIs" dxfId="1591" priority="1456" stopIfTrue="1" operator="between">
      <formula>0.0100001</formula>
      <formula>0.1</formula>
    </cfRule>
    <cfRule type="cellIs" dxfId="1590" priority="1457" stopIfTrue="1" operator="between">
      <formula>0.000001</formula>
      <formula>0.01</formula>
    </cfRule>
  </conditionalFormatting>
  <conditionalFormatting sqref="AL55 T55">
    <cfRule type="containsText" dxfId="1589" priority="1450" stopIfTrue="1" operator="containsText" text="High">
      <formula>NOT(ISERROR(SEARCH("High",T55)))</formula>
    </cfRule>
    <cfRule type="containsText" dxfId="1588" priority="1451" stopIfTrue="1" operator="containsText" text="Moderate">
      <formula>NOT(ISERROR(SEARCH("Moderate",T55)))</formula>
    </cfRule>
    <cfRule type="containsText" dxfId="1587" priority="1452" stopIfTrue="1" operator="containsText" text="Low">
      <formula>NOT(ISERROR(SEARCH("Low",T55)))</formula>
    </cfRule>
    <cfRule type="containsText" dxfId="1586" priority="1453" stopIfTrue="1" operator="containsText" text="Negligible">
      <formula>NOT(ISERROR(SEARCH("Negligible",T55)))</formula>
    </cfRule>
  </conditionalFormatting>
  <conditionalFormatting sqref="R55:S55 AN55">
    <cfRule type="containsText" dxfId="1585" priority="1446" stopIfTrue="1" operator="containsText" text="High">
      <formula>NOT(ISERROR(SEARCH("High",R55)))</formula>
    </cfRule>
    <cfRule type="containsText" dxfId="1584" priority="1447" stopIfTrue="1" operator="containsText" text="Moderate">
      <formula>NOT(ISERROR(SEARCH("Moderate",R55)))</formula>
    </cfRule>
    <cfRule type="containsText" dxfId="1583" priority="1448" stopIfTrue="1" operator="containsText" text="Low">
      <formula>NOT(ISERROR(SEARCH("Low",R55)))</formula>
    </cfRule>
    <cfRule type="containsText" dxfId="1582" priority="1449" stopIfTrue="1" operator="containsText" text="Negligible">
      <formula>NOT(ISERROR(SEARCH("Negligible",R55)))</formula>
    </cfRule>
  </conditionalFormatting>
  <conditionalFormatting sqref="AH55">
    <cfRule type="expression" dxfId="1581" priority="1439">
      <formula>$AH55&gt;$N55</formula>
    </cfRule>
    <cfRule type="expression" dxfId="1580" priority="1440">
      <formula>$AH55=$N55</formula>
    </cfRule>
    <cfRule type="expression" dxfId="1579" priority="1441">
      <formula>$AH55&lt;$N55</formula>
    </cfRule>
  </conditionalFormatting>
  <conditionalFormatting sqref="AI55">
    <cfRule type="expression" dxfId="1578" priority="1436">
      <formula>$AI55&gt;$O55</formula>
    </cfRule>
    <cfRule type="expression" dxfId="1577" priority="1437">
      <formula>$AI55=$O55</formula>
    </cfRule>
    <cfRule type="expression" dxfId="1576" priority="1438">
      <formula>$AI55&lt;$O55</formula>
    </cfRule>
  </conditionalFormatting>
  <conditionalFormatting sqref="AJ55">
    <cfRule type="expression" dxfId="1575" priority="1433">
      <formula>$AJ55&gt;$P55</formula>
    </cfRule>
    <cfRule type="expression" dxfId="1574" priority="1434">
      <formula>$AJ55=$P55</formula>
    </cfRule>
    <cfRule type="expression" dxfId="1573" priority="1435">
      <formula>$AJ55&lt;$P55</formula>
    </cfRule>
  </conditionalFormatting>
  <conditionalFormatting sqref="AK55">
    <cfRule type="expression" dxfId="1572" priority="1430">
      <formula>$AK55&gt;$Q55</formula>
    </cfRule>
    <cfRule type="expression" dxfId="1571" priority="1431">
      <formula>$AK55=$Q55</formula>
    </cfRule>
    <cfRule type="expression" dxfId="1570" priority="1432">
      <formula>$AK55&lt;$Q55</formula>
    </cfRule>
  </conditionalFormatting>
  <conditionalFormatting sqref="AC55">
    <cfRule type="expression" dxfId="1569" priority="1429">
      <formula>$AC55&lt;$AB55</formula>
    </cfRule>
  </conditionalFormatting>
  <conditionalFormatting sqref="AD55">
    <cfRule type="expression" dxfId="1568" priority="1428">
      <formula>$AD55&lt;$AC55</formula>
    </cfRule>
  </conditionalFormatting>
  <conditionalFormatting sqref="AU55:AV55">
    <cfRule type="expression" dxfId="1567" priority="1427">
      <formula>$Y55=0%</formula>
    </cfRule>
  </conditionalFormatting>
  <conditionalFormatting sqref="J55">
    <cfRule type="expression" dxfId="1566" priority="1422">
      <formula>$Y55=0%</formula>
    </cfRule>
  </conditionalFormatting>
  <conditionalFormatting sqref="M55">
    <cfRule type="expression" dxfId="1565" priority="1417">
      <formula>$Y55=0%</formula>
    </cfRule>
  </conditionalFormatting>
  <conditionalFormatting sqref="N55">
    <cfRule type="expression" dxfId="1564" priority="1412">
      <formula>$Y55=0%</formula>
    </cfRule>
  </conditionalFormatting>
  <conditionalFormatting sqref="O55">
    <cfRule type="expression" dxfId="1563" priority="1407">
      <formula>$Y55=0%</formula>
    </cfRule>
  </conditionalFormatting>
  <conditionalFormatting sqref="P55:Q55">
    <cfRule type="expression" dxfId="1562" priority="1402">
      <formula>$Y55=0%</formula>
    </cfRule>
  </conditionalFormatting>
  <conditionalFormatting sqref="Y57">
    <cfRule type="cellIs" dxfId="1561" priority="1398" stopIfTrue="1" operator="greaterThan">
      <formula>0.5</formula>
    </cfRule>
    <cfRule type="cellIs" dxfId="1560" priority="1399" stopIfTrue="1" operator="between">
      <formula>0.10001</formula>
      <formula>0.5</formula>
    </cfRule>
    <cfRule type="cellIs" dxfId="1559" priority="1400" stopIfTrue="1" operator="between">
      <formula>0.0100001</formula>
      <formula>0.1</formula>
    </cfRule>
    <cfRule type="cellIs" dxfId="1558" priority="1401" stopIfTrue="1" operator="between">
      <formula>0.000001</formula>
      <formula>0.01</formula>
    </cfRule>
  </conditionalFormatting>
  <conditionalFormatting sqref="AL57 T57">
    <cfRule type="containsText" dxfId="1557" priority="1394" stopIfTrue="1" operator="containsText" text="High">
      <formula>NOT(ISERROR(SEARCH("High",T57)))</formula>
    </cfRule>
    <cfRule type="containsText" dxfId="1556" priority="1395" stopIfTrue="1" operator="containsText" text="Moderate">
      <formula>NOT(ISERROR(SEARCH("Moderate",T57)))</formula>
    </cfRule>
    <cfRule type="containsText" dxfId="1555" priority="1396" stopIfTrue="1" operator="containsText" text="Low">
      <formula>NOT(ISERROR(SEARCH("Low",T57)))</formula>
    </cfRule>
    <cfRule type="containsText" dxfId="1554" priority="1397" stopIfTrue="1" operator="containsText" text="Negligible">
      <formula>NOT(ISERROR(SEARCH("Negligible",T57)))</formula>
    </cfRule>
  </conditionalFormatting>
  <conditionalFormatting sqref="R57:S57 AN57">
    <cfRule type="containsText" dxfId="1553" priority="1390" stopIfTrue="1" operator="containsText" text="High">
      <formula>NOT(ISERROR(SEARCH("High",R57)))</formula>
    </cfRule>
    <cfRule type="containsText" dxfId="1552" priority="1391" stopIfTrue="1" operator="containsText" text="Moderate">
      <formula>NOT(ISERROR(SEARCH("Moderate",R57)))</formula>
    </cfRule>
    <cfRule type="containsText" dxfId="1551" priority="1392" stopIfTrue="1" operator="containsText" text="Low">
      <formula>NOT(ISERROR(SEARCH("Low",R57)))</formula>
    </cfRule>
    <cfRule type="containsText" dxfId="1550" priority="1393" stopIfTrue="1" operator="containsText" text="Negligible">
      <formula>NOT(ISERROR(SEARCH("Negligible",R57)))</formula>
    </cfRule>
  </conditionalFormatting>
  <conditionalFormatting sqref="AH57">
    <cfRule type="expression" dxfId="1549" priority="1383">
      <formula>$AH57&gt;$N57</formula>
    </cfRule>
    <cfRule type="expression" dxfId="1548" priority="1384">
      <formula>$AH57=$N57</formula>
    </cfRule>
    <cfRule type="expression" dxfId="1547" priority="1385">
      <formula>$AH57&lt;$N57</formula>
    </cfRule>
  </conditionalFormatting>
  <conditionalFormatting sqref="AI57">
    <cfRule type="expression" dxfId="1546" priority="1380">
      <formula>$AI57&gt;$O57</formula>
    </cfRule>
    <cfRule type="expression" dxfId="1545" priority="1381">
      <formula>$AI57=$O57</formula>
    </cfRule>
    <cfRule type="expression" dxfId="1544" priority="1382">
      <formula>$AI57&lt;$O57</formula>
    </cfRule>
  </conditionalFormatting>
  <conditionalFormatting sqref="AJ57">
    <cfRule type="expression" dxfId="1543" priority="1377">
      <formula>$AJ57&gt;$P57</formula>
    </cfRule>
    <cfRule type="expression" dxfId="1542" priority="1378">
      <formula>$AJ57=$P57</formula>
    </cfRule>
    <cfRule type="expression" dxfId="1541" priority="1379">
      <formula>$AJ57&lt;$P57</formula>
    </cfRule>
  </conditionalFormatting>
  <conditionalFormatting sqref="AK57">
    <cfRule type="expression" dxfId="1540" priority="1374">
      <formula>$AK57&gt;$Q57</formula>
    </cfRule>
    <cfRule type="expression" dxfId="1539" priority="1375">
      <formula>$AK57=$Q57</formula>
    </cfRule>
    <cfRule type="expression" dxfId="1538" priority="1376">
      <formula>$AK57&lt;$Q57</formula>
    </cfRule>
  </conditionalFormatting>
  <conditionalFormatting sqref="AC57">
    <cfRule type="expression" dxfId="1537" priority="1373">
      <formula>$AC57&lt;$AB57</formula>
    </cfRule>
  </conditionalFormatting>
  <conditionalFormatting sqref="AD57">
    <cfRule type="expression" dxfId="1536" priority="1372">
      <formula>$AD57&lt;$AC57</formula>
    </cfRule>
  </conditionalFormatting>
  <conditionalFormatting sqref="AU57:AV57">
    <cfRule type="expression" dxfId="1535" priority="1371">
      <formula>$Y57=0%</formula>
    </cfRule>
  </conditionalFormatting>
  <conditionalFormatting sqref="J57">
    <cfRule type="expression" dxfId="1534" priority="1366">
      <formula>$Y57=0%</formula>
    </cfRule>
  </conditionalFormatting>
  <conditionalFormatting sqref="M57">
    <cfRule type="expression" dxfId="1533" priority="1361">
      <formula>$Y57=0%</formula>
    </cfRule>
  </conditionalFormatting>
  <conditionalFormatting sqref="N57">
    <cfRule type="expression" dxfId="1532" priority="1356">
      <formula>$Y57=0%</formula>
    </cfRule>
  </conditionalFormatting>
  <conditionalFormatting sqref="O57">
    <cfRule type="expression" dxfId="1531" priority="1351">
      <formula>$Y57=0%</formula>
    </cfRule>
  </conditionalFormatting>
  <conditionalFormatting sqref="P57:Q57">
    <cfRule type="expression" dxfId="1530" priority="1346">
      <formula>$Y57=0%</formula>
    </cfRule>
  </conditionalFormatting>
  <conditionalFormatting sqref="Y58">
    <cfRule type="cellIs" dxfId="1529" priority="1342" stopIfTrue="1" operator="greaterThan">
      <formula>0.5</formula>
    </cfRule>
    <cfRule type="cellIs" dxfId="1528" priority="1343" stopIfTrue="1" operator="between">
      <formula>0.10001</formula>
      <formula>0.5</formula>
    </cfRule>
    <cfRule type="cellIs" dxfId="1527" priority="1344" stopIfTrue="1" operator="between">
      <formula>0.0100001</formula>
      <formula>0.1</formula>
    </cfRule>
    <cfRule type="cellIs" dxfId="1526" priority="1345" stopIfTrue="1" operator="between">
      <formula>0.000001</formula>
      <formula>0.01</formula>
    </cfRule>
  </conditionalFormatting>
  <conditionalFormatting sqref="AL58 T58">
    <cfRule type="containsText" dxfId="1525" priority="1338" stopIfTrue="1" operator="containsText" text="High">
      <formula>NOT(ISERROR(SEARCH("High",T58)))</formula>
    </cfRule>
    <cfRule type="containsText" dxfId="1524" priority="1339" stopIfTrue="1" operator="containsText" text="Moderate">
      <formula>NOT(ISERROR(SEARCH("Moderate",T58)))</formula>
    </cfRule>
    <cfRule type="containsText" dxfId="1523" priority="1340" stopIfTrue="1" operator="containsText" text="Low">
      <formula>NOT(ISERROR(SEARCH("Low",T58)))</formula>
    </cfRule>
    <cfRule type="containsText" dxfId="1522" priority="1341" stopIfTrue="1" operator="containsText" text="Negligible">
      <formula>NOT(ISERROR(SEARCH("Negligible",T58)))</formula>
    </cfRule>
  </conditionalFormatting>
  <conditionalFormatting sqref="R58:S58 AN58">
    <cfRule type="containsText" dxfId="1521" priority="1334" stopIfTrue="1" operator="containsText" text="High">
      <formula>NOT(ISERROR(SEARCH("High",R58)))</formula>
    </cfRule>
    <cfRule type="containsText" dxfId="1520" priority="1335" stopIfTrue="1" operator="containsText" text="Moderate">
      <formula>NOT(ISERROR(SEARCH("Moderate",R58)))</formula>
    </cfRule>
    <cfRule type="containsText" dxfId="1519" priority="1336" stopIfTrue="1" operator="containsText" text="Low">
      <formula>NOT(ISERROR(SEARCH("Low",R58)))</formula>
    </cfRule>
    <cfRule type="containsText" dxfId="1518" priority="1337" stopIfTrue="1" operator="containsText" text="Negligible">
      <formula>NOT(ISERROR(SEARCH("Negligible",R58)))</formula>
    </cfRule>
  </conditionalFormatting>
  <conditionalFormatting sqref="AH58">
    <cfRule type="expression" dxfId="1517" priority="1327">
      <formula>$AH58&gt;$N58</formula>
    </cfRule>
    <cfRule type="expression" dxfId="1516" priority="1328">
      <formula>$AH58=$N58</formula>
    </cfRule>
    <cfRule type="expression" dxfId="1515" priority="1329">
      <formula>$AH58&lt;$N58</formula>
    </cfRule>
  </conditionalFormatting>
  <conditionalFormatting sqref="AI58">
    <cfRule type="expression" dxfId="1514" priority="1324">
      <formula>$AI58&gt;$O58</formula>
    </cfRule>
    <cfRule type="expression" dxfId="1513" priority="1325">
      <formula>$AI58=$O58</formula>
    </cfRule>
    <cfRule type="expression" dxfId="1512" priority="1326">
      <formula>$AI58&lt;$O58</formula>
    </cfRule>
  </conditionalFormatting>
  <conditionalFormatting sqref="AJ58">
    <cfRule type="expression" dxfId="1511" priority="1321">
      <formula>$AJ58&gt;$P58</formula>
    </cfRule>
    <cfRule type="expression" dxfId="1510" priority="1322">
      <formula>$AJ58=$P58</formula>
    </cfRule>
    <cfRule type="expression" dxfId="1509" priority="1323">
      <formula>$AJ58&lt;$P58</formula>
    </cfRule>
  </conditionalFormatting>
  <conditionalFormatting sqref="AK58">
    <cfRule type="expression" dxfId="1508" priority="1318">
      <formula>$AK58&gt;$Q58</formula>
    </cfRule>
    <cfRule type="expression" dxfId="1507" priority="1319">
      <formula>$AK58=$Q58</formula>
    </cfRule>
    <cfRule type="expression" dxfId="1506" priority="1320">
      <formula>$AK58&lt;$Q58</formula>
    </cfRule>
  </conditionalFormatting>
  <conditionalFormatting sqref="AC58">
    <cfRule type="expression" dxfId="1505" priority="1317">
      <formula>$AC58&lt;$AB58</formula>
    </cfRule>
  </conditionalFormatting>
  <conditionalFormatting sqref="AD58">
    <cfRule type="expression" dxfId="1504" priority="1316">
      <formula>$AD58&lt;$AC58</formula>
    </cfRule>
  </conditionalFormatting>
  <conditionalFormatting sqref="AU58:AV58">
    <cfRule type="expression" dxfId="1503" priority="1315">
      <formula>$Y58=0%</formula>
    </cfRule>
  </conditionalFormatting>
  <conditionalFormatting sqref="J58">
    <cfRule type="expression" dxfId="1502" priority="1310">
      <formula>$Y58=0%</formula>
    </cfRule>
  </conditionalFormatting>
  <conditionalFormatting sqref="M58">
    <cfRule type="expression" dxfId="1501" priority="1305">
      <formula>$Y58=0%</formula>
    </cfRule>
  </conditionalFormatting>
  <conditionalFormatting sqref="N58">
    <cfRule type="expression" dxfId="1500" priority="1300">
      <formula>$Y58=0%</formula>
    </cfRule>
  </conditionalFormatting>
  <conditionalFormatting sqref="O58">
    <cfRule type="expression" dxfId="1499" priority="1295">
      <formula>$Y58=0%</formula>
    </cfRule>
  </conditionalFormatting>
  <conditionalFormatting sqref="P58:Q58">
    <cfRule type="expression" dxfId="1498" priority="1290">
      <formula>$Y58=0%</formula>
    </cfRule>
  </conditionalFormatting>
  <conditionalFormatting sqref="Y59">
    <cfRule type="cellIs" dxfId="1497" priority="1286" stopIfTrue="1" operator="greaterThan">
      <formula>0.5</formula>
    </cfRule>
    <cfRule type="cellIs" dxfId="1496" priority="1287" stopIfTrue="1" operator="between">
      <formula>0.10001</formula>
      <formula>0.5</formula>
    </cfRule>
    <cfRule type="cellIs" dxfId="1495" priority="1288" stopIfTrue="1" operator="between">
      <formula>0.0100001</formula>
      <formula>0.1</formula>
    </cfRule>
    <cfRule type="cellIs" dxfId="1494" priority="1289" stopIfTrue="1" operator="between">
      <formula>0.000001</formula>
      <formula>0.01</formula>
    </cfRule>
  </conditionalFormatting>
  <conditionalFormatting sqref="AL59 T59">
    <cfRule type="containsText" dxfId="1493" priority="1282" stopIfTrue="1" operator="containsText" text="High">
      <formula>NOT(ISERROR(SEARCH("High",T59)))</formula>
    </cfRule>
    <cfRule type="containsText" dxfId="1492" priority="1283" stopIfTrue="1" operator="containsText" text="Moderate">
      <formula>NOT(ISERROR(SEARCH("Moderate",T59)))</formula>
    </cfRule>
    <cfRule type="containsText" dxfId="1491" priority="1284" stopIfTrue="1" operator="containsText" text="Low">
      <formula>NOT(ISERROR(SEARCH("Low",T59)))</formula>
    </cfRule>
    <cfRule type="containsText" dxfId="1490" priority="1285" stopIfTrue="1" operator="containsText" text="Negligible">
      <formula>NOT(ISERROR(SEARCH("Negligible",T59)))</formula>
    </cfRule>
  </conditionalFormatting>
  <conditionalFormatting sqref="R59:S59 AN59">
    <cfRule type="containsText" dxfId="1489" priority="1278" stopIfTrue="1" operator="containsText" text="High">
      <formula>NOT(ISERROR(SEARCH("High",R59)))</formula>
    </cfRule>
    <cfRule type="containsText" dxfId="1488" priority="1279" stopIfTrue="1" operator="containsText" text="Moderate">
      <formula>NOT(ISERROR(SEARCH("Moderate",R59)))</formula>
    </cfRule>
    <cfRule type="containsText" dxfId="1487" priority="1280" stopIfTrue="1" operator="containsText" text="Low">
      <formula>NOT(ISERROR(SEARCH("Low",R59)))</formula>
    </cfRule>
    <cfRule type="containsText" dxfId="1486" priority="1281" stopIfTrue="1" operator="containsText" text="Negligible">
      <formula>NOT(ISERROR(SEARCH("Negligible",R59)))</formula>
    </cfRule>
  </conditionalFormatting>
  <conditionalFormatting sqref="AH59">
    <cfRule type="expression" dxfId="1485" priority="1271">
      <formula>$AH59&gt;$N59</formula>
    </cfRule>
    <cfRule type="expression" dxfId="1484" priority="1272">
      <formula>$AH59=$N59</formula>
    </cfRule>
    <cfRule type="expression" dxfId="1483" priority="1273">
      <formula>$AH59&lt;$N59</formula>
    </cfRule>
  </conditionalFormatting>
  <conditionalFormatting sqref="AI59">
    <cfRule type="expression" dxfId="1482" priority="1268">
      <formula>$AI59&gt;$O59</formula>
    </cfRule>
    <cfRule type="expression" dxfId="1481" priority="1269">
      <formula>$AI59=$O59</formula>
    </cfRule>
    <cfRule type="expression" dxfId="1480" priority="1270">
      <formula>$AI59&lt;$O59</formula>
    </cfRule>
  </conditionalFormatting>
  <conditionalFormatting sqref="AJ59">
    <cfRule type="expression" dxfId="1479" priority="1265">
      <formula>$AJ59&gt;$P59</formula>
    </cfRule>
    <cfRule type="expression" dxfId="1478" priority="1266">
      <formula>$AJ59=$P59</formula>
    </cfRule>
    <cfRule type="expression" dxfId="1477" priority="1267">
      <formula>$AJ59&lt;$P59</formula>
    </cfRule>
  </conditionalFormatting>
  <conditionalFormatting sqref="AK59">
    <cfRule type="expression" dxfId="1476" priority="1262">
      <formula>$AK59&gt;$Q59</formula>
    </cfRule>
    <cfRule type="expression" dxfId="1475" priority="1263">
      <formula>$AK59=$Q59</formula>
    </cfRule>
    <cfRule type="expression" dxfId="1474" priority="1264">
      <formula>$AK59&lt;$Q59</formula>
    </cfRule>
  </conditionalFormatting>
  <conditionalFormatting sqref="AC59">
    <cfRule type="expression" dxfId="1473" priority="1261">
      <formula>$AC59&lt;$AB59</formula>
    </cfRule>
  </conditionalFormatting>
  <conditionalFormatting sqref="AD59">
    <cfRule type="expression" dxfId="1472" priority="1260">
      <formula>$AD59&lt;$AC59</formula>
    </cfRule>
  </conditionalFormatting>
  <conditionalFormatting sqref="AU59:AV59">
    <cfRule type="expression" dxfId="1471" priority="1259">
      <formula>$Y59=0%</formula>
    </cfRule>
  </conditionalFormatting>
  <conditionalFormatting sqref="J59">
    <cfRule type="expression" dxfId="1470" priority="1254">
      <formula>$Y59=0%</formula>
    </cfRule>
  </conditionalFormatting>
  <conditionalFormatting sqref="M59">
    <cfRule type="expression" dxfId="1469" priority="1249">
      <formula>$Y59=0%</formula>
    </cfRule>
  </conditionalFormatting>
  <conditionalFormatting sqref="N59">
    <cfRule type="expression" dxfId="1468" priority="1244">
      <formula>$Y59=0%</formula>
    </cfRule>
  </conditionalFormatting>
  <conditionalFormatting sqref="O59">
    <cfRule type="expression" dxfId="1467" priority="1239">
      <formula>$Y59=0%</formula>
    </cfRule>
  </conditionalFormatting>
  <conditionalFormatting sqref="P59:Q59">
    <cfRule type="expression" dxfId="1466" priority="1234">
      <formula>$Y59=0%</formula>
    </cfRule>
  </conditionalFormatting>
  <conditionalFormatting sqref="AA77:AB78">
    <cfRule type="expression" dxfId="1465" priority="1233">
      <formula>$Y77=0%</formula>
    </cfRule>
  </conditionalFormatting>
  <conditionalFormatting sqref="J77:J78 Y77:Y78">
    <cfRule type="cellIs" dxfId="1464" priority="1229" stopIfTrue="1" operator="greaterThan">
      <formula>0.5</formula>
    </cfRule>
    <cfRule type="cellIs" dxfId="1463" priority="1230" stopIfTrue="1" operator="between">
      <formula>0.10001</formula>
      <formula>0.5</formula>
    </cfRule>
    <cfRule type="cellIs" dxfId="1462" priority="1231" stopIfTrue="1" operator="between">
      <formula>0.0100001</formula>
      <formula>0.1</formula>
    </cfRule>
    <cfRule type="cellIs" dxfId="1461" priority="1232" stopIfTrue="1" operator="between">
      <formula>0.000001</formula>
      <formula>0.01</formula>
    </cfRule>
  </conditionalFormatting>
  <conditionalFormatting sqref="T77:T78">
    <cfRule type="containsText" dxfId="1460" priority="1225" stopIfTrue="1" operator="containsText" text="High">
      <formula>NOT(ISERROR(SEARCH("High",T77)))</formula>
    </cfRule>
    <cfRule type="containsText" dxfId="1459" priority="1226" stopIfTrue="1" operator="containsText" text="Moderate">
      <formula>NOT(ISERROR(SEARCH("Moderate",T77)))</formula>
    </cfRule>
    <cfRule type="containsText" dxfId="1458" priority="1227" stopIfTrue="1" operator="containsText" text="Low">
      <formula>NOT(ISERROR(SEARCH("Low",T77)))</formula>
    </cfRule>
    <cfRule type="containsText" dxfId="1457" priority="1228" stopIfTrue="1" operator="containsText" text="Negligible">
      <formula>NOT(ISERROR(SEARCH("Negligible",T77)))</formula>
    </cfRule>
  </conditionalFormatting>
  <conditionalFormatting sqref="AL77:AL78">
    <cfRule type="containsText" dxfId="1456" priority="1221" stopIfTrue="1" operator="containsText" text="High">
      <formula>NOT(ISERROR(SEARCH("High",AL77)))</formula>
    </cfRule>
    <cfRule type="containsText" dxfId="1455" priority="1222" stopIfTrue="1" operator="containsText" text="Moderate">
      <formula>NOT(ISERROR(SEARCH("Moderate",AL77)))</formula>
    </cfRule>
    <cfRule type="containsText" dxfId="1454" priority="1223" stopIfTrue="1" operator="containsText" text="Low">
      <formula>NOT(ISERROR(SEARCH("Low",AL77)))</formula>
    </cfRule>
    <cfRule type="containsText" dxfId="1453" priority="1224" stopIfTrue="1" operator="containsText" text="Negligible">
      <formula>NOT(ISERROR(SEARCH("Negligible",AL77)))</formula>
    </cfRule>
  </conditionalFormatting>
  <conditionalFormatting sqref="R77:S78">
    <cfRule type="containsText" dxfId="1452" priority="1217" stopIfTrue="1" operator="containsText" text="High">
      <formula>NOT(ISERROR(SEARCH("High",R77)))</formula>
    </cfRule>
    <cfRule type="containsText" dxfId="1451" priority="1218" stopIfTrue="1" operator="containsText" text="Moderate">
      <formula>NOT(ISERROR(SEARCH("Moderate",R77)))</formula>
    </cfRule>
    <cfRule type="containsText" dxfId="1450" priority="1219" stopIfTrue="1" operator="containsText" text="Low">
      <formula>NOT(ISERROR(SEARCH("Low",R77)))</formula>
    </cfRule>
    <cfRule type="containsText" dxfId="1449" priority="1220" stopIfTrue="1" operator="containsText" text="Negligible">
      <formula>NOT(ISERROR(SEARCH("Negligible",R77)))</formula>
    </cfRule>
  </conditionalFormatting>
  <conditionalFormatting sqref="M77:M78">
    <cfRule type="expression" dxfId="1448" priority="1192" stopIfTrue="1">
      <formula>$M77=""</formula>
    </cfRule>
  </conditionalFormatting>
  <conditionalFormatting sqref="AN77:AN78">
    <cfRule type="containsText" dxfId="1447" priority="1188" stopIfTrue="1" operator="containsText" text="High">
      <formula>NOT(ISERROR(SEARCH("High",AN77)))</formula>
    </cfRule>
    <cfRule type="containsText" dxfId="1446" priority="1189" stopIfTrue="1" operator="containsText" text="Moderate">
      <formula>NOT(ISERROR(SEARCH("Moderate",AN77)))</formula>
    </cfRule>
    <cfRule type="containsText" dxfId="1445" priority="1190" stopIfTrue="1" operator="containsText" text="Low">
      <formula>NOT(ISERROR(SEARCH("Low",AN77)))</formula>
    </cfRule>
    <cfRule type="containsText" dxfId="1444" priority="1191" stopIfTrue="1" operator="containsText" text="Negligible">
      <formula>NOT(ISERROR(SEARCH("Negligible",AN77)))</formula>
    </cfRule>
  </conditionalFormatting>
  <conditionalFormatting sqref="AD77:AD78">
    <cfRule type="expression" dxfId="1443" priority="1186">
      <formula>$AD77&lt;$AC77</formula>
    </cfRule>
  </conditionalFormatting>
  <conditionalFormatting sqref="AA77:AB78 AD77:AG78 B77:G78 I77:Y78 AL77:AL78 AQ77:AY78 AN77:AN78">
    <cfRule type="expression" dxfId="1442" priority="1184">
      <formula>"$W50=0"</formula>
    </cfRule>
  </conditionalFormatting>
  <conditionalFormatting sqref="J9 Y9">
    <cfRule type="cellIs" dxfId="1441" priority="1175" stopIfTrue="1" operator="greaterThan">
      <formula>0.5</formula>
    </cfRule>
    <cfRule type="cellIs" dxfId="1440" priority="1176" stopIfTrue="1" operator="between">
      <formula>0.10001</formula>
      <formula>0.5</formula>
    </cfRule>
    <cfRule type="cellIs" dxfId="1439" priority="1177" stopIfTrue="1" operator="between">
      <formula>0.0100001</formula>
      <formula>0.1</formula>
    </cfRule>
    <cfRule type="cellIs" dxfId="1438" priority="1178" stopIfTrue="1" operator="between">
      <formula>0.000001</formula>
      <formula>0.01</formula>
    </cfRule>
  </conditionalFormatting>
  <conditionalFormatting sqref="AL9 T9">
    <cfRule type="containsText" dxfId="1437" priority="1171" stopIfTrue="1" operator="containsText" text="High">
      <formula>NOT(ISERROR(SEARCH("High",T9)))</formula>
    </cfRule>
    <cfRule type="containsText" dxfId="1436" priority="1172" stopIfTrue="1" operator="containsText" text="Moderate">
      <formula>NOT(ISERROR(SEARCH("Moderate",T9)))</formula>
    </cfRule>
    <cfRule type="containsText" dxfId="1435" priority="1173" stopIfTrue="1" operator="containsText" text="Low">
      <formula>NOT(ISERROR(SEARCH("Low",T9)))</formula>
    </cfRule>
    <cfRule type="containsText" dxfId="1434" priority="1174" stopIfTrue="1" operator="containsText" text="Negligible">
      <formula>NOT(ISERROR(SEARCH("Negligible",T9)))</formula>
    </cfRule>
  </conditionalFormatting>
  <conditionalFormatting sqref="R9:S9 AN9">
    <cfRule type="containsText" dxfId="1433" priority="1167" stopIfTrue="1" operator="containsText" text="High">
      <formula>NOT(ISERROR(SEARCH("High",R9)))</formula>
    </cfRule>
    <cfRule type="containsText" dxfId="1432" priority="1168" stopIfTrue="1" operator="containsText" text="Moderate">
      <formula>NOT(ISERROR(SEARCH("Moderate",R9)))</formula>
    </cfRule>
    <cfRule type="containsText" dxfId="1431" priority="1169" stopIfTrue="1" operator="containsText" text="Low">
      <formula>NOT(ISERROR(SEARCH("Low",R9)))</formula>
    </cfRule>
    <cfRule type="containsText" dxfId="1430" priority="1170" stopIfTrue="1" operator="containsText" text="Negligible">
      <formula>NOT(ISERROR(SEARCH("Negligible",R9)))</formula>
    </cfRule>
  </conditionalFormatting>
  <conditionalFormatting sqref="AH9">
    <cfRule type="expression" dxfId="1429" priority="1160">
      <formula>$AH9&gt;$N9</formula>
    </cfRule>
    <cfRule type="expression" dxfId="1428" priority="1161">
      <formula>$AH9=$N9</formula>
    </cfRule>
    <cfRule type="expression" dxfId="1427" priority="1162">
      <formula>$AH9&lt;$N9</formula>
    </cfRule>
  </conditionalFormatting>
  <conditionalFormatting sqref="AI9">
    <cfRule type="expression" dxfId="1426" priority="1157">
      <formula>$AI9&gt;$O9</formula>
    </cfRule>
    <cfRule type="expression" dxfId="1425" priority="1158">
      <formula>$AI9=$O9</formula>
    </cfRule>
    <cfRule type="expression" dxfId="1424" priority="1159">
      <formula>$AI9&lt;$O9</formula>
    </cfRule>
  </conditionalFormatting>
  <conditionalFormatting sqref="AJ9">
    <cfRule type="expression" dxfId="1423" priority="1154">
      <formula>$AJ9&gt;$P9</formula>
    </cfRule>
    <cfRule type="expression" dxfId="1422" priority="1155">
      <formula>$AJ9=$P9</formula>
    </cfRule>
    <cfRule type="expression" dxfId="1421" priority="1156">
      <formula>$AJ9&lt;$P9</formula>
    </cfRule>
  </conditionalFormatting>
  <conditionalFormatting sqref="AK9">
    <cfRule type="expression" dxfId="1420" priority="1151">
      <formula>$AK9&gt;$Q9</formula>
    </cfRule>
    <cfRule type="expression" dxfId="1419" priority="1152">
      <formula>$AK9=$Q9</formula>
    </cfRule>
    <cfRule type="expression" dxfId="1418" priority="1153">
      <formula>$AK9&lt;$Q9</formula>
    </cfRule>
  </conditionalFormatting>
  <conditionalFormatting sqref="M9">
    <cfRule type="expression" dxfId="1417" priority="1146" stopIfTrue="1">
      <formula>$M9=""</formula>
    </cfRule>
  </conditionalFormatting>
  <conditionalFormatting sqref="AD9">
    <cfRule type="expression" dxfId="1416" priority="1144">
      <formula>$AD9&lt;$AC9</formula>
    </cfRule>
  </conditionalFormatting>
  <conditionalFormatting sqref="C9">
    <cfRule type="expression" dxfId="1415" priority="1141">
      <formula>$Y9=0%</formula>
    </cfRule>
  </conditionalFormatting>
  <conditionalFormatting sqref="AD13">
    <cfRule type="expression" dxfId="1414" priority="1116">
      <formula>$AD13&lt;$AC13</formula>
    </cfRule>
  </conditionalFormatting>
  <conditionalFormatting sqref="J84 Y84">
    <cfRule type="cellIs" dxfId="1413" priority="1108" stopIfTrue="1" operator="greaterThan">
      <formula>0.5</formula>
    </cfRule>
    <cfRule type="cellIs" dxfId="1412" priority="1109" stopIfTrue="1" operator="between">
      <formula>0.10001</formula>
      <formula>0.5</formula>
    </cfRule>
    <cfRule type="cellIs" dxfId="1411" priority="1110" stopIfTrue="1" operator="between">
      <formula>0.0100001</formula>
      <formula>0.1</formula>
    </cfRule>
    <cfRule type="cellIs" dxfId="1410" priority="1111" stopIfTrue="1" operator="between">
      <formula>0.000001</formula>
      <formula>0.01</formula>
    </cfRule>
  </conditionalFormatting>
  <conditionalFormatting sqref="T84">
    <cfRule type="containsText" dxfId="1409" priority="1104" stopIfTrue="1" operator="containsText" text="High">
      <formula>NOT(ISERROR(SEARCH("High",T84)))</formula>
    </cfRule>
    <cfRule type="containsText" dxfId="1408" priority="1105" stopIfTrue="1" operator="containsText" text="Moderate">
      <formula>NOT(ISERROR(SEARCH("Moderate",T84)))</formula>
    </cfRule>
    <cfRule type="containsText" dxfId="1407" priority="1106" stopIfTrue="1" operator="containsText" text="Low">
      <formula>NOT(ISERROR(SEARCH("Low",T84)))</formula>
    </cfRule>
    <cfRule type="containsText" dxfId="1406" priority="1107" stopIfTrue="1" operator="containsText" text="Negligible">
      <formula>NOT(ISERROR(SEARCH("Negligible",T84)))</formula>
    </cfRule>
  </conditionalFormatting>
  <conditionalFormatting sqref="R84:S84 AN84">
    <cfRule type="containsText" dxfId="1405" priority="1100" stopIfTrue="1" operator="containsText" text="High">
      <formula>NOT(ISERROR(SEARCH("High",R84)))</formula>
    </cfRule>
    <cfRule type="containsText" dxfId="1404" priority="1101" stopIfTrue="1" operator="containsText" text="Moderate">
      <formula>NOT(ISERROR(SEARCH("Moderate",R84)))</formula>
    </cfRule>
    <cfRule type="containsText" dxfId="1403" priority="1102" stopIfTrue="1" operator="containsText" text="Low">
      <formula>NOT(ISERROR(SEARCH("Low",R84)))</formula>
    </cfRule>
    <cfRule type="containsText" dxfId="1402" priority="1103" stopIfTrue="1" operator="containsText" text="Negligible">
      <formula>NOT(ISERROR(SEARCH("Negligible",R84)))</formula>
    </cfRule>
  </conditionalFormatting>
  <conditionalFormatting sqref="M84">
    <cfRule type="expression" dxfId="1401" priority="1079" stopIfTrue="1">
      <formula>$M84=""</formula>
    </cfRule>
  </conditionalFormatting>
  <conditionalFormatting sqref="AD84">
    <cfRule type="expression" dxfId="1400" priority="1077">
      <formula>$AD84&lt;$AC84</formula>
    </cfRule>
  </conditionalFormatting>
  <conditionalFormatting sqref="B97:C110">
    <cfRule type="expression" dxfId="1399" priority="1058">
      <formula>"$W50=0"</formula>
    </cfRule>
  </conditionalFormatting>
  <conditionalFormatting sqref="C97:C110">
    <cfRule type="expression" dxfId="1398" priority="1056">
      <formula>"$W50=0"</formula>
    </cfRule>
  </conditionalFormatting>
  <conditionalFormatting sqref="E97:G110">
    <cfRule type="expression" dxfId="1397" priority="1055">
      <formula>"$W50=0"</formula>
    </cfRule>
  </conditionalFormatting>
  <conditionalFormatting sqref="B111">
    <cfRule type="expression" dxfId="1396" priority="1049">
      <formula>"$W50=0"</formula>
    </cfRule>
  </conditionalFormatting>
  <conditionalFormatting sqref="B112">
    <cfRule type="expression" dxfId="1395" priority="1048">
      <formula>"$W50=0"</formula>
    </cfRule>
  </conditionalFormatting>
  <conditionalFormatting sqref="B113">
    <cfRule type="expression" dxfId="1394" priority="1047">
      <formula>"$W50=0"</formula>
    </cfRule>
  </conditionalFormatting>
  <conditionalFormatting sqref="J111">
    <cfRule type="expression" dxfId="1393" priority="1042">
      <formula>"$W50=0"</formula>
    </cfRule>
  </conditionalFormatting>
  <conditionalFormatting sqref="J111">
    <cfRule type="cellIs" dxfId="1392" priority="1043" stopIfTrue="1" operator="greaterThan">
      <formula>0.5</formula>
    </cfRule>
    <cfRule type="cellIs" dxfId="1391" priority="1044" stopIfTrue="1" operator="between">
      <formula>0.10001</formula>
      <formula>0.5</formula>
    </cfRule>
    <cfRule type="cellIs" dxfId="1390" priority="1045" stopIfTrue="1" operator="between">
      <formula>0.0100001</formula>
      <formula>0.1</formula>
    </cfRule>
    <cfRule type="cellIs" dxfId="1389" priority="1046" stopIfTrue="1" operator="between">
      <formula>0.000001</formula>
      <formula>0.01</formula>
    </cfRule>
  </conditionalFormatting>
  <conditionalFormatting sqref="J112">
    <cfRule type="expression" dxfId="1388" priority="1037">
      <formula>"$W50=0"</formula>
    </cfRule>
  </conditionalFormatting>
  <conditionalFormatting sqref="J112">
    <cfRule type="cellIs" dxfId="1387" priority="1038" stopIfTrue="1" operator="greaterThan">
      <formula>0.5</formula>
    </cfRule>
    <cfRule type="cellIs" dxfId="1386" priority="1039" stopIfTrue="1" operator="between">
      <formula>0.10001</formula>
      <formula>0.5</formula>
    </cfRule>
    <cfRule type="cellIs" dxfId="1385" priority="1040" stopIfTrue="1" operator="between">
      <formula>0.0100001</formula>
      <formula>0.1</formula>
    </cfRule>
    <cfRule type="cellIs" dxfId="1384" priority="1041" stopIfTrue="1" operator="between">
      <formula>0.000001</formula>
      <formula>0.01</formula>
    </cfRule>
  </conditionalFormatting>
  <conditionalFormatting sqref="J113">
    <cfRule type="expression" dxfId="1383" priority="1032">
      <formula>"$W50=0"</formula>
    </cfRule>
  </conditionalFormatting>
  <conditionalFormatting sqref="J113">
    <cfRule type="cellIs" dxfId="1382" priority="1033" stopIfTrue="1" operator="greaterThan">
      <formula>0.5</formula>
    </cfRule>
    <cfRule type="cellIs" dxfId="1381" priority="1034" stopIfTrue="1" operator="between">
      <formula>0.10001</formula>
      <formula>0.5</formula>
    </cfRule>
    <cfRule type="cellIs" dxfId="1380" priority="1035" stopIfTrue="1" operator="between">
      <formula>0.0100001</formula>
      <formula>0.1</formula>
    </cfRule>
    <cfRule type="cellIs" dxfId="1379" priority="1036" stopIfTrue="1" operator="between">
      <formula>0.000001</formula>
      <formula>0.01</formula>
    </cfRule>
  </conditionalFormatting>
  <conditionalFormatting sqref="M100">
    <cfRule type="expression" dxfId="1378" priority="1016">
      <formula>"$W50=0"</formula>
    </cfRule>
  </conditionalFormatting>
  <conditionalFormatting sqref="M99">
    <cfRule type="expression" dxfId="1377" priority="1017">
      <formula>"$W50=0"</formula>
    </cfRule>
  </conditionalFormatting>
  <conditionalFormatting sqref="E111">
    <cfRule type="expression" dxfId="1376" priority="1014">
      <formula>"$W50=0"</formula>
    </cfRule>
  </conditionalFormatting>
  <conditionalFormatting sqref="E112">
    <cfRule type="expression" dxfId="1375" priority="1013">
      <formula>"$W50=0"</formula>
    </cfRule>
  </conditionalFormatting>
  <conditionalFormatting sqref="E113">
    <cfRule type="expression" dxfId="1374" priority="1012">
      <formula>"$W50=0"</formula>
    </cfRule>
  </conditionalFormatting>
  <conditionalFormatting sqref="G111:G113">
    <cfRule type="expression" dxfId="1373" priority="1011">
      <formula>"$W50=0"</formula>
    </cfRule>
  </conditionalFormatting>
  <conditionalFormatting sqref="L113">
    <cfRule type="expression" dxfId="1372" priority="1006">
      <formula>"$W50=0"</formula>
    </cfRule>
  </conditionalFormatting>
  <conditionalFormatting sqref="L99">
    <cfRule type="expression" dxfId="1371" priority="1001">
      <formula>"$W50=0"</formula>
    </cfRule>
  </conditionalFormatting>
  <conditionalFormatting sqref="T114">
    <cfRule type="containsText" dxfId="1370" priority="997" stopIfTrue="1" operator="containsText" text="High">
      <formula>NOT(ISERROR(SEARCH("High",T114)))</formula>
    </cfRule>
    <cfRule type="containsText" dxfId="1369" priority="998" stopIfTrue="1" operator="containsText" text="Moderate">
      <formula>NOT(ISERROR(SEARCH("Moderate",T114)))</formula>
    </cfRule>
    <cfRule type="containsText" dxfId="1368" priority="999" stopIfTrue="1" operator="containsText" text="Low">
      <formula>NOT(ISERROR(SEARCH("Low",T114)))</formula>
    </cfRule>
    <cfRule type="containsText" dxfId="1367" priority="1000" stopIfTrue="1" operator="containsText" text="Negligible">
      <formula>NOT(ISERROR(SEARCH("Negligible",T114)))</formula>
    </cfRule>
  </conditionalFormatting>
  <conditionalFormatting sqref="R114:S114">
    <cfRule type="containsText" dxfId="1366" priority="993" stopIfTrue="1" operator="containsText" text="High">
      <formula>NOT(ISERROR(SEARCH("High",R114)))</formula>
    </cfRule>
    <cfRule type="containsText" dxfId="1365" priority="994" stopIfTrue="1" operator="containsText" text="Moderate">
      <formula>NOT(ISERROR(SEARCH("Moderate",R114)))</formula>
    </cfRule>
    <cfRule type="containsText" dxfId="1364" priority="995" stopIfTrue="1" operator="containsText" text="Low">
      <formula>NOT(ISERROR(SEARCH("Low",R114)))</formula>
    </cfRule>
    <cfRule type="containsText" dxfId="1363" priority="996" stopIfTrue="1" operator="containsText" text="Negligible">
      <formula>NOT(ISERROR(SEARCH("Negligible",R114)))</formula>
    </cfRule>
  </conditionalFormatting>
  <conditionalFormatting sqref="K114 N114:T114">
    <cfRule type="expression" dxfId="1362" priority="988">
      <formula>"$W50=0"</formula>
    </cfRule>
  </conditionalFormatting>
  <conditionalFormatting sqref="B114">
    <cfRule type="expression" dxfId="1361" priority="987">
      <formula>"$W50=0"</formula>
    </cfRule>
  </conditionalFormatting>
  <conditionalFormatting sqref="J114">
    <cfRule type="expression" dxfId="1360" priority="982">
      <formula>"$W50=0"</formula>
    </cfRule>
  </conditionalFormatting>
  <conditionalFormatting sqref="J114">
    <cfRule type="cellIs" dxfId="1359" priority="983" stopIfTrue="1" operator="greaterThan">
      <formula>0.5</formula>
    </cfRule>
    <cfRule type="cellIs" dxfId="1358" priority="984" stopIfTrue="1" operator="between">
      <formula>0.10001</formula>
      <formula>0.5</formula>
    </cfRule>
    <cfRule type="cellIs" dxfId="1357" priority="985" stopIfTrue="1" operator="between">
      <formula>0.0100001</formula>
      <formula>0.1</formula>
    </cfRule>
    <cfRule type="cellIs" dxfId="1356" priority="986" stopIfTrue="1" operator="between">
      <formula>0.000001</formula>
      <formula>0.01</formula>
    </cfRule>
  </conditionalFormatting>
  <conditionalFormatting sqref="E114">
    <cfRule type="expression" dxfId="1355" priority="980">
      <formula>"$W50=0"</formula>
    </cfRule>
  </conditionalFormatting>
  <conditionalFormatting sqref="G114">
    <cfRule type="expression" dxfId="1354" priority="979">
      <formula>"$W50=0"</formula>
    </cfRule>
  </conditionalFormatting>
  <conditionalFormatting sqref="J80 Y80">
    <cfRule type="cellIs" dxfId="1353" priority="970" stopIfTrue="1" operator="greaterThan">
      <formula>0.5</formula>
    </cfRule>
    <cfRule type="cellIs" dxfId="1352" priority="971" stopIfTrue="1" operator="between">
      <formula>0.10001</formula>
      <formula>0.5</formula>
    </cfRule>
    <cfRule type="cellIs" dxfId="1351" priority="972" stopIfTrue="1" operator="between">
      <formula>0.0100001</formula>
      <formula>0.1</formula>
    </cfRule>
    <cfRule type="cellIs" dxfId="1350" priority="973" stopIfTrue="1" operator="between">
      <formula>0.000001</formula>
      <formula>0.01</formula>
    </cfRule>
  </conditionalFormatting>
  <conditionalFormatting sqref="T80">
    <cfRule type="containsText" dxfId="1349" priority="966" stopIfTrue="1" operator="containsText" text="High">
      <formula>NOT(ISERROR(SEARCH("High",T80)))</formula>
    </cfRule>
    <cfRule type="containsText" dxfId="1348" priority="967" stopIfTrue="1" operator="containsText" text="Moderate">
      <formula>NOT(ISERROR(SEARCH("Moderate",T80)))</formula>
    </cfRule>
    <cfRule type="containsText" dxfId="1347" priority="968" stopIfTrue="1" operator="containsText" text="Low">
      <formula>NOT(ISERROR(SEARCH("Low",T80)))</formula>
    </cfRule>
    <cfRule type="containsText" dxfId="1346" priority="969" stopIfTrue="1" operator="containsText" text="Negligible">
      <formula>NOT(ISERROR(SEARCH("Negligible",T80)))</formula>
    </cfRule>
  </conditionalFormatting>
  <conditionalFormatting sqref="AL80">
    <cfRule type="containsText" dxfId="1345" priority="962" stopIfTrue="1" operator="containsText" text="High">
      <formula>NOT(ISERROR(SEARCH("High",AL80)))</formula>
    </cfRule>
    <cfRule type="containsText" dxfId="1344" priority="963" stopIfTrue="1" operator="containsText" text="Moderate">
      <formula>NOT(ISERROR(SEARCH("Moderate",AL80)))</formula>
    </cfRule>
    <cfRule type="containsText" dxfId="1343" priority="964" stopIfTrue="1" operator="containsText" text="Low">
      <formula>NOT(ISERROR(SEARCH("Low",AL80)))</formula>
    </cfRule>
    <cfRule type="containsText" dxfId="1342" priority="965" stopIfTrue="1" operator="containsText" text="Negligible">
      <formula>NOT(ISERROR(SEARCH("Negligible",AL80)))</formula>
    </cfRule>
  </conditionalFormatting>
  <conditionalFormatting sqref="S80">
    <cfRule type="containsText" dxfId="1341" priority="958" stopIfTrue="1" operator="containsText" text="High">
      <formula>NOT(ISERROR(SEARCH("High",S80)))</formula>
    </cfRule>
    <cfRule type="containsText" dxfId="1340" priority="959" stopIfTrue="1" operator="containsText" text="Moderate">
      <formula>NOT(ISERROR(SEARCH("Moderate",S80)))</formula>
    </cfRule>
    <cfRule type="containsText" dxfId="1339" priority="960" stopIfTrue="1" operator="containsText" text="Low">
      <formula>NOT(ISERROR(SEARCH("Low",S80)))</formula>
    </cfRule>
    <cfRule type="containsText" dxfId="1338" priority="961" stopIfTrue="1" operator="containsText" text="Negligible">
      <formula>NOT(ISERROR(SEARCH("Negligible",S80)))</formula>
    </cfRule>
  </conditionalFormatting>
  <conditionalFormatting sqref="AN80">
    <cfRule type="containsText" dxfId="1337" priority="929" stopIfTrue="1" operator="containsText" text="High">
      <formula>NOT(ISERROR(SEARCH("High",AN80)))</formula>
    </cfRule>
    <cfRule type="containsText" dxfId="1336" priority="930" stopIfTrue="1" operator="containsText" text="Moderate">
      <formula>NOT(ISERROR(SEARCH("Moderate",AN80)))</formula>
    </cfRule>
    <cfRule type="containsText" dxfId="1335" priority="931" stopIfTrue="1" operator="containsText" text="Low">
      <formula>NOT(ISERROR(SEARCH("Low",AN80)))</formula>
    </cfRule>
    <cfRule type="containsText" dxfId="1334" priority="932" stopIfTrue="1" operator="containsText" text="Negligible">
      <formula>NOT(ISERROR(SEARCH("Negligible",AN80)))</formula>
    </cfRule>
  </conditionalFormatting>
  <conditionalFormatting sqref="B80:G80 AA80 AL80 I80:L80 S80:Y80 AQ80:AV80 AN80 AX80:AY80">
    <cfRule type="expression" dxfId="1333" priority="928">
      <formula>"$W50=0"</formula>
    </cfRule>
  </conditionalFormatting>
  <conditionalFormatting sqref="R80">
    <cfRule type="containsText" dxfId="1332" priority="908" stopIfTrue="1" operator="containsText" text="High">
      <formula>NOT(ISERROR(SEARCH("High",R80)))</formula>
    </cfRule>
    <cfRule type="containsText" dxfId="1331" priority="909" stopIfTrue="1" operator="containsText" text="Moderate">
      <formula>NOT(ISERROR(SEARCH("Moderate",R80)))</formula>
    </cfRule>
    <cfRule type="containsText" dxfId="1330" priority="910" stopIfTrue="1" operator="containsText" text="Low">
      <formula>NOT(ISERROR(SEARCH("Low",R80)))</formula>
    </cfRule>
    <cfRule type="containsText" dxfId="1329" priority="911" stopIfTrue="1" operator="containsText" text="Negligible">
      <formula>NOT(ISERROR(SEARCH("Negligible",R80)))</formula>
    </cfRule>
  </conditionalFormatting>
  <conditionalFormatting sqref="M80">
    <cfRule type="expression" dxfId="1328" priority="903" stopIfTrue="1">
      <formula>$M80=""</formula>
    </cfRule>
  </conditionalFormatting>
  <conditionalFormatting sqref="M80:R80">
    <cfRule type="expression" dxfId="1327" priority="902">
      <formula>"$W50=0"</formula>
    </cfRule>
  </conditionalFormatting>
  <conditionalFormatting sqref="AD80">
    <cfRule type="expression" dxfId="1326" priority="896">
      <formula>$AD80&lt;$AC80</formula>
    </cfRule>
  </conditionalFormatting>
  <conditionalFormatting sqref="AB80 AD80:AG80">
    <cfRule type="expression" dxfId="1325" priority="894">
      <formula>"$W50=0"</formula>
    </cfRule>
  </conditionalFormatting>
  <conditionalFormatting sqref="AC75">
    <cfRule type="expression" dxfId="1324" priority="891">
      <formula>$AC75&lt;$AB75</formula>
    </cfRule>
    <cfRule type="expression" dxfId="1323" priority="893">
      <formula>$AC75&gt;$M75</formula>
    </cfRule>
  </conditionalFormatting>
  <conditionalFormatting sqref="AD75">
    <cfRule type="expression" dxfId="1322" priority="892">
      <formula>$AD75&lt;$AC75</formula>
    </cfRule>
  </conditionalFormatting>
  <conditionalFormatting sqref="AB75:AG75">
    <cfRule type="expression" dxfId="1321" priority="890">
      <formula>"$W50=0"</formula>
    </cfRule>
  </conditionalFormatting>
  <conditionalFormatting sqref="AC76">
    <cfRule type="expression" dxfId="1320" priority="887">
      <formula>$AC76&lt;$AB76</formula>
    </cfRule>
    <cfRule type="expression" dxfId="1319" priority="889">
      <formula>$AC76&gt;$M76</formula>
    </cfRule>
  </conditionalFormatting>
  <conditionalFormatting sqref="AD76">
    <cfRule type="expression" dxfId="1318" priority="888">
      <formula>$AD76&lt;$AC76</formula>
    </cfRule>
  </conditionalFormatting>
  <conditionalFormatting sqref="AB76:AG76">
    <cfRule type="expression" dxfId="1317" priority="886">
      <formula>"$W50=0"</formula>
    </cfRule>
  </conditionalFormatting>
  <conditionalFormatting sqref="AH67 AH80 AH75:AH78 AH69:AH70">
    <cfRule type="expression" dxfId="1316" priority="883">
      <formula>$AH67&gt;$N67</formula>
    </cfRule>
    <cfRule type="expression" dxfId="1315" priority="884">
      <formula>$AH67=$N67</formula>
    </cfRule>
    <cfRule type="expression" dxfId="1314" priority="885">
      <formula>$AH67&lt;$N67</formula>
    </cfRule>
  </conditionalFormatting>
  <conditionalFormatting sqref="AI67 AI80 AI75:AI78 AI69:AI70">
    <cfRule type="expression" dxfId="1313" priority="880">
      <formula>$AI67&gt;$O67</formula>
    </cfRule>
    <cfRule type="expression" dxfId="1312" priority="881">
      <formula>$AI67=$O67</formula>
    </cfRule>
    <cfRule type="expression" dxfId="1311" priority="882">
      <formula>$AI67&lt;$O67</formula>
    </cfRule>
  </conditionalFormatting>
  <conditionalFormatting sqref="AJ67 AJ80 AJ75:AJ78 AJ69:AJ70">
    <cfRule type="expression" dxfId="1310" priority="877">
      <formula>$AJ67&gt;$P67</formula>
    </cfRule>
    <cfRule type="expression" dxfId="1309" priority="878">
      <formula>$AJ67=$P67</formula>
    </cfRule>
    <cfRule type="expression" dxfId="1308" priority="879">
      <formula>$AJ67&lt;$P67</formula>
    </cfRule>
  </conditionalFormatting>
  <conditionalFormatting sqref="AK67 AK80 AK75:AK78 AK69:AK70">
    <cfRule type="expression" dxfId="1307" priority="874">
      <formula>$AK67&gt;$Q67</formula>
    </cfRule>
    <cfRule type="expression" dxfId="1306" priority="875">
      <formula>$AK67=$Q67</formula>
    </cfRule>
    <cfRule type="expression" dxfId="1305" priority="876">
      <formula>$AK67&lt;$Q67</formula>
    </cfRule>
  </conditionalFormatting>
  <conditionalFormatting sqref="Y96:Y110">
    <cfRule type="cellIs" dxfId="1304" priority="870" stopIfTrue="1" operator="greaterThan">
      <formula>0.5</formula>
    </cfRule>
    <cfRule type="cellIs" dxfId="1303" priority="871" stopIfTrue="1" operator="between">
      <formula>0.10001</formula>
      <formula>0.5</formula>
    </cfRule>
    <cfRule type="cellIs" dxfId="1302" priority="872" stopIfTrue="1" operator="between">
      <formula>0.0100001</formula>
      <formula>0.1</formula>
    </cfRule>
    <cfRule type="cellIs" dxfId="1301" priority="873" stopIfTrue="1" operator="between">
      <formula>0.000001</formula>
      <formula>0.01</formula>
    </cfRule>
  </conditionalFormatting>
  <conditionalFormatting sqref="Y96:Y110 Z96:Z113">
    <cfRule type="expression" dxfId="1300" priority="865">
      <formula>"$W50=0"</formula>
    </cfRule>
  </conditionalFormatting>
  <conditionalFormatting sqref="Y111">
    <cfRule type="expression" dxfId="1299" priority="860">
      <formula>"$W50=0"</formula>
    </cfRule>
  </conditionalFormatting>
  <conditionalFormatting sqref="Y111">
    <cfRule type="cellIs" dxfId="1298" priority="861" stopIfTrue="1" operator="greaterThan">
      <formula>0.5</formula>
    </cfRule>
    <cfRule type="cellIs" dxfId="1297" priority="862" stopIfTrue="1" operator="between">
      <formula>0.10001</formula>
      <formula>0.5</formula>
    </cfRule>
    <cfRule type="cellIs" dxfId="1296" priority="863" stopIfTrue="1" operator="between">
      <formula>0.0100001</formula>
      <formula>0.1</formula>
    </cfRule>
    <cfRule type="cellIs" dxfId="1295" priority="864" stopIfTrue="1" operator="between">
      <formula>0.000001</formula>
      <formula>0.01</formula>
    </cfRule>
  </conditionalFormatting>
  <conditionalFormatting sqref="Y112">
    <cfRule type="expression" dxfId="1294" priority="855">
      <formula>"$W50=0"</formula>
    </cfRule>
  </conditionalFormatting>
  <conditionalFormatting sqref="Y112">
    <cfRule type="cellIs" dxfId="1293" priority="856" stopIfTrue="1" operator="greaterThan">
      <formula>0.5</formula>
    </cfRule>
    <cfRule type="cellIs" dxfId="1292" priority="857" stopIfTrue="1" operator="between">
      <formula>0.10001</formula>
      <formula>0.5</formula>
    </cfRule>
    <cfRule type="cellIs" dxfId="1291" priority="858" stopIfTrue="1" operator="between">
      <formula>0.0100001</formula>
      <formula>0.1</formula>
    </cfRule>
    <cfRule type="cellIs" dxfId="1290" priority="859" stopIfTrue="1" operator="between">
      <formula>0.000001</formula>
      <formula>0.01</formula>
    </cfRule>
  </conditionalFormatting>
  <conditionalFormatting sqref="Y113">
    <cfRule type="expression" dxfId="1289" priority="850">
      <formula>"$W50=0"</formula>
    </cfRule>
  </conditionalFormatting>
  <conditionalFormatting sqref="Y113">
    <cfRule type="cellIs" dxfId="1288" priority="851" stopIfTrue="1" operator="greaterThan">
      <formula>0.5</formula>
    </cfRule>
    <cfRule type="cellIs" dxfId="1287" priority="852" stopIfTrue="1" operator="between">
      <formula>0.10001</formula>
      <formula>0.5</formula>
    </cfRule>
    <cfRule type="cellIs" dxfId="1286" priority="853" stopIfTrue="1" operator="between">
      <formula>0.0100001</formula>
      <formula>0.1</formula>
    </cfRule>
    <cfRule type="cellIs" dxfId="1285" priority="854" stopIfTrue="1" operator="between">
      <formula>0.000001</formula>
      <formula>0.01</formula>
    </cfRule>
  </conditionalFormatting>
  <conditionalFormatting sqref="Z114">
    <cfRule type="expression" dxfId="1284" priority="845">
      <formula>"$W50=0"</formula>
    </cfRule>
  </conditionalFormatting>
  <conditionalFormatting sqref="Y114">
    <cfRule type="expression" dxfId="1283" priority="840">
      <formula>"$W50=0"</formula>
    </cfRule>
  </conditionalFormatting>
  <conditionalFormatting sqref="Y114">
    <cfRule type="cellIs" dxfId="1282" priority="841" stopIfTrue="1" operator="greaterThan">
      <formula>0.5</formula>
    </cfRule>
    <cfRule type="cellIs" dxfId="1281" priority="842" stopIfTrue="1" operator="between">
      <formula>0.10001</formula>
      <formula>0.5</formula>
    </cfRule>
    <cfRule type="cellIs" dxfId="1280" priority="843" stopIfTrue="1" operator="between">
      <formula>0.0100001</formula>
      <formula>0.1</formula>
    </cfRule>
    <cfRule type="cellIs" dxfId="1279" priority="844" stopIfTrue="1" operator="between">
      <formula>0.000001</formula>
      <formula>0.01</formula>
    </cfRule>
  </conditionalFormatting>
  <conditionalFormatting sqref="AC96:AC98">
    <cfRule type="expression" dxfId="1278" priority="839">
      <formula>"$W50=0"</formula>
    </cfRule>
  </conditionalFormatting>
  <conditionalFormatting sqref="AC100">
    <cfRule type="expression" dxfId="1277" priority="837">
      <formula>"$W50=0"</formula>
    </cfRule>
  </conditionalFormatting>
  <conditionalFormatting sqref="AC99">
    <cfRule type="expression" dxfId="1276" priority="838">
      <formula>"$W50=0"</formula>
    </cfRule>
  </conditionalFormatting>
  <conditionalFormatting sqref="AL94:AL114">
    <cfRule type="containsText" dxfId="1275" priority="828" stopIfTrue="1" operator="containsText" text="High">
      <formula>NOT(ISERROR(SEARCH("High",AL94)))</formula>
    </cfRule>
    <cfRule type="containsText" dxfId="1274" priority="829" stopIfTrue="1" operator="containsText" text="Moderate">
      <formula>NOT(ISERROR(SEARCH("Moderate",AL94)))</formula>
    </cfRule>
    <cfRule type="containsText" dxfId="1273" priority="830" stopIfTrue="1" operator="containsText" text="Low">
      <formula>NOT(ISERROR(SEARCH("Low",AL94)))</formula>
    </cfRule>
    <cfRule type="containsText" dxfId="1272" priority="831" stopIfTrue="1" operator="containsText" text="Negligible">
      <formula>NOT(ISERROR(SEARCH("Negligible",AL94)))</formula>
    </cfRule>
  </conditionalFormatting>
  <conditionalFormatting sqref="AL94:AL114">
    <cfRule type="expression" dxfId="1271" priority="827">
      <formula>"$W50=0"</formula>
    </cfRule>
  </conditionalFormatting>
  <conditionalFormatting sqref="J81">
    <cfRule type="cellIs" dxfId="1270" priority="813" stopIfTrue="1" operator="greaterThan">
      <formula>0.5</formula>
    </cfRule>
    <cfRule type="cellIs" dxfId="1269" priority="814" stopIfTrue="1" operator="between">
      <formula>0.10001</formula>
      <formula>0.5</formula>
    </cfRule>
    <cfRule type="cellIs" dxfId="1268" priority="815" stopIfTrue="1" operator="between">
      <formula>0.0100001</formula>
      <formula>0.1</formula>
    </cfRule>
    <cfRule type="cellIs" dxfId="1267" priority="816" stopIfTrue="1" operator="between">
      <formula>0.000001</formula>
      <formula>0.01</formula>
    </cfRule>
  </conditionalFormatting>
  <conditionalFormatting sqref="T81">
    <cfRule type="containsText" dxfId="1266" priority="809" stopIfTrue="1" operator="containsText" text="High">
      <formula>NOT(ISERROR(SEARCH("High",T81)))</formula>
    </cfRule>
    <cfRule type="containsText" dxfId="1265" priority="810" stopIfTrue="1" operator="containsText" text="Moderate">
      <formula>NOT(ISERROR(SEARCH("Moderate",T81)))</formula>
    </cfRule>
    <cfRule type="containsText" dxfId="1264" priority="811" stopIfTrue="1" operator="containsText" text="Low">
      <formula>NOT(ISERROR(SEARCH("Low",T81)))</formula>
    </cfRule>
    <cfRule type="containsText" dxfId="1263" priority="812" stopIfTrue="1" operator="containsText" text="Negligible">
      <formula>NOT(ISERROR(SEARCH("Negligible",T81)))</formula>
    </cfRule>
  </conditionalFormatting>
  <conditionalFormatting sqref="AL81">
    <cfRule type="containsText" dxfId="1262" priority="805" stopIfTrue="1" operator="containsText" text="High">
      <formula>NOT(ISERROR(SEARCH("High",AL81)))</formula>
    </cfRule>
    <cfRule type="containsText" dxfId="1261" priority="806" stopIfTrue="1" operator="containsText" text="Moderate">
      <formula>NOT(ISERROR(SEARCH("Moderate",AL81)))</formula>
    </cfRule>
    <cfRule type="containsText" dxfId="1260" priority="807" stopIfTrue="1" operator="containsText" text="Low">
      <formula>NOT(ISERROR(SEARCH("Low",AL81)))</formula>
    </cfRule>
    <cfRule type="containsText" dxfId="1259" priority="808" stopIfTrue="1" operator="containsText" text="Negligible">
      <formula>NOT(ISERROR(SEARCH("Negligible",AL81)))</formula>
    </cfRule>
  </conditionalFormatting>
  <conditionalFormatting sqref="S81">
    <cfRule type="containsText" dxfId="1258" priority="801" stopIfTrue="1" operator="containsText" text="High">
      <formula>NOT(ISERROR(SEARCH("High",S81)))</formula>
    </cfRule>
    <cfRule type="containsText" dxfId="1257" priority="802" stopIfTrue="1" operator="containsText" text="Moderate">
      <formula>NOT(ISERROR(SEARCH("Moderate",S81)))</formula>
    </cfRule>
    <cfRule type="containsText" dxfId="1256" priority="803" stopIfTrue="1" operator="containsText" text="Low">
      <formula>NOT(ISERROR(SEARCH("Low",S81)))</formula>
    </cfRule>
    <cfRule type="containsText" dxfId="1255" priority="804" stopIfTrue="1" operator="containsText" text="Negligible">
      <formula>NOT(ISERROR(SEARCH("Negligible",S81)))</formula>
    </cfRule>
  </conditionalFormatting>
  <conditionalFormatting sqref="AN81">
    <cfRule type="containsText" dxfId="1254" priority="789" stopIfTrue="1" operator="containsText" text="High">
      <formula>NOT(ISERROR(SEARCH("High",AN81)))</formula>
    </cfRule>
    <cfRule type="containsText" dxfId="1253" priority="790" stopIfTrue="1" operator="containsText" text="Moderate">
      <formula>NOT(ISERROR(SEARCH("Moderate",AN81)))</formula>
    </cfRule>
    <cfRule type="containsText" dxfId="1252" priority="791" stopIfTrue="1" operator="containsText" text="Low">
      <formula>NOT(ISERROR(SEARCH("Low",AN81)))</formula>
    </cfRule>
    <cfRule type="containsText" dxfId="1251" priority="792" stopIfTrue="1" operator="containsText" text="Negligible">
      <formula>NOT(ISERROR(SEARCH("Negligible",AN81)))</formula>
    </cfRule>
  </conditionalFormatting>
  <conditionalFormatting sqref="B81:G81 AL81 I81:L81 S81:X81 AQ81:AV81 AN81 AX81:AY81">
    <cfRule type="expression" dxfId="1250" priority="788">
      <formula>"$W50=0"</formula>
    </cfRule>
  </conditionalFormatting>
  <conditionalFormatting sqref="R81">
    <cfRule type="containsText" dxfId="1249" priority="784" stopIfTrue="1" operator="containsText" text="High">
      <formula>NOT(ISERROR(SEARCH("High",R81)))</formula>
    </cfRule>
    <cfRule type="containsText" dxfId="1248" priority="785" stopIfTrue="1" operator="containsText" text="Moderate">
      <formula>NOT(ISERROR(SEARCH("Moderate",R81)))</formula>
    </cfRule>
    <cfRule type="containsText" dxfId="1247" priority="786" stopIfTrue="1" operator="containsText" text="Low">
      <formula>NOT(ISERROR(SEARCH("Low",R81)))</formula>
    </cfRule>
    <cfRule type="containsText" dxfId="1246" priority="787" stopIfTrue="1" operator="containsText" text="Negligible">
      <formula>NOT(ISERROR(SEARCH("Negligible",R81)))</formula>
    </cfRule>
  </conditionalFormatting>
  <conditionalFormatting sqref="M81">
    <cfRule type="expression" dxfId="1245" priority="779" stopIfTrue="1">
      <formula>$M81=""</formula>
    </cfRule>
  </conditionalFormatting>
  <conditionalFormatting sqref="M81:R81">
    <cfRule type="expression" dxfId="1244" priority="778">
      <formula>"$W50=0"</formula>
    </cfRule>
  </conditionalFormatting>
  <conditionalFormatting sqref="AH81">
    <cfRule type="expression" dxfId="1243" priority="769">
      <formula>$AH81&gt;$N81</formula>
    </cfRule>
    <cfRule type="expression" dxfId="1242" priority="770">
      <formula>$AH81=$N81</formula>
    </cfRule>
    <cfRule type="expression" dxfId="1241" priority="771">
      <formula>$AH81&lt;$N81</formula>
    </cfRule>
  </conditionalFormatting>
  <conditionalFormatting sqref="AI81">
    <cfRule type="expression" dxfId="1240" priority="766">
      <formula>$AI81&gt;$O81</formula>
    </cfRule>
    <cfRule type="expression" dxfId="1239" priority="767">
      <formula>$AI81=$O81</formula>
    </cfRule>
    <cfRule type="expression" dxfId="1238" priority="768">
      <formula>$AI81&lt;$O81</formula>
    </cfRule>
  </conditionalFormatting>
  <conditionalFormatting sqref="AJ81">
    <cfRule type="expression" dxfId="1237" priority="763">
      <formula>$AJ81&gt;$P81</formula>
    </cfRule>
    <cfRule type="expression" dxfId="1236" priority="764">
      <formula>$AJ81=$P81</formula>
    </cfRule>
    <cfRule type="expression" dxfId="1235" priority="765">
      <formula>$AJ81&lt;$P81</formula>
    </cfRule>
  </conditionalFormatting>
  <conditionalFormatting sqref="AK81">
    <cfRule type="expression" dxfId="1234" priority="760">
      <formula>$AK81&gt;$Q81</formula>
    </cfRule>
    <cfRule type="expression" dxfId="1233" priority="761">
      <formula>$AK81=$Q81</formula>
    </cfRule>
    <cfRule type="expression" dxfId="1232" priority="762">
      <formula>$AK81&lt;$Q81</formula>
    </cfRule>
  </conditionalFormatting>
  <conditionalFormatting sqref="Y81">
    <cfRule type="cellIs" dxfId="1231" priority="751" stopIfTrue="1" operator="greaterThan">
      <formula>0.5</formula>
    </cfRule>
    <cfRule type="cellIs" dxfId="1230" priority="752" stopIfTrue="1" operator="between">
      <formula>0.10001</formula>
      <formula>0.5</formula>
    </cfRule>
    <cfRule type="cellIs" dxfId="1229" priority="753" stopIfTrue="1" operator="between">
      <formula>0.0100001</formula>
      <formula>0.1</formula>
    </cfRule>
    <cfRule type="cellIs" dxfId="1228" priority="754" stopIfTrue="1" operator="between">
      <formula>0.000001</formula>
      <formula>0.01</formula>
    </cfRule>
  </conditionalFormatting>
  <conditionalFormatting sqref="AA81 Y81">
    <cfRule type="expression" dxfId="1227" priority="746">
      <formula>"$W50=0"</formula>
    </cfRule>
  </conditionalFormatting>
  <conditionalFormatting sqref="AC81">
    <cfRule type="expression" dxfId="1226" priority="739">
      <formula>$AC81&lt;$AB81</formula>
    </cfRule>
    <cfRule type="expression" dxfId="1225" priority="741">
      <formula>$AC81&gt;$M81</formula>
    </cfRule>
  </conditionalFormatting>
  <conditionalFormatting sqref="AD81">
    <cfRule type="expression" dxfId="1224" priority="740">
      <formula>$AD81&lt;$AC81</formula>
    </cfRule>
  </conditionalFormatting>
  <conditionalFormatting sqref="AB81:AG81">
    <cfRule type="expression" dxfId="1223" priority="738">
      <formula>"$W50=0"</formula>
    </cfRule>
  </conditionalFormatting>
  <conditionalFormatting sqref="AW81">
    <cfRule type="expression" dxfId="1222" priority="737">
      <formula>"$W50=0"</formula>
    </cfRule>
  </conditionalFormatting>
  <conditionalFormatting sqref="AW80">
    <cfRule type="expression" dxfId="1221" priority="736">
      <formula>"$W50=0"</formula>
    </cfRule>
  </conditionalFormatting>
  <conditionalFormatting sqref="J93 Y93">
    <cfRule type="cellIs" dxfId="1220" priority="732" stopIfTrue="1" operator="greaterThan">
      <formula>0.5</formula>
    </cfRule>
    <cfRule type="cellIs" dxfId="1219" priority="733" stopIfTrue="1" operator="between">
      <formula>0.10001</formula>
      <formula>0.5</formula>
    </cfRule>
    <cfRule type="cellIs" dxfId="1218" priority="734" stopIfTrue="1" operator="between">
      <formula>0.0100001</formula>
      <formula>0.1</formula>
    </cfRule>
    <cfRule type="cellIs" dxfId="1217" priority="735" stopIfTrue="1" operator="between">
      <formula>0.000001</formula>
      <formula>0.01</formula>
    </cfRule>
  </conditionalFormatting>
  <conditionalFormatting sqref="AL93 T93">
    <cfRule type="containsText" dxfId="1216" priority="728" stopIfTrue="1" operator="containsText" text="High">
      <formula>NOT(ISERROR(SEARCH("High",T93)))</formula>
    </cfRule>
    <cfRule type="containsText" dxfId="1215" priority="729" stopIfTrue="1" operator="containsText" text="Moderate">
      <formula>NOT(ISERROR(SEARCH("Moderate",T93)))</formula>
    </cfRule>
    <cfRule type="containsText" dxfId="1214" priority="730" stopIfTrue="1" operator="containsText" text="Low">
      <formula>NOT(ISERROR(SEARCH("Low",T93)))</formula>
    </cfRule>
    <cfRule type="containsText" dxfId="1213" priority="731" stopIfTrue="1" operator="containsText" text="Negligible">
      <formula>NOT(ISERROR(SEARCH("Negligible",T93)))</formula>
    </cfRule>
  </conditionalFormatting>
  <conditionalFormatting sqref="AN93 R93:S93">
    <cfRule type="containsText" dxfId="1212" priority="724" stopIfTrue="1" operator="containsText" text="High">
      <formula>NOT(ISERROR(SEARCH("High",R93)))</formula>
    </cfRule>
    <cfRule type="containsText" dxfId="1211" priority="725" stopIfTrue="1" operator="containsText" text="Moderate">
      <formula>NOT(ISERROR(SEARCH("Moderate",R93)))</formula>
    </cfRule>
    <cfRule type="containsText" dxfId="1210" priority="726" stopIfTrue="1" operator="containsText" text="Low">
      <formula>NOT(ISERROR(SEARCH("Low",R93)))</formula>
    </cfRule>
    <cfRule type="containsText" dxfId="1209" priority="727" stopIfTrue="1" operator="containsText" text="Negligible">
      <formula>NOT(ISERROR(SEARCH("Negligible",R93)))</formula>
    </cfRule>
  </conditionalFormatting>
  <conditionalFormatting sqref="M93">
    <cfRule type="expression" dxfId="1208" priority="715" stopIfTrue="1">
      <formula>$M93=""</formula>
    </cfRule>
  </conditionalFormatting>
  <conditionalFormatting sqref="AL93 AT93:AY93 AN93 B93:G93 AE93:AG93 I93:AB93">
    <cfRule type="expression" dxfId="1207" priority="714">
      <formula>"$W50=0"</formula>
    </cfRule>
  </conditionalFormatting>
  <conditionalFormatting sqref="AH93">
    <cfRule type="expression" dxfId="1206" priority="711">
      <formula>$AH93&gt;$N93</formula>
    </cfRule>
    <cfRule type="expression" dxfId="1205" priority="712">
      <formula>$AH93=$N93</formula>
    </cfRule>
    <cfRule type="expression" dxfId="1204" priority="713">
      <formula>$AH93&lt;$N93</formula>
    </cfRule>
  </conditionalFormatting>
  <conditionalFormatting sqref="AI93">
    <cfRule type="expression" dxfId="1203" priority="708">
      <formula>$AI93&gt;$O93</formula>
    </cfRule>
    <cfRule type="expression" dxfId="1202" priority="709">
      <formula>$AI93=$O93</formula>
    </cfRule>
    <cfRule type="expression" dxfId="1201" priority="710">
      <formula>$AI93&lt;$O93</formula>
    </cfRule>
  </conditionalFormatting>
  <conditionalFormatting sqref="AJ93">
    <cfRule type="expression" dxfId="1200" priority="705">
      <formula>$AJ93&gt;$P93</formula>
    </cfRule>
    <cfRule type="expression" dxfId="1199" priority="706">
      <formula>$AJ93=$P93</formula>
    </cfRule>
    <cfRule type="expression" dxfId="1198" priority="707">
      <formula>$AJ93&lt;$P93</formula>
    </cfRule>
  </conditionalFormatting>
  <conditionalFormatting sqref="AK93">
    <cfRule type="expression" dxfId="1197" priority="702">
      <formula>$AK93&gt;$Q93</formula>
    </cfRule>
    <cfRule type="expression" dxfId="1196" priority="703">
      <formula>$AK93=$Q93</formula>
    </cfRule>
    <cfRule type="expression" dxfId="1195" priority="704">
      <formula>$AK93&lt;$Q93</formula>
    </cfRule>
  </conditionalFormatting>
  <conditionalFormatting sqref="AR93">
    <cfRule type="expression" dxfId="1194" priority="696">
      <formula>"$W50=0"</formula>
    </cfRule>
  </conditionalFormatting>
  <conditionalFormatting sqref="AS89:AS94">
    <cfRule type="expression" dxfId="1193" priority="695">
      <formula>"$W50=0"</formula>
    </cfRule>
  </conditionalFormatting>
  <conditionalFormatting sqref="AR94">
    <cfRule type="expression" dxfId="1192" priority="694">
      <formula>"$W50=0"</formula>
    </cfRule>
  </conditionalFormatting>
  <conditionalFormatting sqref="Y10">
    <cfRule type="cellIs" dxfId="1191" priority="690" stopIfTrue="1" operator="greaterThan">
      <formula>0.5</formula>
    </cfRule>
    <cfRule type="cellIs" dxfId="1190" priority="691" stopIfTrue="1" operator="between">
      <formula>0.10001</formula>
      <formula>0.5</formula>
    </cfRule>
    <cfRule type="cellIs" dxfId="1189" priority="692" stopIfTrue="1" operator="between">
      <formula>0.0100001</formula>
      <formula>0.1</formula>
    </cfRule>
    <cfRule type="cellIs" dxfId="1188" priority="693" stopIfTrue="1" operator="between">
      <formula>0.000001</formula>
      <formula>0.01</formula>
    </cfRule>
  </conditionalFormatting>
  <conditionalFormatting sqref="AL10 T10">
    <cfRule type="containsText" dxfId="1187" priority="686" stopIfTrue="1" operator="containsText" text="High">
      <formula>NOT(ISERROR(SEARCH("High",T10)))</formula>
    </cfRule>
    <cfRule type="containsText" dxfId="1186" priority="687" stopIfTrue="1" operator="containsText" text="Moderate">
      <formula>NOT(ISERROR(SEARCH("Moderate",T10)))</formula>
    </cfRule>
    <cfRule type="containsText" dxfId="1185" priority="688" stopIfTrue="1" operator="containsText" text="Low">
      <formula>NOT(ISERROR(SEARCH("Low",T10)))</formula>
    </cfRule>
    <cfRule type="containsText" dxfId="1184" priority="689" stopIfTrue="1" operator="containsText" text="Negligible">
      <formula>NOT(ISERROR(SEARCH("Negligible",T10)))</formula>
    </cfRule>
  </conditionalFormatting>
  <conditionalFormatting sqref="AN10">
    <cfRule type="containsText" dxfId="1183" priority="682" stopIfTrue="1" operator="containsText" text="High">
      <formula>NOT(ISERROR(SEARCH("High",AN10)))</formula>
    </cfRule>
    <cfRule type="containsText" dxfId="1182" priority="683" stopIfTrue="1" operator="containsText" text="Moderate">
      <formula>NOT(ISERROR(SEARCH("Moderate",AN10)))</formula>
    </cfRule>
    <cfRule type="containsText" dxfId="1181" priority="684" stopIfTrue="1" operator="containsText" text="Low">
      <formula>NOT(ISERROR(SEARCH("Low",AN10)))</formula>
    </cfRule>
    <cfRule type="containsText" dxfId="1180" priority="685" stopIfTrue="1" operator="containsText" text="Negligible">
      <formula>NOT(ISERROR(SEARCH("Negligible",AN10)))</formula>
    </cfRule>
  </conditionalFormatting>
  <conditionalFormatting sqref="AK10">
    <cfRule type="expression" dxfId="1179" priority="666">
      <formula>$AK10&gt;$Q10</formula>
    </cfRule>
    <cfRule type="expression" dxfId="1178" priority="667">
      <formula>$AK10=$Q10</formula>
    </cfRule>
    <cfRule type="expression" dxfId="1177" priority="668">
      <formula>$AK10&lt;$Q10</formula>
    </cfRule>
  </conditionalFormatting>
  <conditionalFormatting sqref="AD10">
    <cfRule type="expression" dxfId="1176" priority="660">
      <formula>$AD10&lt;$AC10</formula>
    </cfRule>
  </conditionalFormatting>
  <conditionalFormatting sqref="C10">
    <cfRule type="expression" dxfId="1175" priority="658">
      <formula>$Y10=0%</formula>
    </cfRule>
  </conditionalFormatting>
  <conditionalFormatting sqref="J10:S10">
    <cfRule type="containsText" dxfId="1174" priority="654" stopIfTrue="1" operator="containsText" text="High">
      <formula>NOT(ISERROR(SEARCH("High",J10)))</formula>
    </cfRule>
    <cfRule type="containsText" dxfId="1173" priority="655" stopIfTrue="1" operator="containsText" text="Moderate">
      <formula>NOT(ISERROR(SEARCH("Moderate",J10)))</formula>
    </cfRule>
    <cfRule type="containsText" dxfId="1172" priority="656" stopIfTrue="1" operator="containsText" text="Low">
      <formula>NOT(ISERROR(SEARCH("Low",J10)))</formula>
    </cfRule>
    <cfRule type="containsText" dxfId="1171" priority="657" stopIfTrue="1" operator="containsText" text="Negligible">
      <formula>NOT(ISERROR(SEARCH("Negligible",J10)))</formula>
    </cfRule>
  </conditionalFormatting>
  <conditionalFormatting sqref="T21:T26">
    <cfRule type="containsText" dxfId="1170" priority="644" stopIfTrue="1" operator="containsText" text="High">
      <formula>NOT(ISERROR(SEARCH("High",T21)))</formula>
    </cfRule>
    <cfRule type="containsText" dxfId="1169" priority="645" stopIfTrue="1" operator="containsText" text="Moderate">
      <formula>NOT(ISERROR(SEARCH("Moderate",T21)))</formula>
    </cfRule>
    <cfRule type="containsText" dxfId="1168" priority="646" stopIfTrue="1" operator="containsText" text="Low">
      <formula>NOT(ISERROR(SEARCH("Low",T21)))</formula>
    </cfRule>
    <cfRule type="containsText" dxfId="1167" priority="647" stopIfTrue="1" operator="containsText" text="Negligible">
      <formula>NOT(ISERROR(SEARCH("Negligible",T21)))</formula>
    </cfRule>
  </conditionalFormatting>
  <conditionalFormatting sqref="J21:J26">
    <cfRule type="cellIs" dxfId="1166" priority="635" stopIfTrue="1" operator="greaterThan">
      <formula>0.5</formula>
    </cfRule>
    <cfRule type="cellIs" dxfId="1165" priority="636" stopIfTrue="1" operator="between">
      <formula>0.10001</formula>
      <formula>0.5</formula>
    </cfRule>
    <cfRule type="cellIs" dxfId="1164" priority="637" stopIfTrue="1" operator="between">
      <formula>0.0100001</formula>
      <formula>0.1</formula>
    </cfRule>
    <cfRule type="cellIs" dxfId="1163" priority="638" stopIfTrue="1" operator="between">
      <formula>0.000001</formula>
      <formula>0.01</formula>
    </cfRule>
  </conditionalFormatting>
  <conditionalFormatting sqref="T21:T26">
    <cfRule type="containsText" dxfId="1162" priority="631" stopIfTrue="1" operator="containsText" text="High">
      <formula>NOT(ISERROR(SEARCH("High",T21)))</formula>
    </cfRule>
    <cfRule type="containsText" dxfId="1161" priority="632" stopIfTrue="1" operator="containsText" text="Moderate">
      <formula>NOT(ISERROR(SEARCH("Moderate",T21)))</formula>
    </cfRule>
    <cfRule type="containsText" dxfId="1160" priority="633" stopIfTrue="1" operator="containsText" text="Low">
      <formula>NOT(ISERROR(SEARCH("Low",T21)))</formula>
    </cfRule>
    <cfRule type="containsText" dxfId="1159" priority="634" stopIfTrue="1" operator="containsText" text="Negligible">
      <formula>NOT(ISERROR(SEARCH("Negligible",T21)))</formula>
    </cfRule>
  </conditionalFormatting>
  <conditionalFormatting sqref="AL21:AL22">
    <cfRule type="containsText" dxfId="1158" priority="627" stopIfTrue="1" operator="containsText" text="High">
      <formula>NOT(ISERROR(SEARCH("High",AL21)))</formula>
    </cfRule>
    <cfRule type="containsText" dxfId="1157" priority="628" stopIfTrue="1" operator="containsText" text="Moderate">
      <formula>NOT(ISERROR(SEARCH("Moderate",AL21)))</formula>
    </cfRule>
    <cfRule type="containsText" dxfId="1156" priority="629" stopIfTrue="1" operator="containsText" text="Low">
      <formula>NOT(ISERROR(SEARCH("Low",AL21)))</formula>
    </cfRule>
    <cfRule type="containsText" dxfId="1155" priority="630" stopIfTrue="1" operator="containsText" text="Negligible">
      <formula>NOT(ISERROR(SEARCH("Negligible",AL21)))</formula>
    </cfRule>
  </conditionalFormatting>
  <conditionalFormatting sqref="S21:S26">
    <cfRule type="containsText" dxfId="1154" priority="623" stopIfTrue="1" operator="containsText" text="High">
      <formula>NOT(ISERROR(SEARCH("High",S21)))</formula>
    </cfRule>
    <cfRule type="containsText" dxfId="1153" priority="624" stopIfTrue="1" operator="containsText" text="Moderate">
      <formula>NOT(ISERROR(SEARCH("Moderate",S21)))</formula>
    </cfRule>
    <cfRule type="containsText" dxfId="1152" priority="625" stopIfTrue="1" operator="containsText" text="Low">
      <formula>NOT(ISERROR(SEARCH("Low",S21)))</formula>
    </cfRule>
    <cfRule type="containsText" dxfId="1151" priority="626" stopIfTrue="1" operator="containsText" text="Negligible">
      <formula>NOT(ISERROR(SEARCH("Negligible",S21)))</formula>
    </cfRule>
  </conditionalFormatting>
  <conditionalFormatting sqref="AH21:AH22">
    <cfRule type="expression" dxfId="1150" priority="616">
      <formula>$AH21&gt;$N21</formula>
    </cfRule>
    <cfRule type="expression" dxfId="1149" priority="617">
      <formula>$AH21=$N21</formula>
    </cfRule>
    <cfRule type="expression" dxfId="1148" priority="618">
      <formula>$AH21&lt;$N21</formula>
    </cfRule>
  </conditionalFormatting>
  <conditionalFormatting sqref="AI21:AI22">
    <cfRule type="expression" dxfId="1147" priority="613">
      <formula>$AI21&gt;$O21</formula>
    </cfRule>
    <cfRule type="expression" dxfId="1146" priority="614">
      <formula>$AI21=$O21</formula>
    </cfRule>
    <cfRule type="expression" dxfId="1145" priority="615">
      <formula>$AI21&lt;$O21</formula>
    </cfRule>
  </conditionalFormatting>
  <conditionalFormatting sqref="AJ21:AJ22">
    <cfRule type="expression" dxfId="1144" priority="610">
      <formula>$AJ21&gt;$P21</formula>
    </cfRule>
    <cfRule type="expression" dxfId="1143" priority="611">
      <formula>$AJ21=$P21</formula>
    </cfRule>
    <cfRule type="expression" dxfId="1142" priority="612">
      <formula>$AJ21&lt;$P21</formula>
    </cfRule>
  </conditionalFormatting>
  <conditionalFormatting sqref="AK21:AK22">
    <cfRule type="expression" dxfId="1141" priority="607">
      <formula>$AK21&gt;$Q21</formula>
    </cfRule>
    <cfRule type="expression" dxfId="1140" priority="608">
      <formula>$AK21=$Q21</formula>
    </cfRule>
    <cfRule type="expression" dxfId="1139" priority="609">
      <formula>$AK21&lt;$Q21</formula>
    </cfRule>
  </conditionalFormatting>
  <conditionalFormatting sqref="AN21:AN22">
    <cfRule type="containsText" dxfId="1138" priority="598" stopIfTrue="1" operator="containsText" text="High">
      <formula>NOT(ISERROR(SEARCH("High",AN21)))</formula>
    </cfRule>
    <cfRule type="containsText" dxfId="1137" priority="599" stopIfTrue="1" operator="containsText" text="Moderate">
      <formula>NOT(ISERROR(SEARCH("Moderate",AN21)))</formula>
    </cfRule>
    <cfRule type="containsText" dxfId="1136" priority="600" stopIfTrue="1" operator="containsText" text="Low">
      <formula>NOT(ISERROR(SEARCH("Low",AN21)))</formula>
    </cfRule>
    <cfRule type="containsText" dxfId="1135" priority="601" stopIfTrue="1" operator="containsText" text="Negligible">
      <formula>NOT(ISERROR(SEARCH("Negligible",AN21)))</formula>
    </cfRule>
  </conditionalFormatting>
  <conditionalFormatting sqref="Y21">
    <cfRule type="cellIs" dxfId="1134" priority="594" stopIfTrue="1" operator="greaterThan">
      <formula>0.5</formula>
    </cfRule>
    <cfRule type="cellIs" dxfId="1133" priority="595" stopIfTrue="1" operator="between">
      <formula>0.10001</formula>
      <formula>0.5</formula>
    </cfRule>
    <cfRule type="cellIs" dxfId="1132" priority="596" stopIfTrue="1" operator="between">
      <formula>0.0100001</formula>
      <formula>0.1</formula>
    </cfRule>
    <cfRule type="cellIs" dxfId="1131" priority="597" stopIfTrue="1" operator="between">
      <formula>0.000001</formula>
      <formula>0.01</formula>
    </cfRule>
  </conditionalFormatting>
  <conditionalFormatting sqref="Y22:Y23">
    <cfRule type="cellIs" dxfId="1130" priority="583" stopIfTrue="1" operator="greaterThan">
      <formula>0.5</formula>
    </cfRule>
    <cfRule type="cellIs" dxfId="1129" priority="584" stopIfTrue="1" operator="between">
      <formula>0.10001</formula>
      <formula>0.5</formula>
    </cfRule>
    <cfRule type="cellIs" dxfId="1128" priority="585" stopIfTrue="1" operator="between">
      <formula>0.0100001</formula>
      <formula>0.1</formula>
    </cfRule>
    <cfRule type="cellIs" dxfId="1127" priority="586" stopIfTrue="1" operator="between">
      <formula>0.000001</formula>
      <formula>0.01</formula>
    </cfRule>
  </conditionalFormatting>
  <conditionalFormatting sqref="M21:R26">
    <cfRule type="containsText" dxfId="1126" priority="560" stopIfTrue="1" operator="containsText" text="High">
      <formula>NOT(ISERROR(SEARCH("High",M21)))</formula>
    </cfRule>
    <cfRule type="containsText" dxfId="1125" priority="561" stopIfTrue="1" operator="containsText" text="Moderate">
      <formula>NOT(ISERROR(SEARCH("Moderate",M21)))</formula>
    </cfRule>
    <cfRule type="containsText" dxfId="1124" priority="562" stopIfTrue="1" operator="containsText" text="Low">
      <formula>NOT(ISERROR(SEARCH("Low",M21)))</formula>
    </cfRule>
    <cfRule type="containsText" dxfId="1123" priority="563" stopIfTrue="1" operator="containsText" text="Negligible">
      <formula>NOT(ISERROR(SEARCH("Negligible",M21)))</formula>
    </cfRule>
  </conditionalFormatting>
  <conditionalFormatting sqref="U22:V26 V21">
    <cfRule type="containsText" dxfId="1122" priority="556" stopIfTrue="1" operator="containsText" text="High">
      <formula>NOT(ISERROR(SEARCH("High",U21)))</formula>
    </cfRule>
    <cfRule type="containsText" dxfId="1121" priority="557" stopIfTrue="1" operator="containsText" text="Moderate">
      <formula>NOT(ISERROR(SEARCH("Moderate",U21)))</formula>
    </cfRule>
    <cfRule type="containsText" dxfId="1120" priority="558" stopIfTrue="1" operator="containsText" text="Low">
      <formula>NOT(ISERROR(SEARCH("Low",U21)))</formula>
    </cfRule>
    <cfRule type="containsText" dxfId="1119" priority="559" stopIfTrue="1" operator="containsText" text="Negligible">
      <formula>NOT(ISERROR(SEARCH("Negligible",U21)))</formula>
    </cfRule>
  </conditionalFormatting>
  <conditionalFormatting sqref="Y37:Y38">
    <cfRule type="cellIs" dxfId="1118" priority="552" stopIfTrue="1" operator="greaterThan">
      <formula>0.5</formula>
    </cfRule>
    <cfRule type="cellIs" dxfId="1117" priority="553" stopIfTrue="1" operator="between">
      <formula>0.10001</formula>
      <formula>0.5</formula>
    </cfRule>
    <cfRule type="cellIs" dxfId="1116" priority="554" stopIfTrue="1" operator="between">
      <formula>0.0100001</formula>
      <formula>0.1</formula>
    </cfRule>
    <cfRule type="cellIs" dxfId="1115" priority="555" stopIfTrue="1" operator="between">
      <formula>0.000001</formula>
      <formula>0.01</formula>
    </cfRule>
  </conditionalFormatting>
  <conditionalFormatting sqref="Y35">
    <cfRule type="cellIs" dxfId="1114" priority="548" stopIfTrue="1" operator="greaterThan">
      <formula>0.5</formula>
    </cfRule>
    <cfRule type="cellIs" dxfId="1113" priority="549" stopIfTrue="1" operator="between">
      <formula>0.10001</formula>
      <formula>0.5</formula>
    </cfRule>
    <cfRule type="cellIs" dxfId="1112" priority="550" stopIfTrue="1" operator="between">
      <formula>0.0100001</formula>
      <formula>0.1</formula>
    </cfRule>
    <cfRule type="cellIs" dxfId="1111" priority="551" stopIfTrue="1" operator="between">
      <formula>0.000001</formula>
      <formula>0.01</formula>
    </cfRule>
  </conditionalFormatting>
  <conditionalFormatting sqref="Y36">
    <cfRule type="cellIs" dxfId="1110" priority="544" stopIfTrue="1" operator="greaterThan">
      <formula>0.5</formula>
    </cfRule>
    <cfRule type="cellIs" dxfId="1109" priority="545" stopIfTrue="1" operator="between">
      <formula>0.10001</formula>
      <formula>0.5</formula>
    </cfRule>
    <cfRule type="cellIs" dxfId="1108" priority="546" stopIfTrue="1" operator="between">
      <formula>0.0100001</formula>
      <formula>0.1</formula>
    </cfRule>
    <cfRule type="cellIs" dxfId="1107" priority="547" stopIfTrue="1" operator="between">
      <formula>0.000001</formula>
      <formula>0.01</formula>
    </cfRule>
  </conditionalFormatting>
  <conditionalFormatting sqref="Y60">
    <cfRule type="cellIs" dxfId="1106" priority="540" stopIfTrue="1" operator="greaterThan">
      <formula>0.5</formula>
    </cfRule>
    <cfRule type="cellIs" dxfId="1105" priority="541" stopIfTrue="1" operator="between">
      <formula>0.10001</formula>
      <formula>0.5</formula>
    </cfRule>
    <cfRule type="cellIs" dxfId="1104" priority="542" stopIfTrue="1" operator="between">
      <formula>0.0100001</formula>
      <formula>0.1</formula>
    </cfRule>
    <cfRule type="cellIs" dxfId="1103" priority="543" stopIfTrue="1" operator="between">
      <formula>0.000001</formula>
      <formula>0.01</formula>
    </cfRule>
  </conditionalFormatting>
  <conditionalFormatting sqref="AL60 T60:T61">
    <cfRule type="containsText" dxfId="1102" priority="536" stopIfTrue="1" operator="containsText" text="High">
      <formula>NOT(ISERROR(SEARCH("High",T60)))</formula>
    </cfRule>
    <cfRule type="containsText" dxfId="1101" priority="537" stopIfTrue="1" operator="containsText" text="Moderate">
      <formula>NOT(ISERROR(SEARCH("Moderate",T60)))</formula>
    </cfRule>
    <cfRule type="containsText" dxfId="1100" priority="538" stopIfTrue="1" operator="containsText" text="Low">
      <formula>NOT(ISERROR(SEARCH("Low",T60)))</formula>
    </cfRule>
    <cfRule type="containsText" dxfId="1099" priority="539" stopIfTrue="1" operator="containsText" text="Negligible">
      <formula>NOT(ISERROR(SEARCH("Negligible",T60)))</formula>
    </cfRule>
  </conditionalFormatting>
  <conditionalFormatting sqref="S60:S61 AN60:AN61">
    <cfRule type="containsText" dxfId="1098" priority="532" stopIfTrue="1" operator="containsText" text="High">
      <formula>NOT(ISERROR(SEARCH("High",S60)))</formula>
    </cfRule>
    <cfRule type="containsText" dxfId="1097" priority="533" stopIfTrue="1" operator="containsText" text="Moderate">
      <formula>NOT(ISERROR(SEARCH("Moderate",S60)))</formula>
    </cfRule>
    <cfRule type="containsText" dxfId="1096" priority="534" stopIfTrue="1" operator="containsText" text="Low">
      <formula>NOT(ISERROR(SEARCH("Low",S60)))</formula>
    </cfRule>
    <cfRule type="containsText" dxfId="1095" priority="535" stopIfTrue="1" operator="containsText" text="Negligible">
      <formula>NOT(ISERROR(SEARCH("Negligible",S60)))</formula>
    </cfRule>
  </conditionalFormatting>
  <conditionalFormatting sqref="AH60">
    <cfRule type="expression" dxfId="1094" priority="525">
      <formula>$AH60&gt;$N60</formula>
    </cfRule>
    <cfRule type="expression" dxfId="1093" priority="526">
      <formula>$AH60=$N60</formula>
    </cfRule>
    <cfRule type="expression" dxfId="1092" priority="527">
      <formula>$AH60&lt;$N60</formula>
    </cfRule>
  </conditionalFormatting>
  <conditionalFormatting sqref="AI60">
    <cfRule type="expression" dxfId="1091" priority="522">
      <formula>$AI60&gt;$O60</formula>
    </cfRule>
    <cfRule type="expression" dxfId="1090" priority="523">
      <formula>$AI60=$O60</formula>
    </cfRule>
    <cfRule type="expression" dxfId="1089" priority="524">
      <formula>$AI60&lt;$O60</formula>
    </cfRule>
  </conditionalFormatting>
  <conditionalFormatting sqref="AJ60">
    <cfRule type="expression" dxfId="1088" priority="519">
      <formula>$AJ60&gt;$P60</formula>
    </cfRule>
    <cfRule type="expression" dxfId="1087" priority="520">
      <formula>$AJ60=$P60</formula>
    </cfRule>
    <cfRule type="expression" dxfId="1086" priority="521">
      <formula>$AJ60&lt;$P60</formula>
    </cfRule>
  </conditionalFormatting>
  <conditionalFormatting sqref="AK60">
    <cfRule type="expression" dxfId="1085" priority="516">
      <formula>$AK60&gt;$Q60</formula>
    </cfRule>
    <cfRule type="expression" dxfId="1084" priority="517">
      <formula>$AK60=$Q60</formula>
    </cfRule>
    <cfRule type="expression" dxfId="1083" priority="518">
      <formula>$AK60&lt;$Q60</formula>
    </cfRule>
  </conditionalFormatting>
  <conditionalFormatting sqref="AU60:AV61">
    <cfRule type="expression" dxfId="1082" priority="513">
      <formula>$Y60=0%</formula>
    </cfRule>
  </conditionalFormatting>
  <conditionalFormatting sqref="J60:J61">
    <cfRule type="expression" dxfId="1081" priority="508">
      <formula>$Y60=0%</formula>
    </cfRule>
  </conditionalFormatting>
  <conditionalFormatting sqref="M60:M61">
    <cfRule type="expression" dxfId="1080" priority="503">
      <formula>$Y60=0%</formula>
    </cfRule>
  </conditionalFormatting>
  <conditionalFormatting sqref="N60:N61">
    <cfRule type="expression" dxfId="1079" priority="498">
      <formula>$Y60=0%</formula>
    </cfRule>
  </conditionalFormatting>
  <conditionalFormatting sqref="O60:O61">
    <cfRule type="expression" dxfId="1078" priority="493">
      <formula>$Y60=0%</formula>
    </cfRule>
  </conditionalFormatting>
  <conditionalFormatting sqref="P60:Q61">
    <cfRule type="expression" dxfId="1077" priority="488">
      <formula>$Y60=0%</formula>
    </cfRule>
  </conditionalFormatting>
  <conditionalFormatting sqref="AL39">
    <cfRule type="containsText" dxfId="1076" priority="477" stopIfTrue="1" operator="containsText" text="High">
      <formula>NOT(ISERROR(SEARCH("High",AL39)))</formula>
    </cfRule>
    <cfRule type="containsText" dxfId="1075" priority="478" stopIfTrue="1" operator="containsText" text="Moderate">
      <formula>NOT(ISERROR(SEARCH("Moderate",AL39)))</formula>
    </cfRule>
    <cfRule type="containsText" dxfId="1074" priority="479" stopIfTrue="1" operator="containsText" text="Low">
      <formula>NOT(ISERROR(SEARCH("Low",AL39)))</formula>
    </cfRule>
    <cfRule type="containsText" dxfId="1073" priority="480" stopIfTrue="1" operator="containsText" text="Negligible">
      <formula>NOT(ISERROR(SEARCH("Negligible",AL39)))</formula>
    </cfRule>
  </conditionalFormatting>
  <conditionalFormatting sqref="AN39:AN40">
    <cfRule type="containsText" dxfId="1072" priority="473" stopIfTrue="1" operator="containsText" text="High">
      <formula>NOT(ISERROR(SEARCH("High",AN39)))</formula>
    </cfRule>
    <cfRule type="containsText" dxfId="1071" priority="474" stopIfTrue="1" operator="containsText" text="Moderate">
      <formula>NOT(ISERROR(SEARCH("Moderate",AN39)))</formula>
    </cfRule>
    <cfRule type="containsText" dxfId="1070" priority="475" stopIfTrue="1" operator="containsText" text="Low">
      <formula>NOT(ISERROR(SEARCH("Low",AN39)))</formula>
    </cfRule>
    <cfRule type="containsText" dxfId="1069" priority="476" stopIfTrue="1" operator="containsText" text="Negligible">
      <formula>NOT(ISERROR(SEARCH("Negligible",AN39)))</formula>
    </cfRule>
  </conditionalFormatting>
  <conditionalFormatting sqref="AH39">
    <cfRule type="expression" dxfId="1068" priority="466">
      <formula>$AH39&gt;$N39</formula>
    </cfRule>
    <cfRule type="expression" dxfId="1067" priority="467">
      <formula>$AH39=$N39</formula>
    </cfRule>
    <cfRule type="expression" dxfId="1066" priority="468">
      <formula>$AH39&lt;$N39</formula>
    </cfRule>
  </conditionalFormatting>
  <conditionalFormatting sqref="AI39">
    <cfRule type="expression" dxfId="1065" priority="463">
      <formula>$AI39&gt;$O39</formula>
    </cfRule>
    <cfRule type="expression" dxfId="1064" priority="464">
      <formula>$AI39=$O39</formula>
    </cfRule>
    <cfRule type="expression" dxfId="1063" priority="465">
      <formula>$AI39&lt;$O39</formula>
    </cfRule>
  </conditionalFormatting>
  <conditionalFormatting sqref="AJ39">
    <cfRule type="expression" dxfId="1062" priority="460">
      <formula>$AJ39&gt;$P39</formula>
    </cfRule>
    <cfRule type="expression" dxfId="1061" priority="461">
      <formula>$AJ39=$P39</formula>
    </cfRule>
    <cfRule type="expression" dxfId="1060" priority="462">
      <formula>$AJ39&lt;$P39</formula>
    </cfRule>
  </conditionalFormatting>
  <conditionalFormatting sqref="AK39">
    <cfRule type="expression" dxfId="1059" priority="457">
      <formula>$AK39&gt;$Q39</formula>
    </cfRule>
    <cfRule type="expression" dxfId="1058" priority="458">
      <formula>$AK39=$Q39</formula>
    </cfRule>
    <cfRule type="expression" dxfId="1057" priority="459">
      <formula>$AK39&lt;$Q39</formula>
    </cfRule>
  </conditionalFormatting>
  <conditionalFormatting sqref="Y39:Y40">
    <cfRule type="cellIs" dxfId="1056" priority="448" stopIfTrue="1" operator="greaterThan">
      <formula>0.5</formula>
    </cfRule>
    <cfRule type="cellIs" dxfId="1055" priority="449" stopIfTrue="1" operator="between">
      <formula>0.10001</formula>
      <formula>0.5</formula>
    </cfRule>
    <cfRule type="cellIs" dxfId="1054" priority="450" stopIfTrue="1" operator="between">
      <formula>0.0100001</formula>
      <formula>0.1</formula>
    </cfRule>
    <cfRule type="cellIs" dxfId="1053" priority="451" stopIfTrue="1" operator="between">
      <formula>0.000001</formula>
      <formula>0.01</formula>
    </cfRule>
  </conditionalFormatting>
  <conditionalFormatting sqref="J79 Y79">
    <cfRule type="cellIs" dxfId="1052" priority="444" stopIfTrue="1" operator="greaterThan">
      <formula>0.5</formula>
    </cfRule>
    <cfRule type="cellIs" dxfId="1051" priority="445" stopIfTrue="1" operator="between">
      <formula>0.10001</formula>
      <formula>0.5</formula>
    </cfRule>
    <cfRule type="cellIs" dxfId="1050" priority="446" stopIfTrue="1" operator="between">
      <formula>0.0100001</formula>
      <formula>0.1</formula>
    </cfRule>
    <cfRule type="cellIs" dxfId="1049" priority="447" stopIfTrue="1" operator="between">
      <formula>0.000001</formula>
      <formula>0.01</formula>
    </cfRule>
  </conditionalFormatting>
  <conditionalFormatting sqref="T79">
    <cfRule type="containsText" dxfId="1048" priority="440" stopIfTrue="1" operator="containsText" text="High">
      <formula>NOT(ISERROR(SEARCH("High",T79)))</formula>
    </cfRule>
    <cfRule type="containsText" dxfId="1047" priority="441" stopIfTrue="1" operator="containsText" text="Moderate">
      <formula>NOT(ISERROR(SEARCH("Moderate",T79)))</formula>
    </cfRule>
    <cfRule type="containsText" dxfId="1046" priority="442" stopIfTrue="1" operator="containsText" text="Low">
      <formula>NOT(ISERROR(SEARCH("Low",T79)))</formula>
    </cfRule>
    <cfRule type="containsText" dxfId="1045" priority="443" stopIfTrue="1" operator="containsText" text="Negligible">
      <formula>NOT(ISERROR(SEARCH("Negligible",T79)))</formula>
    </cfRule>
  </conditionalFormatting>
  <conditionalFormatting sqref="AL79">
    <cfRule type="containsText" dxfId="1044" priority="436" stopIfTrue="1" operator="containsText" text="High">
      <formula>NOT(ISERROR(SEARCH("High",AL79)))</formula>
    </cfRule>
    <cfRule type="containsText" dxfId="1043" priority="437" stopIfTrue="1" operator="containsText" text="Moderate">
      <formula>NOT(ISERROR(SEARCH("Moderate",AL79)))</formula>
    </cfRule>
    <cfRule type="containsText" dxfId="1042" priority="438" stopIfTrue="1" operator="containsText" text="Low">
      <formula>NOT(ISERROR(SEARCH("Low",AL79)))</formula>
    </cfRule>
    <cfRule type="containsText" dxfId="1041" priority="439" stopIfTrue="1" operator="containsText" text="Negligible">
      <formula>NOT(ISERROR(SEARCH("Negligible",AL79)))</formula>
    </cfRule>
  </conditionalFormatting>
  <conditionalFormatting sqref="S79">
    <cfRule type="containsText" dxfId="1040" priority="432" stopIfTrue="1" operator="containsText" text="High">
      <formula>NOT(ISERROR(SEARCH("High",S79)))</formula>
    </cfRule>
    <cfRule type="containsText" dxfId="1039" priority="433" stopIfTrue="1" operator="containsText" text="Moderate">
      <formula>NOT(ISERROR(SEARCH("Moderate",S79)))</formula>
    </cfRule>
    <cfRule type="containsText" dxfId="1038" priority="434" stopIfTrue="1" operator="containsText" text="Low">
      <formula>NOT(ISERROR(SEARCH("Low",S79)))</formula>
    </cfRule>
    <cfRule type="containsText" dxfId="1037" priority="435" stopIfTrue="1" operator="containsText" text="Negligible">
      <formula>NOT(ISERROR(SEARCH("Negligible",S79)))</formula>
    </cfRule>
  </conditionalFormatting>
  <conditionalFormatting sqref="AN79">
    <cfRule type="containsText" dxfId="1036" priority="420" stopIfTrue="1" operator="containsText" text="High">
      <formula>NOT(ISERROR(SEARCH("High",AN79)))</formula>
    </cfRule>
    <cfRule type="containsText" dxfId="1035" priority="421" stopIfTrue="1" operator="containsText" text="Moderate">
      <formula>NOT(ISERROR(SEARCH("Moderate",AN79)))</formula>
    </cfRule>
    <cfRule type="containsText" dxfId="1034" priority="422" stopIfTrue="1" operator="containsText" text="Low">
      <formula>NOT(ISERROR(SEARCH("Low",AN79)))</formula>
    </cfRule>
    <cfRule type="containsText" dxfId="1033" priority="423" stopIfTrue="1" operator="containsText" text="Negligible">
      <formula>NOT(ISERROR(SEARCH("Negligible",AN79)))</formula>
    </cfRule>
  </conditionalFormatting>
  <conditionalFormatting sqref="B79:G79 AA79 AL79 I79:L79 S79:Y79 AQ79:AV79 AN79 AX79:AY79">
    <cfRule type="expression" dxfId="1032" priority="419">
      <formula>"$W50=0"</formula>
    </cfRule>
  </conditionalFormatting>
  <conditionalFormatting sqref="R79">
    <cfRule type="containsText" dxfId="1031" priority="415" stopIfTrue="1" operator="containsText" text="High">
      <formula>NOT(ISERROR(SEARCH("High",R79)))</formula>
    </cfRule>
    <cfRule type="containsText" dxfId="1030" priority="416" stopIfTrue="1" operator="containsText" text="Moderate">
      <formula>NOT(ISERROR(SEARCH("Moderate",R79)))</formula>
    </cfRule>
    <cfRule type="containsText" dxfId="1029" priority="417" stopIfTrue="1" operator="containsText" text="Low">
      <formula>NOT(ISERROR(SEARCH("Low",R79)))</formula>
    </cfRule>
    <cfRule type="containsText" dxfId="1028" priority="418" stopIfTrue="1" operator="containsText" text="Negligible">
      <formula>NOT(ISERROR(SEARCH("Negligible",R79)))</formula>
    </cfRule>
  </conditionalFormatting>
  <conditionalFormatting sqref="M79">
    <cfRule type="expression" dxfId="1027" priority="410" stopIfTrue="1">
      <formula>$M79=""</formula>
    </cfRule>
  </conditionalFormatting>
  <conditionalFormatting sqref="M79:R79">
    <cfRule type="expression" dxfId="1026" priority="409">
      <formula>"$W50=0"</formula>
    </cfRule>
  </conditionalFormatting>
  <conditionalFormatting sqref="AB79 AE79:AG79">
    <cfRule type="expression" dxfId="1025" priority="403">
      <formula>"$W50=0"</formula>
    </cfRule>
  </conditionalFormatting>
  <conditionalFormatting sqref="AH79">
    <cfRule type="expression" dxfId="1024" priority="400">
      <formula>$AH79&gt;$N79</formula>
    </cfRule>
    <cfRule type="expression" dxfId="1023" priority="401">
      <formula>$AH79=$N79</formula>
    </cfRule>
    <cfRule type="expression" dxfId="1022" priority="402">
      <formula>$AH79&lt;$N79</formula>
    </cfRule>
  </conditionalFormatting>
  <conditionalFormatting sqref="AI79">
    <cfRule type="expression" dxfId="1021" priority="397">
      <formula>$AI79&gt;$O79</formula>
    </cfRule>
    <cfRule type="expression" dxfId="1020" priority="398">
      <formula>$AI79=$O79</formula>
    </cfRule>
    <cfRule type="expression" dxfId="1019" priority="399">
      <formula>$AI79&lt;$O79</formula>
    </cfRule>
  </conditionalFormatting>
  <conditionalFormatting sqref="AJ79">
    <cfRule type="expression" dxfId="1018" priority="394">
      <formula>$AJ79&gt;$P79</formula>
    </cfRule>
    <cfRule type="expression" dxfId="1017" priority="395">
      <formula>$AJ79=$P79</formula>
    </cfRule>
    <cfRule type="expression" dxfId="1016" priority="396">
      <formula>$AJ79&lt;$P79</formula>
    </cfRule>
  </conditionalFormatting>
  <conditionalFormatting sqref="AK79">
    <cfRule type="expression" dxfId="1015" priority="391">
      <formula>$AK79&gt;$Q79</formula>
    </cfRule>
    <cfRule type="expression" dxfId="1014" priority="392">
      <formula>$AK79=$Q79</formula>
    </cfRule>
    <cfRule type="expression" dxfId="1013" priority="393">
      <formula>$AK79&lt;$Q79</formula>
    </cfRule>
  </conditionalFormatting>
  <conditionalFormatting sqref="AW79">
    <cfRule type="expression" dxfId="1012" priority="385">
      <formula>"$W50=0"</formula>
    </cfRule>
  </conditionalFormatting>
  <conditionalFormatting sqref="H93">
    <cfRule type="expression" dxfId="1011" priority="384">
      <formula>"$W50=0"</formula>
    </cfRule>
  </conditionalFormatting>
  <conditionalFormatting sqref="AL84">
    <cfRule type="containsText" dxfId="1010" priority="380" stopIfTrue="1" operator="containsText" text="High">
      <formula>NOT(ISERROR(SEARCH("High",AL84)))</formula>
    </cfRule>
    <cfRule type="containsText" dxfId="1009" priority="381" stopIfTrue="1" operator="containsText" text="Moderate">
      <formula>NOT(ISERROR(SEARCH("Moderate",AL84)))</formula>
    </cfRule>
    <cfRule type="containsText" dxfId="1008" priority="382" stopIfTrue="1" operator="containsText" text="Low">
      <formula>NOT(ISERROR(SEARCH("Low",AL84)))</formula>
    </cfRule>
    <cfRule type="containsText" dxfId="1007" priority="383" stopIfTrue="1" operator="containsText" text="Negligible">
      <formula>NOT(ISERROR(SEARCH("Negligible",AL84)))</formula>
    </cfRule>
  </conditionalFormatting>
  <conditionalFormatting sqref="AL84">
    <cfRule type="expression" dxfId="1006" priority="379">
      <formula>"$W50=0"</formula>
    </cfRule>
  </conditionalFormatting>
  <conditionalFormatting sqref="J71 Y71">
    <cfRule type="cellIs" dxfId="1005" priority="375" stopIfTrue="1" operator="greaterThan">
      <formula>0.5</formula>
    </cfRule>
    <cfRule type="cellIs" dxfId="1004" priority="376" stopIfTrue="1" operator="between">
      <formula>0.10001</formula>
      <formula>0.5</formula>
    </cfRule>
    <cfRule type="cellIs" dxfId="1003" priority="377" stopIfTrue="1" operator="between">
      <formula>0.0100001</formula>
      <formula>0.1</formula>
    </cfRule>
    <cfRule type="cellIs" dxfId="1002" priority="378" stopIfTrue="1" operator="between">
      <formula>0.000001</formula>
      <formula>0.01</formula>
    </cfRule>
  </conditionalFormatting>
  <conditionalFormatting sqref="T71">
    <cfRule type="containsText" dxfId="1001" priority="371" stopIfTrue="1" operator="containsText" text="High">
      <formula>NOT(ISERROR(SEARCH("High",T71)))</formula>
    </cfRule>
    <cfRule type="containsText" dxfId="1000" priority="372" stopIfTrue="1" operator="containsText" text="Moderate">
      <formula>NOT(ISERROR(SEARCH("Moderate",T71)))</formula>
    </cfRule>
    <cfRule type="containsText" dxfId="999" priority="373" stopIfTrue="1" operator="containsText" text="Low">
      <formula>NOT(ISERROR(SEARCH("Low",T71)))</formula>
    </cfRule>
    <cfRule type="containsText" dxfId="998" priority="374" stopIfTrue="1" operator="containsText" text="Negligible">
      <formula>NOT(ISERROR(SEARCH("Negligible",T71)))</formula>
    </cfRule>
  </conditionalFormatting>
  <conditionalFormatting sqref="AN71 R71:S71">
    <cfRule type="containsText" dxfId="997" priority="367" stopIfTrue="1" operator="containsText" text="High">
      <formula>NOT(ISERROR(SEARCH("High",R71)))</formula>
    </cfRule>
    <cfRule type="containsText" dxfId="996" priority="368" stopIfTrue="1" operator="containsText" text="Moderate">
      <formula>NOT(ISERROR(SEARCH("Moderate",R71)))</formula>
    </cfRule>
    <cfRule type="containsText" dxfId="995" priority="369" stopIfTrue="1" operator="containsText" text="Low">
      <formula>NOT(ISERROR(SEARCH("Low",R71)))</formula>
    </cfRule>
    <cfRule type="containsText" dxfId="994" priority="370" stopIfTrue="1" operator="containsText" text="Negligible">
      <formula>NOT(ISERROR(SEARCH("Negligible",R71)))</formula>
    </cfRule>
  </conditionalFormatting>
  <conditionalFormatting sqref="M71">
    <cfRule type="expression" dxfId="993" priority="366" stopIfTrue="1">
      <formula>$M71=""</formula>
    </cfRule>
  </conditionalFormatting>
  <conditionalFormatting sqref="F71">
    <cfRule type="expression" dxfId="992" priority="365">
      <formula>$Y71=0%</formula>
    </cfRule>
  </conditionalFormatting>
  <conditionalFormatting sqref="AM71">
    <cfRule type="containsText" dxfId="991" priority="361" stopIfTrue="1" operator="containsText" text="High">
      <formula>NOT(ISERROR(SEARCH("High",AM71)))</formula>
    </cfRule>
    <cfRule type="containsText" dxfId="990" priority="362" stopIfTrue="1" operator="containsText" text="Moderate">
      <formula>NOT(ISERROR(SEARCH("Moderate",AM71)))</formula>
    </cfRule>
    <cfRule type="containsText" dxfId="989" priority="363" stopIfTrue="1" operator="containsText" text="Low">
      <formula>NOT(ISERROR(SEARCH("Low",AM71)))</formula>
    </cfRule>
    <cfRule type="containsText" dxfId="988" priority="364" stopIfTrue="1" operator="containsText" text="Negligible">
      <formula>NOT(ISERROR(SEARCH("Negligible",AM71)))</formula>
    </cfRule>
  </conditionalFormatting>
  <conditionalFormatting sqref="AL71">
    <cfRule type="containsText" dxfId="987" priority="357" stopIfTrue="1" operator="containsText" text="High">
      <formula>NOT(ISERROR(SEARCH("High",AL71)))</formula>
    </cfRule>
    <cfRule type="containsText" dxfId="986" priority="358" stopIfTrue="1" operator="containsText" text="Moderate">
      <formula>NOT(ISERROR(SEARCH("Moderate",AL71)))</formula>
    </cfRule>
    <cfRule type="containsText" dxfId="985" priority="359" stopIfTrue="1" operator="containsText" text="Low">
      <formula>NOT(ISERROR(SEARCH("Low",AL71)))</formula>
    </cfRule>
    <cfRule type="containsText" dxfId="984" priority="360" stopIfTrue="1" operator="containsText" text="Negligible">
      <formula>NOT(ISERROR(SEARCH("Negligible",AL71)))</formula>
    </cfRule>
  </conditionalFormatting>
  <conditionalFormatting sqref="AH71">
    <cfRule type="expression" dxfId="983" priority="354">
      <formula>$AH71&gt;$N71</formula>
    </cfRule>
    <cfRule type="expression" dxfId="982" priority="355">
      <formula>$AH71=$N71</formula>
    </cfRule>
    <cfRule type="expression" dxfId="981" priority="356">
      <formula>$AH71&lt;$N71</formula>
    </cfRule>
  </conditionalFormatting>
  <conditionalFormatting sqref="AI71">
    <cfRule type="expression" dxfId="980" priority="351">
      <formula>$AI71&gt;$O71</formula>
    </cfRule>
    <cfRule type="expression" dxfId="979" priority="352">
      <formula>$AI71=$O71</formula>
    </cfRule>
    <cfRule type="expression" dxfId="978" priority="353">
      <formula>$AI71&lt;$O71</formula>
    </cfRule>
  </conditionalFormatting>
  <conditionalFormatting sqref="AJ71">
    <cfRule type="expression" dxfId="977" priority="348">
      <formula>$AJ71&gt;$P71</formula>
    </cfRule>
    <cfRule type="expression" dxfId="976" priority="349">
      <formula>$AJ71=$P71</formula>
    </cfRule>
    <cfRule type="expression" dxfId="975" priority="350">
      <formula>$AJ71&lt;$P71</formula>
    </cfRule>
  </conditionalFormatting>
  <conditionalFormatting sqref="AK71">
    <cfRule type="expression" dxfId="974" priority="345">
      <formula>$AK71&gt;$Q71</formula>
    </cfRule>
    <cfRule type="expression" dxfId="973" priority="346">
      <formula>$AK71=$Q71</formula>
    </cfRule>
    <cfRule type="expression" dxfId="972" priority="347">
      <formula>$AK71&lt;$Q71</formula>
    </cfRule>
  </conditionalFormatting>
  <conditionalFormatting sqref="AN72">
    <cfRule type="containsText" dxfId="971" priority="341" stopIfTrue="1" operator="containsText" text="High">
      <formula>NOT(ISERROR(SEARCH("High",AN72)))</formula>
    </cfRule>
    <cfRule type="containsText" dxfId="970" priority="342" stopIfTrue="1" operator="containsText" text="Moderate">
      <formula>NOT(ISERROR(SEARCH("Moderate",AN72)))</formula>
    </cfRule>
    <cfRule type="containsText" dxfId="969" priority="343" stopIfTrue="1" operator="containsText" text="Low">
      <formula>NOT(ISERROR(SEARCH("Low",AN72)))</formula>
    </cfRule>
    <cfRule type="containsText" dxfId="968" priority="344" stopIfTrue="1" operator="containsText" text="Negligible">
      <formula>NOT(ISERROR(SEARCH("Negligible",AN72)))</formula>
    </cfRule>
  </conditionalFormatting>
  <conditionalFormatting sqref="J72 Y72">
    <cfRule type="cellIs" dxfId="967" priority="337" stopIfTrue="1" operator="greaterThan">
      <formula>0.5</formula>
    </cfRule>
    <cfRule type="cellIs" dxfId="966" priority="338" stopIfTrue="1" operator="between">
      <formula>0.10001</formula>
      <formula>0.5</formula>
    </cfRule>
    <cfRule type="cellIs" dxfId="965" priority="339" stopIfTrue="1" operator="between">
      <formula>0.0100001</formula>
      <formula>0.1</formula>
    </cfRule>
    <cfRule type="cellIs" dxfId="964" priority="340" stopIfTrue="1" operator="between">
      <formula>0.000001</formula>
      <formula>0.01</formula>
    </cfRule>
  </conditionalFormatting>
  <conditionalFormatting sqref="AM72">
    <cfRule type="containsText" dxfId="963" priority="333" stopIfTrue="1" operator="containsText" text="High">
      <formula>NOT(ISERROR(SEARCH("High",AM72)))</formula>
    </cfRule>
    <cfRule type="containsText" dxfId="962" priority="334" stopIfTrue="1" operator="containsText" text="Moderate">
      <formula>NOT(ISERROR(SEARCH("Moderate",AM72)))</formula>
    </cfRule>
    <cfRule type="containsText" dxfId="961" priority="335" stopIfTrue="1" operator="containsText" text="Low">
      <formula>NOT(ISERROR(SEARCH("Low",AM72)))</formula>
    </cfRule>
    <cfRule type="containsText" dxfId="960" priority="336" stopIfTrue="1" operator="containsText" text="Negligible">
      <formula>NOT(ISERROR(SEARCH("Negligible",AM72)))</formula>
    </cfRule>
  </conditionalFormatting>
  <conditionalFormatting sqref="R72:S72">
    <cfRule type="containsText" dxfId="959" priority="329" stopIfTrue="1" operator="containsText" text="High">
      <formula>NOT(ISERROR(SEARCH("High",R72)))</formula>
    </cfRule>
    <cfRule type="containsText" dxfId="958" priority="330" stopIfTrue="1" operator="containsText" text="Moderate">
      <formula>NOT(ISERROR(SEARCH("Moderate",R72)))</formula>
    </cfRule>
    <cfRule type="containsText" dxfId="957" priority="331" stopIfTrue="1" operator="containsText" text="Low">
      <formula>NOT(ISERROR(SEARCH("Low",R72)))</formula>
    </cfRule>
    <cfRule type="containsText" dxfId="956" priority="332" stopIfTrue="1" operator="containsText" text="Negligible">
      <formula>NOT(ISERROR(SEARCH("Negligible",R72)))</formula>
    </cfRule>
  </conditionalFormatting>
  <conditionalFormatting sqref="M72">
    <cfRule type="expression" dxfId="955" priority="328" stopIfTrue="1">
      <formula>$M72=""</formula>
    </cfRule>
  </conditionalFormatting>
  <conditionalFormatting sqref="T72">
    <cfRule type="containsText" dxfId="954" priority="324" stopIfTrue="1" operator="containsText" text="High">
      <formula>NOT(ISERROR(SEARCH("High",T72)))</formula>
    </cfRule>
    <cfRule type="containsText" dxfId="953" priority="325" stopIfTrue="1" operator="containsText" text="Moderate">
      <formula>NOT(ISERROR(SEARCH("Moderate",T72)))</formula>
    </cfRule>
    <cfRule type="containsText" dxfId="952" priority="326" stopIfTrue="1" operator="containsText" text="Low">
      <formula>NOT(ISERROR(SEARCH("Low",T72)))</formula>
    </cfRule>
    <cfRule type="containsText" dxfId="951" priority="327" stopIfTrue="1" operator="containsText" text="Negligible">
      <formula>NOT(ISERROR(SEARCH("Negligible",T72)))</formula>
    </cfRule>
  </conditionalFormatting>
  <conditionalFormatting sqref="F72">
    <cfRule type="expression" dxfId="950" priority="323">
      <formula>$Y72=0%</formula>
    </cfRule>
  </conditionalFormatting>
  <conditionalFormatting sqref="AL72">
    <cfRule type="containsText" dxfId="949" priority="319" stopIfTrue="1" operator="containsText" text="High">
      <formula>NOT(ISERROR(SEARCH("High",AL72)))</formula>
    </cfRule>
    <cfRule type="containsText" dxfId="948" priority="320" stopIfTrue="1" operator="containsText" text="Moderate">
      <formula>NOT(ISERROR(SEARCH("Moderate",AL72)))</formula>
    </cfRule>
    <cfRule type="containsText" dxfId="947" priority="321" stopIfTrue="1" operator="containsText" text="Low">
      <formula>NOT(ISERROR(SEARCH("Low",AL72)))</formula>
    </cfRule>
    <cfRule type="containsText" dxfId="946" priority="322" stopIfTrue="1" operator="containsText" text="Negligible">
      <formula>NOT(ISERROR(SEARCH("Negligible",AL72)))</formula>
    </cfRule>
  </conditionalFormatting>
  <conditionalFormatting sqref="AH72">
    <cfRule type="expression" dxfId="945" priority="316">
      <formula>$AH72&gt;$N72</formula>
    </cfRule>
    <cfRule type="expression" dxfId="944" priority="317">
      <formula>$AH72=$N72</formula>
    </cfRule>
    <cfRule type="expression" dxfId="943" priority="318">
      <formula>$AH72&lt;$N72</formula>
    </cfRule>
  </conditionalFormatting>
  <conditionalFormatting sqref="AI72">
    <cfRule type="expression" dxfId="942" priority="313">
      <formula>$AI72&gt;$O72</formula>
    </cfRule>
    <cfRule type="expression" dxfId="941" priority="314">
      <formula>$AI72=$O72</formula>
    </cfRule>
    <cfRule type="expression" dxfId="940" priority="315">
      <formula>$AI72&lt;$O72</formula>
    </cfRule>
  </conditionalFormatting>
  <conditionalFormatting sqref="AJ72">
    <cfRule type="expression" dxfId="939" priority="310">
      <formula>$AJ72&gt;$P72</formula>
    </cfRule>
    <cfRule type="expression" dxfId="938" priority="311">
      <formula>$AJ72=$P72</formula>
    </cfRule>
    <cfRule type="expression" dxfId="937" priority="312">
      <formula>$AJ72&lt;$P72</formula>
    </cfRule>
  </conditionalFormatting>
  <conditionalFormatting sqref="AK72">
    <cfRule type="expression" dxfId="936" priority="307">
      <formula>$AK72&gt;$Q72</formula>
    </cfRule>
    <cfRule type="expression" dxfId="935" priority="308">
      <formula>$AK72=$Q72</formula>
    </cfRule>
    <cfRule type="expression" dxfId="934" priority="309">
      <formula>$AK72&lt;$Q72</formula>
    </cfRule>
  </conditionalFormatting>
  <conditionalFormatting sqref="AN73">
    <cfRule type="containsText" dxfId="933" priority="303" stopIfTrue="1" operator="containsText" text="High">
      <formula>NOT(ISERROR(SEARCH("High",AN73)))</formula>
    </cfRule>
    <cfRule type="containsText" dxfId="932" priority="304" stopIfTrue="1" operator="containsText" text="Moderate">
      <formula>NOT(ISERROR(SEARCH("Moderate",AN73)))</formula>
    </cfRule>
    <cfRule type="containsText" dxfId="931" priority="305" stopIfTrue="1" operator="containsText" text="Low">
      <formula>NOT(ISERROR(SEARCH("Low",AN73)))</formula>
    </cfRule>
    <cfRule type="containsText" dxfId="930" priority="306" stopIfTrue="1" operator="containsText" text="Negligible">
      <formula>NOT(ISERROR(SEARCH("Negligible",AN73)))</formula>
    </cfRule>
  </conditionalFormatting>
  <conditionalFormatting sqref="J73 Y73">
    <cfRule type="cellIs" dxfId="929" priority="299" stopIfTrue="1" operator="greaterThan">
      <formula>0.5</formula>
    </cfRule>
    <cfRule type="cellIs" dxfId="928" priority="300" stopIfTrue="1" operator="between">
      <formula>0.10001</formula>
      <formula>0.5</formula>
    </cfRule>
    <cfRule type="cellIs" dxfId="927" priority="301" stopIfTrue="1" operator="between">
      <formula>0.0100001</formula>
      <formula>0.1</formula>
    </cfRule>
    <cfRule type="cellIs" dxfId="926" priority="302" stopIfTrue="1" operator="between">
      <formula>0.000001</formula>
      <formula>0.01</formula>
    </cfRule>
  </conditionalFormatting>
  <conditionalFormatting sqref="AM73">
    <cfRule type="containsText" dxfId="925" priority="295" stopIfTrue="1" operator="containsText" text="High">
      <formula>NOT(ISERROR(SEARCH("High",AM73)))</formula>
    </cfRule>
    <cfRule type="containsText" dxfId="924" priority="296" stopIfTrue="1" operator="containsText" text="Moderate">
      <formula>NOT(ISERROR(SEARCH("Moderate",AM73)))</formula>
    </cfRule>
    <cfRule type="containsText" dxfId="923" priority="297" stopIfTrue="1" operator="containsText" text="Low">
      <formula>NOT(ISERROR(SEARCH("Low",AM73)))</formula>
    </cfRule>
    <cfRule type="containsText" dxfId="922" priority="298" stopIfTrue="1" operator="containsText" text="Negligible">
      <formula>NOT(ISERROR(SEARCH("Negligible",AM73)))</formula>
    </cfRule>
  </conditionalFormatting>
  <conditionalFormatting sqref="R73:S73">
    <cfRule type="containsText" dxfId="921" priority="291" stopIfTrue="1" operator="containsText" text="High">
      <formula>NOT(ISERROR(SEARCH("High",R73)))</formula>
    </cfRule>
    <cfRule type="containsText" dxfId="920" priority="292" stopIfTrue="1" operator="containsText" text="Moderate">
      <formula>NOT(ISERROR(SEARCH("Moderate",R73)))</formula>
    </cfRule>
    <cfRule type="containsText" dxfId="919" priority="293" stopIfTrue="1" operator="containsText" text="Low">
      <formula>NOT(ISERROR(SEARCH("Low",R73)))</formula>
    </cfRule>
    <cfRule type="containsText" dxfId="918" priority="294" stopIfTrue="1" operator="containsText" text="Negligible">
      <formula>NOT(ISERROR(SEARCH("Negligible",R73)))</formula>
    </cfRule>
  </conditionalFormatting>
  <conditionalFormatting sqref="M73">
    <cfRule type="expression" dxfId="917" priority="290" stopIfTrue="1">
      <formula>$M73=""</formula>
    </cfRule>
  </conditionalFormatting>
  <conditionalFormatting sqref="T73">
    <cfRule type="containsText" dxfId="916" priority="286" stopIfTrue="1" operator="containsText" text="High">
      <formula>NOT(ISERROR(SEARCH("High",T73)))</formula>
    </cfRule>
    <cfRule type="containsText" dxfId="915" priority="287" stopIfTrue="1" operator="containsText" text="Moderate">
      <formula>NOT(ISERROR(SEARCH("Moderate",T73)))</formula>
    </cfRule>
    <cfRule type="containsText" dxfId="914" priority="288" stopIfTrue="1" operator="containsText" text="Low">
      <formula>NOT(ISERROR(SEARCH("Low",T73)))</formula>
    </cfRule>
    <cfRule type="containsText" dxfId="913" priority="289" stopIfTrue="1" operator="containsText" text="Negligible">
      <formula>NOT(ISERROR(SEARCH("Negligible",T73)))</formula>
    </cfRule>
  </conditionalFormatting>
  <conditionalFormatting sqref="F73">
    <cfRule type="expression" dxfId="912" priority="285">
      <formula>$Y73=0%</formula>
    </cfRule>
  </conditionalFormatting>
  <conditionalFormatting sqref="AL73">
    <cfRule type="containsText" dxfId="911" priority="281" stopIfTrue="1" operator="containsText" text="High">
      <formula>NOT(ISERROR(SEARCH("High",AL73)))</formula>
    </cfRule>
    <cfRule type="containsText" dxfId="910" priority="282" stopIfTrue="1" operator="containsText" text="Moderate">
      <formula>NOT(ISERROR(SEARCH("Moderate",AL73)))</formula>
    </cfRule>
    <cfRule type="containsText" dxfId="909" priority="283" stopIfTrue="1" operator="containsText" text="Low">
      <formula>NOT(ISERROR(SEARCH("Low",AL73)))</formula>
    </cfRule>
    <cfRule type="containsText" dxfId="908" priority="284" stopIfTrue="1" operator="containsText" text="Negligible">
      <formula>NOT(ISERROR(SEARCH("Negligible",AL73)))</formula>
    </cfRule>
  </conditionalFormatting>
  <conditionalFormatting sqref="AH73">
    <cfRule type="expression" dxfId="907" priority="278">
      <formula>$AH73&gt;$N73</formula>
    </cfRule>
    <cfRule type="expression" dxfId="906" priority="279">
      <formula>$AH73=$N73</formula>
    </cfRule>
    <cfRule type="expression" dxfId="905" priority="280">
      <formula>$AH73&lt;$N73</formula>
    </cfRule>
  </conditionalFormatting>
  <conditionalFormatting sqref="AI73">
    <cfRule type="expression" dxfId="904" priority="275">
      <formula>$AI73&gt;$O73</formula>
    </cfRule>
    <cfRule type="expression" dxfId="903" priority="276">
      <formula>$AI73=$O73</formula>
    </cfRule>
    <cfRule type="expression" dxfId="902" priority="277">
      <formula>$AI73&lt;$O73</formula>
    </cfRule>
  </conditionalFormatting>
  <conditionalFormatting sqref="AJ73">
    <cfRule type="expression" dxfId="901" priority="272">
      <formula>$AJ73&gt;$P73</formula>
    </cfRule>
    <cfRule type="expression" dxfId="900" priority="273">
      <formula>$AJ73=$P73</formula>
    </cfRule>
    <cfRule type="expression" dxfId="899" priority="274">
      <formula>$AJ73&lt;$P73</formula>
    </cfRule>
  </conditionalFormatting>
  <conditionalFormatting sqref="AK73">
    <cfRule type="expression" dxfId="898" priority="269">
      <formula>$AK73&gt;$Q73</formula>
    </cfRule>
    <cfRule type="expression" dxfId="897" priority="270">
      <formula>$AK73=$Q73</formula>
    </cfRule>
    <cfRule type="expression" dxfId="896" priority="271">
      <formula>$AK73&lt;$Q73</formula>
    </cfRule>
  </conditionalFormatting>
  <conditionalFormatting sqref="AN74">
    <cfRule type="containsText" dxfId="895" priority="265" stopIfTrue="1" operator="containsText" text="High">
      <formula>NOT(ISERROR(SEARCH("High",AN74)))</formula>
    </cfRule>
    <cfRule type="containsText" dxfId="894" priority="266" stopIfTrue="1" operator="containsText" text="Moderate">
      <formula>NOT(ISERROR(SEARCH("Moderate",AN74)))</formula>
    </cfRule>
    <cfRule type="containsText" dxfId="893" priority="267" stopIfTrue="1" operator="containsText" text="Low">
      <formula>NOT(ISERROR(SEARCH("Low",AN74)))</formula>
    </cfRule>
    <cfRule type="containsText" dxfId="892" priority="268" stopIfTrue="1" operator="containsText" text="Negligible">
      <formula>NOT(ISERROR(SEARCH("Negligible",AN74)))</formula>
    </cfRule>
  </conditionalFormatting>
  <conditionalFormatting sqref="J74 Y74">
    <cfRule type="cellIs" dxfId="891" priority="261" stopIfTrue="1" operator="greaterThan">
      <formula>0.5</formula>
    </cfRule>
    <cfRule type="cellIs" dxfId="890" priority="262" stopIfTrue="1" operator="between">
      <formula>0.10001</formula>
      <formula>0.5</formula>
    </cfRule>
    <cfRule type="cellIs" dxfId="889" priority="263" stopIfTrue="1" operator="between">
      <formula>0.0100001</formula>
      <formula>0.1</formula>
    </cfRule>
    <cfRule type="cellIs" dxfId="888" priority="264" stopIfTrue="1" operator="between">
      <formula>0.000001</formula>
      <formula>0.01</formula>
    </cfRule>
  </conditionalFormatting>
  <conditionalFormatting sqref="AM74">
    <cfRule type="containsText" dxfId="887" priority="257" stopIfTrue="1" operator="containsText" text="High">
      <formula>NOT(ISERROR(SEARCH("High",AM74)))</formula>
    </cfRule>
    <cfRule type="containsText" dxfId="886" priority="258" stopIfTrue="1" operator="containsText" text="Moderate">
      <formula>NOT(ISERROR(SEARCH("Moderate",AM74)))</formula>
    </cfRule>
    <cfRule type="containsText" dxfId="885" priority="259" stopIfTrue="1" operator="containsText" text="Low">
      <formula>NOT(ISERROR(SEARCH("Low",AM74)))</formula>
    </cfRule>
    <cfRule type="containsText" dxfId="884" priority="260" stopIfTrue="1" operator="containsText" text="Negligible">
      <formula>NOT(ISERROR(SEARCH("Negligible",AM74)))</formula>
    </cfRule>
  </conditionalFormatting>
  <conditionalFormatting sqref="R74:S74">
    <cfRule type="containsText" dxfId="883" priority="253" stopIfTrue="1" operator="containsText" text="High">
      <formula>NOT(ISERROR(SEARCH("High",R74)))</formula>
    </cfRule>
    <cfRule type="containsText" dxfId="882" priority="254" stopIfTrue="1" operator="containsText" text="Moderate">
      <formula>NOT(ISERROR(SEARCH("Moderate",R74)))</formula>
    </cfRule>
    <cfRule type="containsText" dxfId="881" priority="255" stopIfTrue="1" operator="containsText" text="Low">
      <formula>NOT(ISERROR(SEARCH("Low",R74)))</formula>
    </cfRule>
    <cfRule type="containsText" dxfId="880" priority="256" stopIfTrue="1" operator="containsText" text="Negligible">
      <formula>NOT(ISERROR(SEARCH("Negligible",R74)))</formula>
    </cfRule>
  </conditionalFormatting>
  <conditionalFormatting sqref="M74">
    <cfRule type="expression" dxfId="879" priority="252" stopIfTrue="1">
      <formula>$M74=""</formula>
    </cfRule>
  </conditionalFormatting>
  <conditionalFormatting sqref="T74">
    <cfRule type="containsText" dxfId="878" priority="248" stopIfTrue="1" operator="containsText" text="High">
      <formula>NOT(ISERROR(SEARCH("High",T74)))</formula>
    </cfRule>
    <cfRule type="containsText" dxfId="877" priority="249" stopIfTrue="1" operator="containsText" text="Moderate">
      <formula>NOT(ISERROR(SEARCH("Moderate",T74)))</formula>
    </cfRule>
    <cfRule type="containsText" dxfId="876" priority="250" stopIfTrue="1" operator="containsText" text="Low">
      <formula>NOT(ISERROR(SEARCH("Low",T74)))</formula>
    </cfRule>
    <cfRule type="containsText" dxfId="875" priority="251" stopIfTrue="1" operator="containsText" text="Negligible">
      <formula>NOT(ISERROR(SEARCH("Negligible",T74)))</formula>
    </cfRule>
  </conditionalFormatting>
  <conditionalFormatting sqref="F74">
    <cfRule type="expression" dxfId="874" priority="247">
      <formula>$Y74=0%</formula>
    </cfRule>
  </conditionalFormatting>
  <conditionalFormatting sqref="AL74">
    <cfRule type="containsText" dxfId="873" priority="243" stopIfTrue="1" operator="containsText" text="High">
      <formula>NOT(ISERROR(SEARCH("High",AL74)))</formula>
    </cfRule>
    <cfRule type="containsText" dxfId="872" priority="244" stopIfTrue="1" operator="containsText" text="Moderate">
      <formula>NOT(ISERROR(SEARCH("Moderate",AL74)))</formula>
    </cfRule>
    <cfRule type="containsText" dxfId="871" priority="245" stopIfTrue="1" operator="containsText" text="Low">
      <formula>NOT(ISERROR(SEARCH("Low",AL74)))</formula>
    </cfRule>
    <cfRule type="containsText" dxfId="870" priority="246" stopIfTrue="1" operator="containsText" text="Negligible">
      <formula>NOT(ISERROR(SEARCH("Negligible",AL74)))</formula>
    </cfRule>
  </conditionalFormatting>
  <conditionalFormatting sqref="AH74">
    <cfRule type="expression" dxfId="869" priority="240">
      <formula>$AH74&gt;$N74</formula>
    </cfRule>
    <cfRule type="expression" dxfId="868" priority="241">
      <formula>$AH74=$N74</formula>
    </cfRule>
    <cfRule type="expression" dxfId="867" priority="242">
      <formula>$AH74&lt;$N74</formula>
    </cfRule>
  </conditionalFormatting>
  <conditionalFormatting sqref="AI74">
    <cfRule type="expression" dxfId="866" priority="237">
      <formula>$AI74&gt;$O74</formula>
    </cfRule>
    <cfRule type="expression" dxfId="865" priority="238">
      <formula>$AI74=$O74</formula>
    </cfRule>
    <cfRule type="expression" dxfId="864" priority="239">
      <formula>$AI74&lt;$O74</formula>
    </cfRule>
  </conditionalFormatting>
  <conditionalFormatting sqref="AJ74">
    <cfRule type="expression" dxfId="863" priority="234">
      <formula>$AJ74&gt;$P74</formula>
    </cfRule>
    <cfRule type="expression" dxfId="862" priority="235">
      <formula>$AJ74=$P74</formula>
    </cfRule>
    <cfRule type="expression" dxfId="861" priority="236">
      <formula>$AJ74&lt;$P74</formula>
    </cfRule>
  </conditionalFormatting>
  <conditionalFormatting sqref="AK74">
    <cfRule type="expression" dxfId="860" priority="231">
      <formula>$AK74&gt;$Q74</formula>
    </cfRule>
    <cfRule type="expression" dxfId="859" priority="232">
      <formula>$AK74=$Q74</formula>
    </cfRule>
    <cfRule type="expression" dxfId="858" priority="233">
      <formula>$AK74&lt;$Q74</formula>
    </cfRule>
  </conditionalFormatting>
  <conditionalFormatting sqref="I71:I74">
    <cfRule type="expression" dxfId="857" priority="230">
      <formula>"$W50=0"</formula>
    </cfRule>
  </conditionalFormatting>
  <conditionalFormatting sqref="D71:D74">
    <cfRule type="expression" dxfId="856" priority="229">
      <formula>"$W50=0"</formula>
    </cfRule>
  </conditionalFormatting>
  <conditionalFormatting sqref="AQ71">
    <cfRule type="expression" dxfId="855" priority="228">
      <formula>"$W50=0"</formula>
    </cfRule>
  </conditionalFormatting>
  <conditionalFormatting sqref="AQ72">
    <cfRule type="expression" dxfId="854" priority="227">
      <formula>"$W50=0"</formula>
    </cfRule>
  </conditionalFormatting>
  <conditionalFormatting sqref="AQ73">
    <cfRule type="expression" dxfId="853" priority="226">
      <formula>"$W50=0"</formula>
    </cfRule>
  </conditionalFormatting>
  <conditionalFormatting sqref="AQ74">
    <cfRule type="expression" dxfId="852" priority="225">
      <formula>"$W50=0"</formula>
    </cfRule>
  </conditionalFormatting>
  <conditionalFormatting sqref="AW71">
    <cfRule type="expression" dxfId="851" priority="224">
      <formula>"$W50=0"</formula>
    </cfRule>
  </conditionalFormatting>
  <conditionalFormatting sqref="AW72">
    <cfRule type="expression" dxfId="850" priority="223">
      <formula>"$W50=0"</formula>
    </cfRule>
  </conditionalFormatting>
  <conditionalFormatting sqref="AW73">
    <cfRule type="expression" dxfId="849" priority="222">
      <formula>"$W50=0"</formula>
    </cfRule>
  </conditionalFormatting>
  <conditionalFormatting sqref="AW74">
    <cfRule type="expression" dxfId="848" priority="221">
      <formula>"$W50=0"</formula>
    </cfRule>
  </conditionalFormatting>
  <conditionalFormatting sqref="U71:U74">
    <cfRule type="expression" dxfId="847" priority="220">
      <formula>"$W50=0"</formula>
    </cfRule>
  </conditionalFormatting>
  <conditionalFormatting sqref="Y61">
    <cfRule type="cellIs" dxfId="846" priority="216" stopIfTrue="1" operator="greaterThan">
      <formula>0.5</formula>
    </cfRule>
    <cfRule type="cellIs" dxfId="845" priority="217" stopIfTrue="1" operator="between">
      <formula>0.10001</formula>
      <formula>0.5</formula>
    </cfRule>
    <cfRule type="cellIs" dxfId="844" priority="218" stopIfTrue="1" operator="between">
      <formula>0.0100001</formula>
      <formula>0.1</formula>
    </cfRule>
    <cfRule type="cellIs" dxfId="843" priority="219" stopIfTrue="1" operator="between">
      <formula>0.000001</formula>
      <formula>0.01</formula>
    </cfRule>
  </conditionalFormatting>
  <conditionalFormatting sqref="AC61">
    <cfRule type="expression" dxfId="842" priority="211">
      <formula>$AC61&lt;$AB61</formula>
    </cfRule>
  </conditionalFormatting>
  <conditionalFormatting sqref="AD61">
    <cfRule type="expression" dxfId="841" priority="210">
      <formula>$AD61&lt;$AC61</formula>
    </cfRule>
  </conditionalFormatting>
  <conditionalFormatting sqref="J45">
    <cfRule type="cellIs" dxfId="840" priority="206" stopIfTrue="1" operator="greaterThan">
      <formula>0.5</formula>
    </cfRule>
    <cfRule type="cellIs" dxfId="839" priority="207" stopIfTrue="1" operator="between">
      <formula>0.10001</formula>
      <formula>0.5</formula>
    </cfRule>
    <cfRule type="cellIs" dxfId="838" priority="208" stopIfTrue="1" operator="between">
      <formula>0.0100001</formula>
      <formula>0.1</formula>
    </cfRule>
    <cfRule type="cellIs" dxfId="837" priority="209" stopIfTrue="1" operator="between">
      <formula>0.000001</formula>
      <formula>0.01</formula>
    </cfRule>
  </conditionalFormatting>
  <conditionalFormatting sqref="T45">
    <cfRule type="containsText" dxfId="836" priority="202" stopIfTrue="1" operator="containsText" text="High">
      <formula>NOT(ISERROR(SEARCH("High",T45)))</formula>
    </cfRule>
    <cfRule type="containsText" dxfId="835" priority="203" stopIfTrue="1" operator="containsText" text="Moderate">
      <formula>NOT(ISERROR(SEARCH("Moderate",T45)))</formula>
    </cfRule>
    <cfRule type="containsText" dxfId="834" priority="204" stopIfTrue="1" operator="containsText" text="Low">
      <formula>NOT(ISERROR(SEARCH("Low",T45)))</formula>
    </cfRule>
    <cfRule type="containsText" dxfId="833" priority="205" stopIfTrue="1" operator="containsText" text="Negligible">
      <formula>NOT(ISERROR(SEARCH("Negligible",T45)))</formula>
    </cfRule>
  </conditionalFormatting>
  <conditionalFormatting sqref="R45:S45">
    <cfRule type="containsText" dxfId="832" priority="198" stopIfTrue="1" operator="containsText" text="High">
      <formula>NOT(ISERROR(SEARCH("High",R45)))</formula>
    </cfRule>
    <cfRule type="containsText" dxfId="831" priority="199" stopIfTrue="1" operator="containsText" text="Moderate">
      <formula>NOT(ISERROR(SEARCH("Moderate",R45)))</formula>
    </cfRule>
    <cfRule type="containsText" dxfId="830" priority="200" stopIfTrue="1" operator="containsText" text="Low">
      <formula>NOT(ISERROR(SEARCH("Low",R45)))</formula>
    </cfRule>
    <cfRule type="containsText" dxfId="829" priority="201" stopIfTrue="1" operator="containsText" text="Negligible">
      <formula>NOT(ISERROR(SEARCH("Negligible",R45)))</formula>
    </cfRule>
  </conditionalFormatting>
  <conditionalFormatting sqref="M45">
    <cfRule type="expression" dxfId="828" priority="197" stopIfTrue="1">
      <formula>$M45=""</formula>
    </cfRule>
  </conditionalFormatting>
  <conditionalFormatting sqref="AN45">
    <cfRule type="containsText" dxfId="827" priority="193" stopIfTrue="1" operator="containsText" text="High">
      <formula>NOT(ISERROR(SEARCH("High",AN45)))</formula>
    </cfRule>
    <cfRule type="containsText" dxfId="826" priority="194" stopIfTrue="1" operator="containsText" text="Moderate">
      <formula>NOT(ISERROR(SEARCH("Moderate",AN45)))</formula>
    </cfRule>
    <cfRule type="containsText" dxfId="825" priority="195" stopIfTrue="1" operator="containsText" text="Low">
      <formula>NOT(ISERROR(SEARCH("Low",AN45)))</formula>
    </cfRule>
    <cfRule type="containsText" dxfId="824" priority="196" stopIfTrue="1" operator="containsText" text="Negligible">
      <formula>NOT(ISERROR(SEARCH("Negligible",AN45)))</formula>
    </cfRule>
  </conditionalFormatting>
  <conditionalFormatting sqref="Y45">
    <cfRule type="cellIs" dxfId="823" priority="189" stopIfTrue="1" operator="greaterThan">
      <formula>0.5</formula>
    </cfRule>
    <cfRule type="cellIs" dxfId="822" priority="190" stopIfTrue="1" operator="between">
      <formula>0.10001</formula>
      <formula>0.5</formula>
    </cfRule>
    <cfRule type="cellIs" dxfId="821" priority="191" stopIfTrue="1" operator="between">
      <formula>0.0100001</formula>
      <formula>0.1</formula>
    </cfRule>
    <cfRule type="cellIs" dxfId="820" priority="192" stopIfTrue="1" operator="between">
      <formula>0.000001</formula>
      <formula>0.01</formula>
    </cfRule>
  </conditionalFormatting>
  <conditionalFormatting sqref="AL45:AM45">
    <cfRule type="containsText" dxfId="819" priority="185" stopIfTrue="1" operator="containsText" text="High">
      <formula>NOT(ISERROR(SEARCH("High",AL45)))</formula>
    </cfRule>
    <cfRule type="containsText" dxfId="818" priority="186" stopIfTrue="1" operator="containsText" text="Moderate">
      <formula>NOT(ISERROR(SEARCH("Moderate",AL45)))</formula>
    </cfRule>
    <cfRule type="containsText" dxfId="817" priority="187" stopIfTrue="1" operator="containsText" text="Low">
      <formula>NOT(ISERROR(SEARCH("Low",AL45)))</formula>
    </cfRule>
    <cfRule type="containsText" dxfId="816" priority="188" stopIfTrue="1" operator="containsText" text="Negligible">
      <formula>NOT(ISERROR(SEARCH("Negligible",AL45)))</formula>
    </cfRule>
  </conditionalFormatting>
  <conditionalFormatting sqref="AH45">
    <cfRule type="expression" dxfId="815" priority="182">
      <formula>$AH45&gt;$N45</formula>
    </cfRule>
    <cfRule type="expression" dxfId="814" priority="183">
      <formula>$AH45=$N45</formula>
    </cfRule>
    <cfRule type="expression" dxfId="813" priority="184">
      <formula>$AH45&lt;$N45</formula>
    </cfRule>
  </conditionalFormatting>
  <conditionalFormatting sqref="AI45">
    <cfRule type="expression" dxfId="812" priority="179">
      <formula>$AI45&gt;$O45</formula>
    </cfRule>
    <cfRule type="expression" dxfId="811" priority="180">
      <formula>$AI45=$O45</formula>
    </cfRule>
    <cfRule type="expression" dxfId="810" priority="181">
      <formula>$AI45&lt;$O45</formula>
    </cfRule>
  </conditionalFormatting>
  <conditionalFormatting sqref="AJ45">
    <cfRule type="expression" dxfId="809" priority="176">
      <formula>$AJ45&gt;$P45</formula>
    </cfRule>
    <cfRule type="expression" dxfId="808" priority="177">
      <formula>$AJ45=$P45</formula>
    </cfRule>
    <cfRule type="expression" dxfId="807" priority="178">
      <formula>$AJ45&lt;$P45</formula>
    </cfRule>
  </conditionalFormatting>
  <conditionalFormatting sqref="AK45">
    <cfRule type="expression" dxfId="806" priority="173">
      <formula>$AK45&gt;$Q45</formula>
    </cfRule>
    <cfRule type="expression" dxfId="805" priority="174">
      <formula>$AK45=$Q45</formula>
    </cfRule>
    <cfRule type="expression" dxfId="804" priority="175">
      <formula>$AK45&lt;$Q45</formula>
    </cfRule>
  </conditionalFormatting>
  <conditionalFormatting sqref="AL61">
    <cfRule type="containsText" dxfId="803" priority="169" stopIfTrue="1" operator="containsText" text="High">
      <formula>NOT(ISERROR(SEARCH("High",AL61)))</formula>
    </cfRule>
    <cfRule type="containsText" dxfId="802" priority="170" stopIfTrue="1" operator="containsText" text="Moderate">
      <formula>NOT(ISERROR(SEARCH("Moderate",AL61)))</formula>
    </cfRule>
    <cfRule type="containsText" dxfId="801" priority="171" stopIfTrue="1" operator="containsText" text="Low">
      <formula>NOT(ISERROR(SEARCH("Low",AL61)))</formula>
    </cfRule>
    <cfRule type="containsText" dxfId="800" priority="172" stopIfTrue="1" operator="containsText" text="Negligible">
      <formula>NOT(ISERROR(SEARCH("Negligible",AL61)))</formula>
    </cfRule>
  </conditionalFormatting>
  <conditionalFormatting sqref="AH61">
    <cfRule type="expression" dxfId="799" priority="166">
      <formula>$AH61&gt;$N61</formula>
    </cfRule>
    <cfRule type="expression" dxfId="798" priority="167">
      <formula>$AH61=$N61</formula>
    </cfRule>
    <cfRule type="expression" dxfId="797" priority="168">
      <formula>$AH61&lt;$N61</formula>
    </cfRule>
  </conditionalFormatting>
  <conditionalFormatting sqref="AI61">
    <cfRule type="expression" dxfId="796" priority="163">
      <formula>$AI61&gt;$O61</formula>
    </cfRule>
    <cfRule type="expression" dxfId="795" priority="164">
      <formula>$AI61=$O61</formula>
    </cfRule>
    <cfRule type="expression" dxfId="794" priority="165">
      <formula>$AI61&lt;$O61</formula>
    </cfRule>
  </conditionalFormatting>
  <conditionalFormatting sqref="AJ61">
    <cfRule type="expression" dxfId="793" priority="160">
      <formula>$AJ61&gt;$P61</formula>
    </cfRule>
    <cfRule type="expression" dxfId="792" priority="161">
      <formula>$AJ61=$P61</formula>
    </cfRule>
    <cfRule type="expression" dxfId="791" priority="162">
      <formula>$AJ61&lt;$P61</formula>
    </cfRule>
  </conditionalFormatting>
  <conditionalFormatting sqref="AK61">
    <cfRule type="expression" dxfId="790" priority="157">
      <formula>$AK61&gt;$Q61</formula>
    </cfRule>
    <cfRule type="expression" dxfId="789" priority="158">
      <formula>$AK61=$Q61</formula>
    </cfRule>
    <cfRule type="expression" dxfId="788" priority="159">
      <formula>$AK61&lt;$Q61</formula>
    </cfRule>
  </conditionalFormatting>
  <conditionalFormatting sqref="AL38:AM38">
    <cfRule type="containsText" dxfId="219" priority="153" stopIfTrue="1" operator="containsText" text="High">
      <formula>NOT(ISERROR(SEARCH("High",AL38)))</formula>
    </cfRule>
    <cfRule type="containsText" dxfId="218" priority="154" stopIfTrue="1" operator="containsText" text="Moderate">
      <formula>NOT(ISERROR(SEARCH("Moderate",AL38)))</formula>
    </cfRule>
    <cfRule type="containsText" dxfId="217" priority="155" stopIfTrue="1" operator="containsText" text="Low">
      <formula>NOT(ISERROR(SEARCH("Low",AL38)))</formula>
    </cfRule>
    <cfRule type="containsText" dxfId="216" priority="156" stopIfTrue="1" operator="containsText" text="Negligible">
      <formula>NOT(ISERROR(SEARCH("Negligible",AL38)))</formula>
    </cfRule>
  </conditionalFormatting>
  <conditionalFormatting sqref="AH38">
    <cfRule type="expression" dxfId="215" priority="150">
      <formula>$AH38&gt;$N38</formula>
    </cfRule>
    <cfRule type="expression" dxfId="214" priority="151">
      <formula>$AH38=$N38</formula>
    </cfRule>
    <cfRule type="expression" dxfId="213" priority="152">
      <formula>$AH38&lt;$N38</formula>
    </cfRule>
  </conditionalFormatting>
  <conditionalFormatting sqref="AI38">
    <cfRule type="expression" dxfId="212" priority="147">
      <formula>$AI38&gt;$O38</formula>
    </cfRule>
    <cfRule type="expression" dxfId="211" priority="148">
      <formula>$AI38=$O38</formula>
    </cfRule>
    <cfRule type="expression" dxfId="210" priority="149">
      <formula>$AI38&lt;$O38</formula>
    </cfRule>
  </conditionalFormatting>
  <conditionalFormatting sqref="AJ38">
    <cfRule type="expression" dxfId="209" priority="144">
      <formula>$AJ38&gt;$P38</formula>
    </cfRule>
    <cfRule type="expression" dxfId="208" priority="145">
      <formula>$AJ38=$P38</formula>
    </cfRule>
    <cfRule type="expression" dxfId="207" priority="146">
      <formula>$AJ38&lt;$P38</formula>
    </cfRule>
  </conditionalFormatting>
  <conditionalFormatting sqref="AK38">
    <cfRule type="expression" dxfId="206" priority="141">
      <formula>$AK38&gt;$Q38</formula>
    </cfRule>
    <cfRule type="expression" dxfId="205" priority="142">
      <formula>$AK38=$Q38</formula>
    </cfRule>
    <cfRule type="expression" dxfId="204" priority="143">
      <formula>$AK38&lt;$Q38</formula>
    </cfRule>
  </conditionalFormatting>
  <conditionalFormatting sqref="Y24:Y26">
    <cfRule type="cellIs" dxfId="203" priority="137" stopIfTrue="1" operator="greaterThan">
      <formula>0.5</formula>
    </cfRule>
    <cfRule type="cellIs" dxfId="202" priority="138" stopIfTrue="1" operator="between">
      <formula>0.10001</formula>
      <formula>0.5</formula>
    </cfRule>
    <cfRule type="cellIs" dxfId="201" priority="139" stopIfTrue="1" operator="between">
      <formula>0.0100001</formula>
      <formula>0.1</formula>
    </cfRule>
    <cfRule type="cellIs" dxfId="200" priority="140" stopIfTrue="1" operator="between">
      <formula>0.000001</formula>
      <formula>0.01</formula>
    </cfRule>
  </conditionalFormatting>
  <conditionalFormatting sqref="AM23">
    <cfRule type="containsText" dxfId="191" priority="125" stopIfTrue="1" operator="containsText" text="High">
      <formula>NOT(ISERROR(SEARCH("High",AM23)))</formula>
    </cfRule>
    <cfRule type="containsText" dxfId="190" priority="126" stopIfTrue="1" operator="containsText" text="Moderate">
      <formula>NOT(ISERROR(SEARCH("Moderate",AM23)))</formula>
    </cfRule>
    <cfRule type="containsText" dxfId="189" priority="127" stopIfTrue="1" operator="containsText" text="Low">
      <formula>NOT(ISERROR(SEARCH("Low",AM23)))</formula>
    </cfRule>
    <cfRule type="containsText" dxfId="188" priority="128" stopIfTrue="1" operator="containsText" text="Negligible">
      <formula>NOT(ISERROR(SEARCH("Negligible",AM23)))</formula>
    </cfRule>
  </conditionalFormatting>
  <conditionalFormatting sqref="AL23">
    <cfRule type="containsText" dxfId="187" priority="121" stopIfTrue="1" operator="containsText" text="High">
      <formula>NOT(ISERROR(SEARCH("High",AL23)))</formula>
    </cfRule>
    <cfRule type="containsText" dxfId="186" priority="122" stopIfTrue="1" operator="containsText" text="Moderate">
      <formula>NOT(ISERROR(SEARCH("Moderate",AL23)))</formula>
    </cfRule>
    <cfRule type="containsText" dxfId="185" priority="123" stopIfTrue="1" operator="containsText" text="Low">
      <formula>NOT(ISERROR(SEARCH("Low",AL23)))</formula>
    </cfRule>
    <cfRule type="containsText" dxfId="184" priority="124" stopIfTrue="1" operator="containsText" text="Negligible">
      <formula>NOT(ISERROR(SEARCH("Negligible",AL23)))</formula>
    </cfRule>
  </conditionalFormatting>
  <conditionalFormatting sqref="AH23">
    <cfRule type="expression" dxfId="183" priority="118">
      <formula>$AH23&gt;$N23</formula>
    </cfRule>
    <cfRule type="expression" dxfId="182" priority="119">
      <formula>$AH23=$N23</formula>
    </cfRule>
    <cfRule type="expression" dxfId="181" priority="120">
      <formula>$AH23&lt;$N23</formula>
    </cfRule>
  </conditionalFormatting>
  <conditionalFormatting sqref="AI23">
    <cfRule type="expression" dxfId="180" priority="115">
      <formula>$AI23&gt;$O23</formula>
    </cfRule>
    <cfRule type="expression" dxfId="179" priority="116">
      <formula>$AI23=$O23</formula>
    </cfRule>
    <cfRule type="expression" dxfId="178" priority="117">
      <formula>$AI23&lt;$O23</formula>
    </cfRule>
  </conditionalFormatting>
  <conditionalFormatting sqref="AJ23">
    <cfRule type="expression" dxfId="177" priority="112">
      <formula>$AJ23&gt;$P23</formula>
    </cfRule>
    <cfRule type="expression" dxfId="176" priority="113">
      <formula>$AJ23=$P23</formula>
    </cfRule>
    <cfRule type="expression" dxfId="175" priority="114">
      <formula>$AJ23&lt;$P23</formula>
    </cfRule>
  </conditionalFormatting>
  <conditionalFormatting sqref="AK23">
    <cfRule type="expression" dxfId="174" priority="109">
      <formula>$AK23&gt;$Q23</formula>
    </cfRule>
    <cfRule type="expression" dxfId="173" priority="110">
      <formula>$AK23=$Q23</formula>
    </cfRule>
    <cfRule type="expression" dxfId="172" priority="111">
      <formula>$AK23&lt;$Q23</formula>
    </cfRule>
  </conditionalFormatting>
  <conditionalFormatting sqref="AN23">
    <cfRule type="containsText" dxfId="171" priority="105" stopIfTrue="1" operator="containsText" text="High">
      <formula>NOT(ISERROR(SEARCH("High",AN23)))</formula>
    </cfRule>
    <cfRule type="containsText" dxfId="170" priority="106" stopIfTrue="1" operator="containsText" text="Moderate">
      <formula>NOT(ISERROR(SEARCH("Moderate",AN23)))</formula>
    </cfRule>
    <cfRule type="containsText" dxfId="169" priority="107" stopIfTrue="1" operator="containsText" text="Low">
      <formula>NOT(ISERROR(SEARCH("Low",AN23)))</formula>
    </cfRule>
    <cfRule type="containsText" dxfId="168" priority="108" stopIfTrue="1" operator="containsText" text="Negligible">
      <formula>NOT(ISERROR(SEARCH("Negligible",AN23)))</formula>
    </cfRule>
  </conditionalFormatting>
  <conditionalFormatting sqref="AM24">
    <cfRule type="containsText" dxfId="167" priority="101" stopIfTrue="1" operator="containsText" text="High">
      <formula>NOT(ISERROR(SEARCH("High",AM24)))</formula>
    </cfRule>
    <cfRule type="containsText" dxfId="166" priority="102" stopIfTrue="1" operator="containsText" text="Moderate">
      <formula>NOT(ISERROR(SEARCH("Moderate",AM24)))</formula>
    </cfRule>
    <cfRule type="containsText" dxfId="165" priority="103" stopIfTrue="1" operator="containsText" text="Low">
      <formula>NOT(ISERROR(SEARCH("Low",AM24)))</formula>
    </cfRule>
    <cfRule type="containsText" dxfId="164" priority="104" stopIfTrue="1" operator="containsText" text="Negligible">
      <formula>NOT(ISERROR(SEARCH("Negligible",AM24)))</formula>
    </cfRule>
  </conditionalFormatting>
  <conditionalFormatting sqref="AL24">
    <cfRule type="containsText" dxfId="163" priority="97" stopIfTrue="1" operator="containsText" text="High">
      <formula>NOT(ISERROR(SEARCH("High",AL24)))</formula>
    </cfRule>
    <cfRule type="containsText" dxfId="162" priority="98" stopIfTrue="1" operator="containsText" text="Moderate">
      <formula>NOT(ISERROR(SEARCH("Moderate",AL24)))</formula>
    </cfRule>
    <cfRule type="containsText" dxfId="161" priority="99" stopIfTrue="1" operator="containsText" text="Low">
      <formula>NOT(ISERROR(SEARCH("Low",AL24)))</formula>
    </cfRule>
    <cfRule type="containsText" dxfId="160" priority="100" stopIfTrue="1" operator="containsText" text="Negligible">
      <formula>NOT(ISERROR(SEARCH("Negligible",AL24)))</formula>
    </cfRule>
  </conditionalFormatting>
  <conditionalFormatting sqref="AH24">
    <cfRule type="expression" dxfId="159" priority="94">
      <formula>$AH24&gt;$N24</formula>
    </cfRule>
    <cfRule type="expression" dxfId="158" priority="95">
      <formula>$AH24=$N24</formula>
    </cfRule>
    <cfRule type="expression" dxfId="157" priority="96">
      <formula>$AH24&lt;$N24</formula>
    </cfRule>
  </conditionalFormatting>
  <conditionalFormatting sqref="AI24">
    <cfRule type="expression" dxfId="156" priority="91">
      <formula>$AI24&gt;$O24</formula>
    </cfRule>
    <cfRule type="expression" dxfId="155" priority="92">
      <formula>$AI24=$O24</formula>
    </cfRule>
    <cfRule type="expression" dxfId="154" priority="93">
      <formula>$AI24&lt;$O24</formula>
    </cfRule>
  </conditionalFormatting>
  <conditionalFormatting sqref="AJ24">
    <cfRule type="expression" dxfId="153" priority="88">
      <formula>$AJ24&gt;$P24</formula>
    </cfRule>
    <cfRule type="expression" dxfId="152" priority="89">
      <formula>$AJ24=$P24</formula>
    </cfRule>
    <cfRule type="expression" dxfId="151" priority="90">
      <formula>$AJ24&lt;$P24</formula>
    </cfRule>
  </conditionalFormatting>
  <conditionalFormatting sqref="AK24">
    <cfRule type="expression" dxfId="150" priority="85">
      <formula>$AK24&gt;$Q24</formula>
    </cfRule>
    <cfRule type="expression" dxfId="149" priority="86">
      <formula>$AK24=$Q24</formula>
    </cfRule>
    <cfRule type="expression" dxfId="148" priority="87">
      <formula>$AK24&lt;$Q24</formula>
    </cfRule>
  </conditionalFormatting>
  <conditionalFormatting sqref="AN24:AN26">
    <cfRule type="containsText" dxfId="147" priority="81" stopIfTrue="1" operator="containsText" text="High">
      <formula>NOT(ISERROR(SEARCH("High",AN24)))</formula>
    </cfRule>
    <cfRule type="containsText" dxfId="146" priority="82" stopIfTrue="1" operator="containsText" text="Moderate">
      <formula>NOT(ISERROR(SEARCH("Moderate",AN24)))</formula>
    </cfRule>
    <cfRule type="containsText" dxfId="145" priority="83" stopIfTrue="1" operator="containsText" text="Low">
      <formula>NOT(ISERROR(SEARCH("Low",AN24)))</formula>
    </cfRule>
    <cfRule type="containsText" dxfId="144" priority="84" stopIfTrue="1" operator="containsText" text="Negligible">
      <formula>NOT(ISERROR(SEARCH("Negligible",AN24)))</formula>
    </cfRule>
  </conditionalFormatting>
  <conditionalFormatting sqref="AL68:AM68">
    <cfRule type="containsText" dxfId="143" priority="61" stopIfTrue="1" operator="containsText" text="High">
      <formula>NOT(ISERROR(SEARCH("High",AL68)))</formula>
    </cfRule>
    <cfRule type="containsText" dxfId="142" priority="62" stopIfTrue="1" operator="containsText" text="Moderate">
      <formula>NOT(ISERROR(SEARCH("Moderate",AL68)))</formula>
    </cfRule>
    <cfRule type="containsText" dxfId="141" priority="63" stopIfTrue="1" operator="containsText" text="Low">
      <formula>NOT(ISERROR(SEARCH("Low",AL68)))</formula>
    </cfRule>
    <cfRule type="containsText" dxfId="140" priority="64" stopIfTrue="1" operator="containsText" text="Negligible">
      <formula>NOT(ISERROR(SEARCH("Negligible",AL68)))</formula>
    </cfRule>
  </conditionalFormatting>
  <conditionalFormatting sqref="AH68">
    <cfRule type="expression" dxfId="139" priority="58">
      <formula>$AH68&gt;$N68</formula>
    </cfRule>
    <cfRule type="expression" dxfId="138" priority="59">
      <formula>$AH68=$N68</formula>
    </cfRule>
    <cfRule type="expression" dxfId="137" priority="60">
      <formula>$AH68&lt;$N68</formula>
    </cfRule>
  </conditionalFormatting>
  <conditionalFormatting sqref="AI68">
    <cfRule type="expression" dxfId="136" priority="55">
      <formula>$AI68&gt;$O68</formula>
    </cfRule>
    <cfRule type="expression" dxfId="135" priority="56">
      <formula>$AI68=$O68</formula>
    </cfRule>
    <cfRule type="expression" dxfId="134" priority="57">
      <formula>$AI68&lt;$O68</formula>
    </cfRule>
  </conditionalFormatting>
  <conditionalFormatting sqref="AJ68">
    <cfRule type="expression" dxfId="133" priority="52">
      <formula>$AJ68&gt;$P68</formula>
    </cfRule>
    <cfRule type="expression" dxfId="132" priority="53">
      <formula>$AJ68=$P68</formula>
    </cfRule>
    <cfRule type="expression" dxfId="131" priority="54">
      <formula>$AJ68&lt;$P68</formula>
    </cfRule>
  </conditionalFormatting>
  <conditionalFormatting sqref="AK68">
    <cfRule type="expression" dxfId="130" priority="49">
      <formula>$AK68&gt;$Q68</formula>
    </cfRule>
    <cfRule type="expression" dxfId="129" priority="50">
      <formula>$AK68=$Q68</formula>
    </cfRule>
    <cfRule type="expression" dxfId="128" priority="51">
      <formula>$AK68&lt;$Q68</formula>
    </cfRule>
  </conditionalFormatting>
  <conditionalFormatting sqref="AL25:AM25">
    <cfRule type="containsText" dxfId="47" priority="45" stopIfTrue="1" operator="containsText" text="High">
      <formula>NOT(ISERROR(SEARCH("High",AL25)))</formula>
    </cfRule>
    <cfRule type="containsText" dxfId="46" priority="46" stopIfTrue="1" operator="containsText" text="Moderate">
      <formula>NOT(ISERROR(SEARCH("Moderate",AL25)))</formula>
    </cfRule>
    <cfRule type="containsText" dxfId="45" priority="47" stopIfTrue="1" operator="containsText" text="Low">
      <formula>NOT(ISERROR(SEARCH("Low",AL25)))</formula>
    </cfRule>
    <cfRule type="containsText" dxfId="44" priority="48" stopIfTrue="1" operator="containsText" text="Negligible">
      <formula>NOT(ISERROR(SEARCH("Negligible",AL25)))</formula>
    </cfRule>
  </conditionalFormatting>
  <conditionalFormatting sqref="AH25">
    <cfRule type="expression" dxfId="43" priority="42">
      <formula>$AH25&gt;$N25</formula>
    </cfRule>
    <cfRule type="expression" dxfId="42" priority="43">
      <formula>$AH25=$N25</formula>
    </cfRule>
    <cfRule type="expression" dxfId="41" priority="44">
      <formula>$AH25&lt;$N25</formula>
    </cfRule>
  </conditionalFormatting>
  <conditionalFormatting sqref="AI25">
    <cfRule type="expression" dxfId="40" priority="39">
      <formula>$AI25&gt;$O25</formula>
    </cfRule>
    <cfRule type="expression" dxfId="39" priority="40">
      <formula>$AI25=$O25</formula>
    </cfRule>
    <cfRule type="expression" dxfId="38" priority="41">
      <formula>$AI25&lt;$O25</formula>
    </cfRule>
  </conditionalFormatting>
  <conditionalFormatting sqref="AJ25">
    <cfRule type="expression" dxfId="37" priority="36">
      <formula>$AJ25&gt;$P25</formula>
    </cfRule>
    <cfRule type="expression" dxfId="36" priority="37">
      <formula>$AJ25=$P25</formula>
    </cfRule>
    <cfRule type="expression" dxfId="35" priority="38">
      <formula>$AJ25&lt;$P25</formula>
    </cfRule>
  </conditionalFormatting>
  <conditionalFormatting sqref="AK25">
    <cfRule type="expression" dxfId="34" priority="33">
      <formula>$AK25&gt;$Q25</formula>
    </cfRule>
    <cfRule type="expression" dxfId="33" priority="34">
      <formula>$AK25=$Q25</formula>
    </cfRule>
    <cfRule type="expression" dxfId="32" priority="35">
      <formula>$AK25&lt;$Q25</formula>
    </cfRule>
  </conditionalFormatting>
  <conditionalFormatting sqref="AL26:AM26">
    <cfRule type="containsText" dxfId="31" priority="29" stopIfTrue="1" operator="containsText" text="High">
      <formula>NOT(ISERROR(SEARCH("High",AL26)))</formula>
    </cfRule>
    <cfRule type="containsText" dxfId="30" priority="30" stopIfTrue="1" operator="containsText" text="Moderate">
      <formula>NOT(ISERROR(SEARCH("Moderate",AL26)))</formula>
    </cfRule>
    <cfRule type="containsText" dxfId="29" priority="31" stopIfTrue="1" operator="containsText" text="Low">
      <formula>NOT(ISERROR(SEARCH("Low",AL26)))</formula>
    </cfRule>
    <cfRule type="containsText" dxfId="28" priority="32" stopIfTrue="1" operator="containsText" text="Negligible">
      <formula>NOT(ISERROR(SEARCH("Negligible",AL26)))</formula>
    </cfRule>
  </conditionalFormatting>
  <conditionalFormatting sqref="AH26">
    <cfRule type="expression" dxfId="27" priority="26">
      <formula>$AH26&gt;$N26</formula>
    </cfRule>
    <cfRule type="expression" dxfId="26" priority="27">
      <formula>$AH26=$N26</formula>
    </cfRule>
    <cfRule type="expression" dxfId="25" priority="28">
      <formula>$AH26&lt;$N26</formula>
    </cfRule>
  </conditionalFormatting>
  <conditionalFormatting sqref="AI26">
    <cfRule type="expression" dxfId="24" priority="23">
      <formula>$AI26&gt;$O26</formula>
    </cfRule>
    <cfRule type="expression" dxfId="23" priority="24">
      <formula>$AI26=$O26</formula>
    </cfRule>
    <cfRule type="expression" dxfId="22" priority="25">
      <formula>$AI26&lt;$O26</formula>
    </cfRule>
  </conditionalFormatting>
  <conditionalFormatting sqref="AJ26">
    <cfRule type="expression" dxfId="21" priority="20">
      <formula>$AJ26&gt;$P26</formula>
    </cfRule>
    <cfRule type="expression" dxfId="20" priority="21">
      <formula>$AJ26=$P26</formula>
    </cfRule>
    <cfRule type="expression" dxfId="19" priority="22">
      <formula>$AJ26&lt;$P26</formula>
    </cfRule>
  </conditionalFormatting>
  <conditionalFormatting sqref="AK26">
    <cfRule type="expression" dxfId="18" priority="17">
      <formula>$AK26&gt;$Q26</formula>
    </cfRule>
    <cfRule type="expression" dxfId="17" priority="18">
      <formula>$AK26=$Q26</formula>
    </cfRule>
    <cfRule type="expression" dxfId="16" priority="19">
      <formula>$AK26&lt;$Q26</formula>
    </cfRule>
  </conditionalFormatting>
  <conditionalFormatting sqref="AL40:AM40">
    <cfRule type="containsText" dxfId="15" priority="13" stopIfTrue="1" operator="containsText" text="High">
      <formula>NOT(ISERROR(SEARCH("High",AL40)))</formula>
    </cfRule>
    <cfRule type="containsText" dxfId="14" priority="14" stopIfTrue="1" operator="containsText" text="Moderate">
      <formula>NOT(ISERROR(SEARCH("Moderate",AL40)))</formula>
    </cfRule>
    <cfRule type="containsText" dxfId="13" priority="15" stopIfTrue="1" operator="containsText" text="Low">
      <formula>NOT(ISERROR(SEARCH("Low",AL40)))</formula>
    </cfRule>
    <cfRule type="containsText" dxfId="12" priority="16" stopIfTrue="1" operator="containsText" text="Negligible">
      <formula>NOT(ISERROR(SEARCH("Negligible",AL40)))</formula>
    </cfRule>
  </conditionalFormatting>
  <conditionalFormatting sqref="AH40">
    <cfRule type="expression" dxfId="11" priority="10">
      <formula>$AH40&gt;$N40</formula>
    </cfRule>
    <cfRule type="expression" dxfId="10" priority="11">
      <formula>$AH40=$N40</formula>
    </cfRule>
    <cfRule type="expression" dxfId="9" priority="12">
      <formula>$AH40&lt;$N40</formula>
    </cfRule>
  </conditionalFormatting>
  <conditionalFormatting sqref="AI40">
    <cfRule type="expression" dxfId="8" priority="7">
      <formula>$AI40&gt;$O40</formula>
    </cfRule>
    <cfRule type="expression" dxfId="7" priority="8">
      <formula>$AI40=$O40</formula>
    </cfRule>
    <cfRule type="expression" dxfId="6" priority="9">
      <formula>$AI40&lt;$O40</formula>
    </cfRule>
  </conditionalFormatting>
  <conditionalFormatting sqref="AJ40">
    <cfRule type="expression" dxfId="5" priority="4">
      <formula>$AJ40&gt;$P40</formula>
    </cfRule>
    <cfRule type="expression" dxfId="4" priority="5">
      <formula>$AJ40=$P40</formula>
    </cfRule>
    <cfRule type="expression" dxfId="3" priority="6">
      <formula>$AJ40&lt;$P40</formula>
    </cfRule>
  </conditionalFormatting>
  <conditionalFormatting sqref="AK40">
    <cfRule type="expression" dxfId="2" priority="1">
      <formula>$AK40&gt;$Q40</formula>
    </cfRule>
    <cfRule type="expression" dxfId="1" priority="2">
      <formula>$AK40=$Q40</formula>
    </cfRule>
    <cfRule type="expression" dxfId="0" priority="3">
      <formula>$AK40&lt;$Q40</formula>
    </cfRule>
  </conditionalFormatting>
  <pageMargins left="0.25" right="0.25" top="0.75" bottom="0.75" header="0.3" footer="0.3"/>
  <pageSetup paperSize="17" fitToHeight="8" orientation="landscape" r:id="rId1"/>
  <headerFooter>
    <oddHeader xml:space="preserve">&amp;C&amp;"-,Bold"&amp;14Project 
Risk Registry </oddHeader>
    <oddFooter>&amp;L&amp;D&amp;RPage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2538" id="{802D2E42-840D-43A1-8E52-BA60618FF681}">
            <xm:f>$M3&lt;=SelectionCriteria!$G$5</xm:f>
            <x14:dxf>
              <fill>
                <patternFill>
                  <bgColor rgb="FF00B050"/>
                </patternFill>
              </fill>
            </x14:dxf>
          </x14:cfRule>
          <x14:cfRule type="expression" priority="2539" id="{BEC162EF-040E-41B1-8507-9B984ED55CF3}">
            <xm:f>$M3&lt;=SelectionCriteria!$G$4</xm:f>
            <x14:dxf>
              <fill>
                <patternFill>
                  <bgColor rgb="FFFFFF00"/>
                </patternFill>
              </fill>
            </x14:dxf>
          </x14:cfRule>
          <x14:cfRule type="expression" priority="2540" id="{64DE0088-5B2B-4F8C-B97F-6415C267020A}">
            <xm:f>$M3&lt;=SelectionCriteria!$G$3</xm:f>
            <x14:dxf>
              <fill>
                <patternFill>
                  <bgColor rgb="FFFFC000"/>
                </patternFill>
              </fill>
            </x14:dxf>
          </x14:cfRule>
          <x14:cfRule type="expression" priority="2541" id="{82105369-4AA1-4796-A534-A3E64C51A1B7}">
            <xm:f>$M3&gt;SelectionCriteria!$G$3</xm:f>
            <x14:dxf>
              <font>
                <color theme="0"/>
              </font>
              <fill>
                <patternFill>
                  <bgColor rgb="FFFF0000"/>
                </patternFill>
              </fill>
            </x14:dxf>
          </x14:cfRule>
          <xm:sqref>M44 M37:M38 M47:M53 M3:M8 M85:M92 M62:M68 M94:M95 M27:M33 M11:M20 M41:M42</xm:sqref>
        </x14:conditionalFormatting>
        <x14:conditionalFormatting xmlns:xm="http://schemas.microsoft.com/office/excel/2006/main">
          <x14:cfRule type="cellIs" priority="2658" operator="equal" id="{9051AE4A-5B81-4756-A179-C6A6D4049953}">
            <xm:f>SelectionCriteria!$A$5</xm:f>
            <x14:dxf>
              <fill>
                <patternFill>
                  <bgColor rgb="FF00B050"/>
                </patternFill>
              </fill>
            </x14:dxf>
          </x14:cfRule>
          <x14:cfRule type="cellIs" priority="2659" operator="equal" id="{D022F316-37DD-472C-949F-857966D63FA9}">
            <xm:f>SelectionCriteria!$A$4</xm:f>
            <x14:dxf>
              <fill>
                <patternFill>
                  <bgColor rgb="FFFFFF00"/>
                </patternFill>
              </fill>
            </x14:dxf>
          </x14:cfRule>
          <x14:cfRule type="cellIs" priority="2660" operator="equal" id="{530A763D-323E-46CF-AB0B-0187720C0C1E}">
            <xm:f>SelectionCriteria!$A$3</xm:f>
            <x14:dxf>
              <fill>
                <patternFill>
                  <bgColor rgb="FFFFC000"/>
                </patternFill>
              </fill>
            </x14:dxf>
          </x14:cfRule>
          <x14:cfRule type="cellIs" priority="2661" operator="equal" id="{14064C83-414C-4843-A611-3B5FF995070B}">
            <xm:f>SelectionCriteria!$A$2</xm:f>
            <x14:dxf>
              <font>
                <color theme="0"/>
              </font>
              <fill>
                <patternFill>
                  <bgColor rgb="FFFF0000"/>
                </patternFill>
              </fill>
            </x14:dxf>
          </x14:cfRule>
          <xm:sqref>K44:L44 K37:L38 Z37:AA38 K27:L33 K47:L53 Z51:AA53 Z3:AA8 Z88:AA92 K85:L92 K3:L8 Z62:AA65 K62:L68 AA66:AA68 AA85:AA87 K11:L13 Z11:AA13 Z27:AA29 K96:K113 Z82:Z83 K94:L95 Z94:AA95 Z41:AA42 K41:L42</xm:sqref>
        </x14:conditionalFormatting>
        <x14:conditionalFormatting xmlns:xm="http://schemas.microsoft.com/office/excel/2006/main">
          <x14:cfRule type="cellIs" priority="2654" operator="equal" id="{95555795-A3AA-41A7-8A49-47B5A5B8E51C}">
            <xm:f>SelectionCriteria!$A$5</xm:f>
            <x14:dxf>
              <fill>
                <patternFill>
                  <bgColor rgb="FF00B050"/>
                </patternFill>
              </fill>
            </x14:dxf>
          </x14:cfRule>
          <x14:cfRule type="cellIs" priority="2655" operator="equal" id="{A062A868-5FEC-44A8-83EB-A969A5C760DD}">
            <xm:f>SelectionCriteria!$A$4</xm:f>
            <x14:dxf>
              <fill>
                <patternFill>
                  <bgColor rgb="FFFFFF00"/>
                </patternFill>
              </fill>
            </x14:dxf>
          </x14:cfRule>
          <x14:cfRule type="cellIs" priority="2656" operator="equal" id="{37AC6265-B1F9-46A8-BDB5-59EB53B47864}">
            <xm:f>SelectionCriteria!$A$3</xm:f>
            <x14:dxf>
              <fill>
                <patternFill>
                  <bgColor rgb="FFFFC000"/>
                </patternFill>
              </fill>
            </x14:dxf>
          </x14:cfRule>
          <x14:cfRule type="cellIs" priority="2657" operator="equal" id="{F4E915D4-BB0F-40F1-AA28-9000BE81495C}">
            <xm:f>SelectionCriteria!$A$2</xm:f>
            <x14:dxf>
              <font>
                <color theme="0"/>
              </font>
              <fill>
                <patternFill>
                  <bgColor rgb="FFFF0000"/>
                </patternFill>
              </fill>
            </x14:dxf>
          </x14:cfRule>
          <xm:sqref>Z47:AA48 Z31:AA31 AA32:AA33</xm:sqref>
        </x14:conditionalFormatting>
        <x14:conditionalFormatting xmlns:xm="http://schemas.microsoft.com/office/excel/2006/main">
          <x14:cfRule type="cellIs" priority="2464" operator="equal" id="{7ABA5D05-18F8-4F72-ACD2-173913B6B391}">
            <xm:f>SelectionCriteria!$A$5</xm:f>
            <x14:dxf>
              <fill>
                <patternFill>
                  <bgColor rgb="FF00B050"/>
                </patternFill>
              </fill>
            </x14:dxf>
          </x14:cfRule>
          <x14:cfRule type="cellIs" priority="2465" operator="equal" id="{0FB06346-AD34-4A4A-9770-68D1BE5E4404}">
            <xm:f>SelectionCriteria!$A$4</xm:f>
            <x14:dxf>
              <fill>
                <patternFill>
                  <bgColor rgb="FFFFFF00"/>
                </patternFill>
              </fill>
            </x14:dxf>
          </x14:cfRule>
          <x14:cfRule type="cellIs" priority="2466" operator="equal" id="{1CAD159F-3662-481D-B35C-14D728D8C0EB}">
            <xm:f>SelectionCriteria!$A$3</xm:f>
            <x14:dxf>
              <fill>
                <patternFill>
                  <bgColor rgb="FFFFC000"/>
                </patternFill>
              </fill>
            </x14:dxf>
          </x14:cfRule>
          <x14:cfRule type="cellIs" priority="2467" operator="equal" id="{D21C8B9F-601B-48A7-8E4F-44D5E1281D9C}">
            <xm:f>SelectionCriteria!$A$2</xm:f>
            <x14:dxf>
              <font>
                <color theme="0"/>
              </font>
              <fill>
                <patternFill>
                  <bgColor rgb="FFFF0000"/>
                </patternFill>
              </fill>
            </x14:dxf>
          </x14:cfRule>
          <xm:sqref>K14:L15 L16:L17</xm:sqref>
        </x14:conditionalFormatting>
        <x14:conditionalFormatting xmlns:xm="http://schemas.microsoft.com/office/excel/2006/main">
          <x14:cfRule type="cellIs" priority="2460" operator="equal" id="{DB677748-4F38-4DE6-AA8F-05E448F5B1AF}">
            <xm:f>SelectionCriteria!$A$5</xm:f>
            <x14:dxf>
              <fill>
                <patternFill>
                  <bgColor rgb="FF00B050"/>
                </patternFill>
              </fill>
            </x14:dxf>
          </x14:cfRule>
          <x14:cfRule type="cellIs" priority="2461" operator="equal" id="{CF07B704-BBEB-41D7-B4F1-ADDC6BB5BB0B}">
            <xm:f>SelectionCriteria!$A$4</xm:f>
            <x14:dxf>
              <fill>
                <patternFill>
                  <bgColor rgb="FFFFFF00"/>
                </patternFill>
              </fill>
            </x14:dxf>
          </x14:cfRule>
          <x14:cfRule type="cellIs" priority="2462" operator="equal" id="{37902E96-3925-4307-AECF-E41F66ACC499}">
            <xm:f>SelectionCriteria!$A$3</xm:f>
            <x14:dxf>
              <fill>
                <patternFill>
                  <bgColor rgb="FFFFC000"/>
                </patternFill>
              </fill>
            </x14:dxf>
          </x14:cfRule>
          <x14:cfRule type="cellIs" priority="2463" operator="equal" id="{DF365CE5-6CA1-4312-B3B1-C1BA8E59A739}">
            <xm:f>SelectionCriteria!$A$2</xm:f>
            <x14:dxf>
              <font>
                <color theme="0"/>
              </font>
              <fill>
                <patternFill>
                  <bgColor rgb="FFFF0000"/>
                </patternFill>
              </fill>
            </x14:dxf>
          </x14:cfRule>
          <xm:sqref>Z14:AA15 AA16</xm:sqref>
        </x14:conditionalFormatting>
        <x14:conditionalFormatting xmlns:xm="http://schemas.microsoft.com/office/excel/2006/main">
          <x14:cfRule type="expression" priority="2444" id="{12219203-E7FD-47C4-8EB3-4F65237CAD17}">
            <xm:f>$M14&lt;=SelectionCriteria!$G$5</xm:f>
            <x14:dxf>
              <fill>
                <patternFill>
                  <bgColor rgb="FF00B050"/>
                </patternFill>
              </fill>
            </x14:dxf>
          </x14:cfRule>
          <x14:cfRule type="expression" priority="2445" id="{C839DE4B-5F69-4DB6-A7EF-B143309616FB}">
            <xm:f>$M14&lt;=SelectionCriteria!$G$4</xm:f>
            <x14:dxf>
              <fill>
                <patternFill>
                  <bgColor rgb="FFFFFF00"/>
                </patternFill>
              </fill>
            </x14:dxf>
          </x14:cfRule>
          <x14:cfRule type="expression" priority="2446" id="{83D153B2-3FEC-44C5-8AC0-81F2BE5E86AE}">
            <xm:f>$M14&lt;=SelectionCriteria!$G$3</xm:f>
            <x14:dxf>
              <fill>
                <patternFill>
                  <bgColor rgb="FFFFC000"/>
                </patternFill>
              </fill>
            </x14:dxf>
          </x14:cfRule>
          <x14:cfRule type="expression" priority="2447" id="{14486D56-AD7D-40B1-8E1B-13E42C2FD85A}">
            <xm:f>$M14&gt;SelectionCriteria!$G$3</xm:f>
            <x14:dxf>
              <font>
                <color theme="0"/>
              </font>
              <fill>
                <patternFill>
                  <bgColor rgb="FFFF0000"/>
                </patternFill>
              </fill>
            </x14:dxf>
          </x14:cfRule>
          <xm:sqref>M14:M17</xm:sqref>
        </x14:conditionalFormatting>
        <x14:conditionalFormatting xmlns:xm="http://schemas.microsoft.com/office/excel/2006/main">
          <x14:cfRule type="cellIs" priority="2416" operator="equal" id="{118BD1D6-F71A-4748-B628-7D86FC508257}">
            <xm:f>SelectionCriteria!$A$5</xm:f>
            <x14:dxf>
              <fill>
                <patternFill>
                  <bgColor rgb="FF00B050"/>
                </patternFill>
              </fill>
            </x14:dxf>
          </x14:cfRule>
          <x14:cfRule type="cellIs" priority="2417" operator="equal" id="{11AB0287-2E63-4932-A582-3F479900CECC}">
            <xm:f>SelectionCriteria!$A$4</xm:f>
            <x14:dxf>
              <fill>
                <patternFill>
                  <bgColor rgb="FFFFFF00"/>
                </patternFill>
              </fill>
            </x14:dxf>
          </x14:cfRule>
          <x14:cfRule type="cellIs" priority="2418" operator="equal" id="{869C7F26-AC9F-4184-8518-0B785F12156F}">
            <xm:f>SelectionCriteria!$A$3</xm:f>
            <x14:dxf>
              <fill>
                <patternFill>
                  <bgColor rgb="FFFFC000"/>
                </patternFill>
              </fill>
            </x14:dxf>
          </x14:cfRule>
          <x14:cfRule type="cellIs" priority="2419" operator="equal" id="{77FA57F9-9988-493B-A717-53D36B85ED4F}">
            <xm:f>SelectionCriteria!$A$2</xm:f>
            <x14:dxf>
              <font>
                <color theme="0"/>
              </font>
              <fill>
                <patternFill>
                  <bgColor rgb="FFFF0000"/>
                </patternFill>
              </fill>
            </x14:dxf>
          </x14:cfRule>
          <xm:sqref>L18:L20</xm:sqref>
        </x14:conditionalFormatting>
        <x14:conditionalFormatting xmlns:xm="http://schemas.microsoft.com/office/excel/2006/main">
          <x14:cfRule type="expression" priority="2248" id="{99E33114-F858-419F-B72F-C3CF215DC2F7}">
            <xm:f>$M46&lt;=SelectionCriteria!$G$5</xm:f>
            <x14:dxf>
              <fill>
                <patternFill>
                  <bgColor rgb="FF00B050"/>
                </patternFill>
              </fill>
            </x14:dxf>
          </x14:cfRule>
          <x14:cfRule type="expression" priority="2249" id="{B748A53D-FB4D-41CB-9072-EDBDE14EBCFF}">
            <xm:f>$M46&lt;=SelectionCriteria!$G$4</xm:f>
            <x14:dxf>
              <fill>
                <patternFill>
                  <bgColor rgb="FFFFFF00"/>
                </patternFill>
              </fill>
            </x14:dxf>
          </x14:cfRule>
          <x14:cfRule type="expression" priority="2250" id="{1466FD03-B6A2-413A-83B8-68E7CCA9D613}">
            <xm:f>$M46&lt;=SelectionCriteria!$G$3</xm:f>
            <x14:dxf>
              <fill>
                <patternFill>
                  <bgColor rgb="FFFFC000"/>
                </patternFill>
              </fill>
            </x14:dxf>
          </x14:cfRule>
          <x14:cfRule type="expression" priority="2251" id="{50515A22-78DB-4C19-955E-A0D33527C9AD}">
            <xm:f>$M46&gt;SelectionCriteria!$G$3</xm:f>
            <x14:dxf>
              <font>
                <color theme="0"/>
              </font>
              <fill>
                <patternFill>
                  <bgColor rgb="FFFF0000"/>
                </patternFill>
              </fill>
            </x14:dxf>
          </x14:cfRule>
          <xm:sqref>M46</xm:sqref>
        </x14:conditionalFormatting>
        <x14:conditionalFormatting xmlns:xm="http://schemas.microsoft.com/office/excel/2006/main">
          <x14:cfRule type="cellIs" priority="2268" operator="equal" id="{01815D22-BFE0-4DC2-95A6-D4CCF1D5824A}">
            <xm:f>SelectionCriteria!$A$5</xm:f>
            <x14:dxf>
              <fill>
                <patternFill>
                  <bgColor rgb="FF00B050"/>
                </patternFill>
              </fill>
            </x14:dxf>
          </x14:cfRule>
          <x14:cfRule type="cellIs" priority="2269" operator="equal" id="{82C5EFD4-270F-4164-BB3B-D72F4E8470B8}">
            <xm:f>SelectionCriteria!$A$4</xm:f>
            <x14:dxf>
              <fill>
                <patternFill>
                  <bgColor rgb="FFFFFF00"/>
                </patternFill>
              </fill>
            </x14:dxf>
          </x14:cfRule>
          <x14:cfRule type="cellIs" priority="2270" operator="equal" id="{B861CEB2-4713-45CA-846E-246A8EC18642}">
            <xm:f>SelectionCriteria!$A$3</xm:f>
            <x14:dxf>
              <fill>
                <patternFill>
                  <bgColor rgb="FFFFC000"/>
                </patternFill>
              </fill>
            </x14:dxf>
          </x14:cfRule>
          <x14:cfRule type="cellIs" priority="2271" operator="equal" id="{44354428-56CE-4ACE-AD70-BE5194B6EC0D}">
            <xm:f>SelectionCriteria!$A$2</xm:f>
            <x14:dxf>
              <font>
                <color theme="0"/>
              </font>
              <fill>
                <patternFill>
                  <bgColor rgb="FFFF0000"/>
                </patternFill>
              </fill>
            </x14:dxf>
          </x14:cfRule>
          <xm:sqref>K46:L46</xm:sqref>
        </x14:conditionalFormatting>
        <x14:conditionalFormatting xmlns:xm="http://schemas.microsoft.com/office/excel/2006/main">
          <x14:cfRule type="cellIs" priority="2264" operator="equal" id="{B9BA4268-3F10-4134-81F5-016055E75E81}">
            <xm:f>SelectionCriteria!$A$5</xm:f>
            <x14:dxf>
              <fill>
                <patternFill>
                  <bgColor rgb="FF00B050"/>
                </patternFill>
              </fill>
            </x14:dxf>
          </x14:cfRule>
          <x14:cfRule type="cellIs" priority="2265" operator="equal" id="{5A2F40C3-0A01-4F9E-8B70-45E5D88685B1}">
            <xm:f>SelectionCriteria!$A$4</xm:f>
            <x14:dxf>
              <fill>
                <patternFill>
                  <bgColor rgb="FFFFFF00"/>
                </patternFill>
              </fill>
            </x14:dxf>
          </x14:cfRule>
          <x14:cfRule type="cellIs" priority="2266" operator="equal" id="{F8C174F1-1996-4231-8AD4-D47719C1880B}">
            <xm:f>SelectionCriteria!$A$3</xm:f>
            <x14:dxf>
              <fill>
                <patternFill>
                  <bgColor rgb="FFFFC000"/>
                </patternFill>
              </fill>
            </x14:dxf>
          </x14:cfRule>
          <x14:cfRule type="cellIs" priority="2267" operator="equal" id="{F9A4DC36-B089-4381-8DF8-6AE045D43228}">
            <xm:f>SelectionCriteria!$A$2</xm:f>
            <x14:dxf>
              <font>
                <color theme="0"/>
              </font>
              <fill>
                <patternFill>
                  <bgColor rgb="FFFF0000"/>
                </patternFill>
              </fill>
            </x14:dxf>
          </x14:cfRule>
          <xm:sqref>Z46:AA46</xm:sqref>
        </x14:conditionalFormatting>
        <x14:conditionalFormatting xmlns:xm="http://schemas.microsoft.com/office/excel/2006/main">
          <x14:cfRule type="expression" priority="2194" id="{8453EA30-ACFA-4C79-ADA2-1537E65AF513}">
            <xm:f>$M43&lt;=SelectionCriteria!$G$5</xm:f>
            <x14:dxf>
              <fill>
                <patternFill>
                  <bgColor rgb="FF00B050"/>
                </patternFill>
              </fill>
            </x14:dxf>
          </x14:cfRule>
          <x14:cfRule type="expression" priority="2195" id="{81A258F6-F572-4C28-9603-5335B6572B80}">
            <xm:f>$M43&lt;=SelectionCriteria!$G$4</xm:f>
            <x14:dxf>
              <fill>
                <patternFill>
                  <bgColor rgb="FFFFFF00"/>
                </patternFill>
              </fill>
            </x14:dxf>
          </x14:cfRule>
          <x14:cfRule type="expression" priority="2196" id="{939D9E0E-8342-4D67-B78B-2D0318E83AA9}">
            <xm:f>$M43&lt;=SelectionCriteria!$G$3</xm:f>
            <x14:dxf>
              <fill>
                <patternFill>
                  <bgColor rgb="FFFFC000"/>
                </patternFill>
              </fill>
            </x14:dxf>
          </x14:cfRule>
          <x14:cfRule type="expression" priority="2197" id="{2890D8D1-E9AF-4E45-AB89-C525DB7CA43E}">
            <xm:f>$M43&gt;SelectionCriteria!$G$3</xm:f>
            <x14:dxf>
              <font>
                <color theme="0"/>
              </font>
              <fill>
                <patternFill>
                  <bgColor rgb="FFFF0000"/>
                </patternFill>
              </fill>
            </x14:dxf>
          </x14:cfRule>
          <xm:sqref>M43</xm:sqref>
        </x14:conditionalFormatting>
        <x14:conditionalFormatting xmlns:xm="http://schemas.microsoft.com/office/excel/2006/main">
          <x14:cfRule type="cellIs" priority="2214" operator="equal" id="{6D27AE9F-D877-4047-9C08-3BD5A0669E2B}">
            <xm:f>SelectionCriteria!$A$5</xm:f>
            <x14:dxf>
              <fill>
                <patternFill>
                  <bgColor rgb="FF00B050"/>
                </patternFill>
              </fill>
            </x14:dxf>
          </x14:cfRule>
          <x14:cfRule type="cellIs" priority="2215" operator="equal" id="{8993F8EB-70EC-41F0-8765-C9D5EC32B0A0}">
            <xm:f>SelectionCriteria!$A$4</xm:f>
            <x14:dxf>
              <fill>
                <patternFill>
                  <bgColor rgb="FFFFFF00"/>
                </patternFill>
              </fill>
            </x14:dxf>
          </x14:cfRule>
          <x14:cfRule type="cellIs" priority="2216" operator="equal" id="{00C99C9F-375B-4CA2-BBBC-10708A2F9EF3}">
            <xm:f>SelectionCriteria!$A$3</xm:f>
            <x14:dxf>
              <fill>
                <patternFill>
                  <bgColor rgb="FFFFC000"/>
                </patternFill>
              </fill>
            </x14:dxf>
          </x14:cfRule>
          <x14:cfRule type="cellIs" priority="2217" operator="equal" id="{F91B3530-0B24-4435-9F49-C15AB84F9E78}">
            <xm:f>SelectionCriteria!$A$2</xm:f>
            <x14:dxf>
              <font>
                <color theme="0"/>
              </font>
              <fill>
                <patternFill>
                  <bgColor rgb="FFFF0000"/>
                </patternFill>
              </fill>
            </x14:dxf>
          </x14:cfRule>
          <xm:sqref>K43:L43</xm:sqref>
        </x14:conditionalFormatting>
        <x14:conditionalFormatting xmlns:xm="http://schemas.microsoft.com/office/excel/2006/main">
          <x14:cfRule type="cellIs" priority="2210" operator="equal" id="{C8FE6BCD-F6E0-4FFD-A84F-ED68D43E3567}">
            <xm:f>SelectionCriteria!$A$5</xm:f>
            <x14:dxf>
              <fill>
                <patternFill>
                  <bgColor rgb="FF00B050"/>
                </patternFill>
              </fill>
            </x14:dxf>
          </x14:cfRule>
          <x14:cfRule type="cellIs" priority="2211" operator="equal" id="{B1B295A1-90B3-4F00-B8FA-2B281DA30A66}">
            <xm:f>SelectionCriteria!$A$4</xm:f>
            <x14:dxf>
              <fill>
                <patternFill>
                  <bgColor rgb="FFFFFF00"/>
                </patternFill>
              </fill>
            </x14:dxf>
          </x14:cfRule>
          <x14:cfRule type="cellIs" priority="2212" operator="equal" id="{4AAACB68-AE23-4144-82E2-97BFB26DE47F}">
            <xm:f>SelectionCriteria!$A$3</xm:f>
            <x14:dxf>
              <fill>
                <patternFill>
                  <bgColor rgb="FFFFC000"/>
                </patternFill>
              </fill>
            </x14:dxf>
          </x14:cfRule>
          <x14:cfRule type="cellIs" priority="2213" operator="equal" id="{C6C12804-2E23-47E7-B37F-0FE0F0FA2FE7}">
            <xm:f>SelectionCriteria!$A$2</xm:f>
            <x14:dxf>
              <font>
                <color theme="0"/>
              </font>
              <fill>
                <patternFill>
                  <bgColor rgb="FFFF0000"/>
                </patternFill>
              </fill>
            </x14:dxf>
          </x14:cfRule>
          <xm:sqref>Z43:AA43</xm:sqref>
        </x14:conditionalFormatting>
        <x14:conditionalFormatting xmlns:xm="http://schemas.microsoft.com/office/excel/2006/main">
          <x14:cfRule type="cellIs" priority="2178" operator="equal" id="{9DF165DA-78EE-40B5-80CE-F9D5AFC805DA}">
            <xm:f>SelectionCriteria!$A$5</xm:f>
            <x14:dxf>
              <fill>
                <patternFill>
                  <bgColor rgb="FF00B050"/>
                </patternFill>
              </fill>
            </x14:dxf>
          </x14:cfRule>
          <x14:cfRule type="cellIs" priority="2179" operator="equal" id="{201CF34F-ECE4-4EE2-A84E-6FAD5D3F8024}">
            <xm:f>SelectionCriteria!$A$4</xm:f>
            <x14:dxf>
              <fill>
                <patternFill>
                  <bgColor rgb="FFFFFF00"/>
                </patternFill>
              </fill>
            </x14:dxf>
          </x14:cfRule>
          <x14:cfRule type="cellIs" priority="2180" operator="equal" id="{C0892900-EC2E-406A-B4CF-BFCCAC83E777}">
            <xm:f>SelectionCriteria!$A$3</xm:f>
            <x14:dxf>
              <fill>
                <patternFill>
                  <bgColor rgb="FFFFC000"/>
                </patternFill>
              </fill>
            </x14:dxf>
          </x14:cfRule>
          <x14:cfRule type="cellIs" priority="2181" operator="equal" id="{004AA4E1-3866-4E06-ACE2-574138A3C98C}">
            <xm:f>SelectionCriteria!$A$2</xm:f>
            <x14:dxf>
              <font>
                <color theme="0"/>
              </font>
              <fill>
                <patternFill>
                  <bgColor rgb="FFFF0000"/>
                </patternFill>
              </fill>
            </x14:dxf>
          </x14:cfRule>
          <xm:sqref>AA17:AA19</xm:sqref>
        </x14:conditionalFormatting>
        <x14:conditionalFormatting xmlns:xm="http://schemas.microsoft.com/office/excel/2006/main">
          <x14:cfRule type="cellIs" priority="2167" operator="equal" id="{D64BE421-974A-40AB-9A14-D2A01F6DB596}">
            <xm:f>SelectionCriteria!$A$5</xm:f>
            <x14:dxf>
              <fill>
                <patternFill>
                  <bgColor rgb="FF00B050"/>
                </patternFill>
              </fill>
            </x14:dxf>
          </x14:cfRule>
          <x14:cfRule type="cellIs" priority="2168" operator="equal" id="{FA2C4BD3-A18C-413B-B3FE-054B4FF1824D}">
            <xm:f>SelectionCriteria!$A$4</xm:f>
            <x14:dxf>
              <fill>
                <patternFill>
                  <bgColor rgb="FFFFFF00"/>
                </patternFill>
              </fill>
            </x14:dxf>
          </x14:cfRule>
          <x14:cfRule type="cellIs" priority="2169" operator="equal" id="{A2D248BB-04CA-4F97-AF20-18596AF44FCF}">
            <xm:f>SelectionCriteria!$A$3</xm:f>
            <x14:dxf>
              <fill>
                <patternFill>
                  <bgColor rgb="FFFFC000"/>
                </patternFill>
              </fill>
            </x14:dxf>
          </x14:cfRule>
          <x14:cfRule type="cellIs" priority="2170" operator="equal" id="{AB3AE139-DF27-47A1-A390-D576F9599812}">
            <xm:f>SelectionCriteria!$A$2</xm:f>
            <x14:dxf>
              <font>
                <color theme="0"/>
              </font>
              <fill>
                <patternFill>
                  <bgColor rgb="FFFF0000"/>
                </patternFill>
              </fill>
            </x14:dxf>
          </x14:cfRule>
          <xm:sqref>AA20</xm:sqref>
        </x14:conditionalFormatting>
        <x14:conditionalFormatting xmlns:xm="http://schemas.microsoft.com/office/excel/2006/main">
          <x14:cfRule type="cellIs" priority="2156" operator="equal" id="{5583087E-2F0C-4ABE-A0EE-0F0E6D7D532A}">
            <xm:f>SelectionCriteria!$A$5</xm:f>
            <x14:dxf>
              <fill>
                <patternFill>
                  <bgColor rgb="FF00B050"/>
                </patternFill>
              </fill>
            </x14:dxf>
          </x14:cfRule>
          <x14:cfRule type="cellIs" priority="2157" operator="equal" id="{5FBC28EE-2E4C-409F-A1F2-43F90038DE81}">
            <xm:f>SelectionCriteria!$A$4</xm:f>
            <x14:dxf>
              <fill>
                <patternFill>
                  <bgColor rgb="FFFFFF00"/>
                </patternFill>
              </fill>
            </x14:dxf>
          </x14:cfRule>
          <x14:cfRule type="cellIs" priority="2158" operator="equal" id="{AFF2A15E-6EB4-4FCB-8325-0FCB4136994B}">
            <xm:f>SelectionCriteria!$A$3</xm:f>
            <x14:dxf>
              <fill>
                <patternFill>
                  <bgColor rgb="FFFFC000"/>
                </patternFill>
              </fill>
            </x14:dxf>
          </x14:cfRule>
          <x14:cfRule type="cellIs" priority="2159" operator="equal" id="{C4CE3865-A6E3-4362-8BA7-E2C61607EFA5}">
            <xm:f>SelectionCriteria!$A$2</xm:f>
            <x14:dxf>
              <font>
                <color theme="0"/>
              </font>
              <fill>
                <patternFill>
                  <bgColor rgb="FFFF0000"/>
                </patternFill>
              </fill>
            </x14:dxf>
          </x14:cfRule>
          <xm:sqref>Z30:AA30</xm:sqref>
        </x14:conditionalFormatting>
        <x14:conditionalFormatting xmlns:xm="http://schemas.microsoft.com/office/excel/2006/main">
          <x14:cfRule type="cellIs" priority="2145" operator="equal" id="{C4BEB0DC-CDC9-4B14-A64E-7EA8418CFF65}">
            <xm:f>SelectionCriteria!$A$5</xm:f>
            <x14:dxf>
              <fill>
                <patternFill>
                  <bgColor rgb="FF00B050"/>
                </patternFill>
              </fill>
            </x14:dxf>
          </x14:cfRule>
          <x14:cfRule type="cellIs" priority="2146" operator="equal" id="{CA09A971-FE5B-4964-B563-64C39AD15FAC}">
            <xm:f>SelectionCriteria!$A$4</xm:f>
            <x14:dxf>
              <fill>
                <patternFill>
                  <bgColor rgb="FFFFFF00"/>
                </patternFill>
              </fill>
            </x14:dxf>
          </x14:cfRule>
          <x14:cfRule type="cellIs" priority="2147" operator="equal" id="{EFCA096A-6C41-4309-89A2-F9C405EEDA80}">
            <xm:f>SelectionCriteria!$A$3</xm:f>
            <x14:dxf>
              <fill>
                <patternFill>
                  <bgColor rgb="FFFFC000"/>
                </patternFill>
              </fill>
            </x14:dxf>
          </x14:cfRule>
          <x14:cfRule type="cellIs" priority="2148" operator="equal" id="{03248BA2-728F-4561-AA91-98087F9AF94B}">
            <xm:f>SelectionCriteria!$A$2</xm:f>
            <x14:dxf>
              <font>
                <color theme="0"/>
              </font>
              <fill>
                <patternFill>
                  <bgColor rgb="FFFF0000"/>
                </patternFill>
              </fill>
            </x14:dxf>
          </x14:cfRule>
          <xm:sqref>AA49</xm:sqref>
        </x14:conditionalFormatting>
        <x14:conditionalFormatting xmlns:xm="http://schemas.microsoft.com/office/excel/2006/main">
          <x14:cfRule type="cellIs" priority="2134" operator="equal" id="{01C5EDEA-E640-42F5-9AE1-2AD65359DF82}">
            <xm:f>SelectionCriteria!$A$5</xm:f>
            <x14:dxf>
              <fill>
                <patternFill>
                  <bgColor rgb="FF00B050"/>
                </patternFill>
              </fill>
            </x14:dxf>
          </x14:cfRule>
          <x14:cfRule type="cellIs" priority="2135" operator="equal" id="{8C76DF89-5D37-44BA-90EE-CA1A71D1CEC5}">
            <xm:f>SelectionCriteria!$A$4</xm:f>
            <x14:dxf>
              <fill>
                <patternFill>
                  <bgColor rgb="FFFFFF00"/>
                </patternFill>
              </fill>
            </x14:dxf>
          </x14:cfRule>
          <x14:cfRule type="cellIs" priority="2136" operator="equal" id="{227D957E-8F4D-4A2F-A4F3-48D1602DEC4E}">
            <xm:f>SelectionCriteria!$A$3</xm:f>
            <x14:dxf>
              <fill>
                <patternFill>
                  <bgColor rgb="FFFFC000"/>
                </patternFill>
              </fill>
            </x14:dxf>
          </x14:cfRule>
          <x14:cfRule type="cellIs" priority="2137" operator="equal" id="{57CE0834-C51E-4706-9F83-3312B8741EBB}">
            <xm:f>SelectionCriteria!$A$2</xm:f>
            <x14:dxf>
              <font>
                <color theme="0"/>
              </font>
              <fill>
                <patternFill>
                  <bgColor rgb="FFFF0000"/>
                </patternFill>
              </fill>
            </x14:dxf>
          </x14:cfRule>
          <xm:sqref>AA50</xm:sqref>
        </x14:conditionalFormatting>
        <x14:conditionalFormatting xmlns:xm="http://schemas.microsoft.com/office/excel/2006/main">
          <x14:cfRule type="cellIs" priority="2121" operator="equal" id="{CBE2FCE5-1BBA-474F-905B-9C7F9C70A5C9}">
            <xm:f>SelectionCriteria!$A$5</xm:f>
            <x14:dxf>
              <fill>
                <patternFill>
                  <bgColor rgb="FF00B050"/>
                </patternFill>
              </fill>
            </x14:dxf>
          </x14:cfRule>
          <x14:cfRule type="cellIs" priority="2122" operator="equal" id="{98B153C9-DF6C-46D4-984F-7CBF461549D0}">
            <xm:f>SelectionCriteria!$A$4</xm:f>
            <x14:dxf>
              <fill>
                <patternFill>
                  <bgColor rgb="FFFFFF00"/>
                </patternFill>
              </fill>
            </x14:dxf>
          </x14:cfRule>
          <x14:cfRule type="cellIs" priority="2123" operator="equal" id="{EF428852-11D3-415A-87BD-ED2CC07B7EDA}">
            <xm:f>SelectionCriteria!$A$3</xm:f>
            <x14:dxf>
              <fill>
                <patternFill>
                  <bgColor rgb="FFFFC000"/>
                </patternFill>
              </fill>
            </x14:dxf>
          </x14:cfRule>
          <x14:cfRule type="cellIs" priority="2124" operator="equal" id="{B425D4E6-C669-4551-983F-1AE0735533A5}">
            <xm:f>SelectionCriteria!$A$2</xm:f>
            <x14:dxf>
              <font>
                <color theme="0"/>
              </font>
              <fill>
                <patternFill>
                  <bgColor rgb="FFFF0000"/>
                </patternFill>
              </fill>
            </x14:dxf>
          </x14:cfRule>
          <xm:sqref>Z44:AA44</xm:sqref>
        </x14:conditionalFormatting>
        <x14:conditionalFormatting xmlns:xm="http://schemas.microsoft.com/office/excel/2006/main">
          <x14:cfRule type="expression" priority="2078" id="{2C9A112B-74FF-4A25-AFF9-5B7D1080C191}">
            <xm:f>$M35&lt;=SelectionCriteria!$G$5</xm:f>
            <x14:dxf>
              <fill>
                <patternFill>
                  <bgColor rgb="FF00B050"/>
                </patternFill>
              </fill>
            </x14:dxf>
          </x14:cfRule>
          <x14:cfRule type="expression" priority="2079" id="{423A7394-4B44-4690-A8E4-01C53931AEE6}">
            <xm:f>$M35&lt;=SelectionCriteria!$G$4</xm:f>
            <x14:dxf>
              <fill>
                <patternFill>
                  <bgColor rgb="FFFFFF00"/>
                </patternFill>
              </fill>
            </x14:dxf>
          </x14:cfRule>
          <x14:cfRule type="expression" priority="2080" id="{C08DA5E6-AECF-48E7-AFEA-BCB2442D1D3A}">
            <xm:f>$M35&lt;=SelectionCriteria!$G$3</xm:f>
            <x14:dxf>
              <fill>
                <patternFill>
                  <bgColor rgb="FFFFC000"/>
                </patternFill>
              </fill>
            </x14:dxf>
          </x14:cfRule>
          <x14:cfRule type="expression" priority="2081" id="{3E158603-1E69-430F-B763-A9CF2DD2767C}">
            <xm:f>$M35&gt;SelectionCriteria!$G$3</xm:f>
            <x14:dxf>
              <font>
                <color theme="0"/>
              </font>
              <fill>
                <patternFill>
                  <bgColor rgb="FFFF0000"/>
                </patternFill>
              </fill>
            </x14:dxf>
          </x14:cfRule>
          <xm:sqref>M35</xm:sqref>
        </x14:conditionalFormatting>
        <x14:conditionalFormatting xmlns:xm="http://schemas.microsoft.com/office/excel/2006/main">
          <x14:cfRule type="cellIs" priority="2098" operator="equal" id="{EAB53868-0B37-4428-A9AF-CADD9A3033EE}">
            <xm:f>SelectionCriteria!$A$5</xm:f>
            <x14:dxf>
              <fill>
                <patternFill>
                  <bgColor rgb="FF00B050"/>
                </patternFill>
              </fill>
            </x14:dxf>
          </x14:cfRule>
          <x14:cfRule type="cellIs" priority="2099" operator="equal" id="{881002F3-1C28-45D3-9ABD-7A3C6BCBBB33}">
            <xm:f>SelectionCriteria!$A$4</xm:f>
            <x14:dxf>
              <fill>
                <patternFill>
                  <bgColor rgb="FFFFFF00"/>
                </patternFill>
              </fill>
            </x14:dxf>
          </x14:cfRule>
          <x14:cfRule type="cellIs" priority="2100" operator="equal" id="{68938114-D4EC-48C5-BEE6-EA8FAC667DFC}">
            <xm:f>SelectionCriteria!$A$3</xm:f>
            <x14:dxf>
              <fill>
                <patternFill>
                  <bgColor rgb="FFFFC000"/>
                </patternFill>
              </fill>
            </x14:dxf>
          </x14:cfRule>
          <x14:cfRule type="cellIs" priority="2101" operator="equal" id="{83548D90-D767-4E50-BABA-0FE57C842BBD}">
            <xm:f>SelectionCriteria!$A$2</xm:f>
            <x14:dxf>
              <font>
                <color theme="0"/>
              </font>
              <fill>
                <patternFill>
                  <bgColor rgb="FFFF0000"/>
                </patternFill>
              </fill>
            </x14:dxf>
          </x14:cfRule>
          <xm:sqref>K35:L35</xm:sqref>
        </x14:conditionalFormatting>
        <x14:conditionalFormatting xmlns:xm="http://schemas.microsoft.com/office/excel/2006/main">
          <x14:cfRule type="cellIs" priority="2094" operator="equal" id="{E47FE161-6761-49DB-848C-7E0E9F6914F8}">
            <xm:f>SelectionCriteria!$A$5</xm:f>
            <x14:dxf>
              <fill>
                <patternFill>
                  <bgColor rgb="FF00B050"/>
                </patternFill>
              </fill>
            </x14:dxf>
          </x14:cfRule>
          <x14:cfRule type="cellIs" priority="2095" operator="equal" id="{84CC087F-19EC-4BCE-BA08-B68E5F801D5A}">
            <xm:f>SelectionCriteria!$A$4</xm:f>
            <x14:dxf>
              <fill>
                <patternFill>
                  <bgColor rgb="FFFFFF00"/>
                </patternFill>
              </fill>
            </x14:dxf>
          </x14:cfRule>
          <x14:cfRule type="cellIs" priority="2096" operator="equal" id="{2A504D20-3E84-48D5-88FE-11D126344641}">
            <xm:f>SelectionCriteria!$A$3</xm:f>
            <x14:dxf>
              <fill>
                <patternFill>
                  <bgColor rgb="FFFFC000"/>
                </patternFill>
              </fill>
            </x14:dxf>
          </x14:cfRule>
          <x14:cfRule type="cellIs" priority="2097" operator="equal" id="{D7C75C11-FE13-424F-9555-083BD127D104}">
            <xm:f>SelectionCriteria!$A$2</xm:f>
            <x14:dxf>
              <font>
                <color theme="0"/>
              </font>
              <fill>
                <patternFill>
                  <bgColor rgb="FFFF0000"/>
                </patternFill>
              </fill>
            </x14:dxf>
          </x14:cfRule>
          <xm:sqref>Z35:AA35</xm:sqref>
        </x14:conditionalFormatting>
        <x14:conditionalFormatting xmlns:xm="http://schemas.microsoft.com/office/excel/2006/main">
          <x14:cfRule type="expression" priority="2030" id="{F60E37AA-D7A3-4440-AC63-6677E0F52ED0}">
            <xm:f>$M36&lt;=SelectionCriteria!$G$5</xm:f>
            <x14:dxf>
              <fill>
                <patternFill>
                  <bgColor rgb="FF00B050"/>
                </patternFill>
              </fill>
            </x14:dxf>
          </x14:cfRule>
          <x14:cfRule type="expression" priority="2031" id="{98694488-D1CA-4331-B566-E13BEF2DA439}">
            <xm:f>$M36&lt;=SelectionCriteria!$G$4</xm:f>
            <x14:dxf>
              <fill>
                <patternFill>
                  <bgColor rgb="FFFFFF00"/>
                </patternFill>
              </fill>
            </x14:dxf>
          </x14:cfRule>
          <x14:cfRule type="expression" priority="2032" id="{1815D655-C049-471D-8599-40655EE38ECC}">
            <xm:f>$M36&lt;=SelectionCriteria!$G$3</xm:f>
            <x14:dxf>
              <fill>
                <patternFill>
                  <bgColor rgb="FFFFC000"/>
                </patternFill>
              </fill>
            </x14:dxf>
          </x14:cfRule>
          <x14:cfRule type="expression" priority="2033" id="{D17ABF1A-86E1-4924-9EAD-F2C94CC11B6D}">
            <xm:f>$M36&gt;SelectionCriteria!$G$3</xm:f>
            <x14:dxf>
              <font>
                <color theme="0"/>
              </font>
              <fill>
                <patternFill>
                  <bgColor rgb="FFFF0000"/>
                </patternFill>
              </fill>
            </x14:dxf>
          </x14:cfRule>
          <xm:sqref>M36</xm:sqref>
        </x14:conditionalFormatting>
        <x14:conditionalFormatting xmlns:xm="http://schemas.microsoft.com/office/excel/2006/main">
          <x14:cfRule type="cellIs" priority="2050" operator="equal" id="{74155C4C-7B25-42C3-B878-EDE8B3056585}">
            <xm:f>SelectionCriteria!$A$5</xm:f>
            <x14:dxf>
              <fill>
                <patternFill>
                  <bgColor rgb="FF00B050"/>
                </patternFill>
              </fill>
            </x14:dxf>
          </x14:cfRule>
          <x14:cfRule type="cellIs" priority="2051" operator="equal" id="{18E93739-A765-46AD-8085-0CB77689E60D}">
            <xm:f>SelectionCriteria!$A$4</xm:f>
            <x14:dxf>
              <fill>
                <patternFill>
                  <bgColor rgb="FFFFFF00"/>
                </patternFill>
              </fill>
            </x14:dxf>
          </x14:cfRule>
          <x14:cfRule type="cellIs" priority="2052" operator="equal" id="{58F663DA-62F1-4839-BAAB-969F5715B676}">
            <xm:f>SelectionCriteria!$A$3</xm:f>
            <x14:dxf>
              <fill>
                <patternFill>
                  <bgColor rgb="FFFFC000"/>
                </patternFill>
              </fill>
            </x14:dxf>
          </x14:cfRule>
          <x14:cfRule type="cellIs" priority="2053" operator="equal" id="{C880C75A-82EF-4D8C-B7AE-B6E2A8C6B235}">
            <xm:f>SelectionCriteria!$A$2</xm:f>
            <x14:dxf>
              <font>
                <color theme="0"/>
              </font>
              <fill>
                <patternFill>
                  <bgColor rgb="FFFF0000"/>
                </patternFill>
              </fill>
            </x14:dxf>
          </x14:cfRule>
          <xm:sqref>K36:L36</xm:sqref>
        </x14:conditionalFormatting>
        <x14:conditionalFormatting xmlns:xm="http://schemas.microsoft.com/office/excel/2006/main">
          <x14:cfRule type="cellIs" priority="2046" operator="equal" id="{9563E459-52BB-40CC-A280-B71AAFA31468}">
            <xm:f>SelectionCriteria!$A$5</xm:f>
            <x14:dxf>
              <fill>
                <patternFill>
                  <bgColor rgb="FF00B050"/>
                </patternFill>
              </fill>
            </x14:dxf>
          </x14:cfRule>
          <x14:cfRule type="cellIs" priority="2047" operator="equal" id="{60C44E4D-42EB-41EC-84AB-1B617640315B}">
            <xm:f>SelectionCriteria!$A$4</xm:f>
            <x14:dxf>
              <fill>
                <patternFill>
                  <bgColor rgb="FFFFFF00"/>
                </patternFill>
              </fill>
            </x14:dxf>
          </x14:cfRule>
          <x14:cfRule type="cellIs" priority="2048" operator="equal" id="{779541E1-E3E0-425E-A345-18F4F6B44F1F}">
            <xm:f>SelectionCriteria!$A$3</xm:f>
            <x14:dxf>
              <fill>
                <patternFill>
                  <bgColor rgb="FFFFC000"/>
                </patternFill>
              </fill>
            </x14:dxf>
          </x14:cfRule>
          <x14:cfRule type="cellIs" priority="2049" operator="equal" id="{8153960F-967F-4E91-BCAC-C85A054B73A0}">
            <xm:f>SelectionCriteria!$A$2</xm:f>
            <x14:dxf>
              <font>
                <color theme="0"/>
              </font>
              <fill>
                <patternFill>
                  <bgColor rgb="FFFF0000"/>
                </patternFill>
              </fill>
            </x14:dxf>
          </x14:cfRule>
          <xm:sqref>Z36:AA36</xm:sqref>
        </x14:conditionalFormatting>
        <x14:conditionalFormatting xmlns:xm="http://schemas.microsoft.com/office/excel/2006/main">
          <x14:cfRule type="cellIs" priority="1964" operator="equal" id="{FF446DD7-F7F3-4212-A538-1FDA52D2B37C}">
            <xm:f>SelectionCriteria!$A$5</xm:f>
            <x14:dxf>
              <fill>
                <patternFill>
                  <bgColor rgb="FF00B050"/>
                </patternFill>
              </fill>
            </x14:dxf>
          </x14:cfRule>
          <x14:cfRule type="cellIs" priority="1965" operator="equal" id="{4D2C843F-55F7-4A8A-B3C9-BCA5891CFA52}">
            <xm:f>SelectionCriteria!$A$4</xm:f>
            <x14:dxf>
              <fill>
                <patternFill>
                  <bgColor rgb="FFFFFF00"/>
                </patternFill>
              </fill>
            </x14:dxf>
          </x14:cfRule>
          <x14:cfRule type="cellIs" priority="1966" operator="equal" id="{F35EDFED-45F1-4821-81FF-579CDFDF5A68}">
            <xm:f>SelectionCriteria!$A$3</xm:f>
            <x14:dxf>
              <fill>
                <patternFill>
                  <bgColor rgb="FFFFC000"/>
                </patternFill>
              </fill>
            </x14:dxf>
          </x14:cfRule>
          <x14:cfRule type="cellIs" priority="1967" operator="equal" id="{25A9B069-BD0D-4C2C-931D-FE5CEBBB97AC}">
            <xm:f>SelectionCriteria!$A$2</xm:f>
            <x14:dxf>
              <font>
                <color theme="0"/>
              </font>
              <fill>
                <patternFill>
                  <bgColor rgb="FFFF0000"/>
                </patternFill>
              </fill>
            </x14:dxf>
          </x14:cfRule>
          <xm:sqref>K16:K20</xm:sqref>
        </x14:conditionalFormatting>
        <x14:conditionalFormatting xmlns:xm="http://schemas.microsoft.com/office/excel/2006/main">
          <x14:cfRule type="cellIs" priority="1960" operator="equal" id="{D6E28677-F4D6-493F-A5CC-9A5EA4F33EE8}">
            <xm:f>SelectionCriteria!$A$5</xm:f>
            <x14:dxf>
              <fill>
                <patternFill>
                  <bgColor rgb="FF00B050"/>
                </patternFill>
              </fill>
            </x14:dxf>
          </x14:cfRule>
          <x14:cfRule type="cellIs" priority="1961" operator="equal" id="{A6C5689E-20E4-4258-9B75-69F09EBF9117}">
            <xm:f>SelectionCriteria!$A$4</xm:f>
            <x14:dxf>
              <fill>
                <patternFill>
                  <bgColor rgb="FFFFFF00"/>
                </patternFill>
              </fill>
            </x14:dxf>
          </x14:cfRule>
          <x14:cfRule type="cellIs" priority="1962" operator="equal" id="{0D2CBC38-B44E-4E66-BE1E-BA8A1EEAF097}">
            <xm:f>SelectionCriteria!$A$3</xm:f>
            <x14:dxf>
              <fill>
                <patternFill>
                  <bgColor rgb="FFFFC000"/>
                </patternFill>
              </fill>
            </x14:dxf>
          </x14:cfRule>
          <x14:cfRule type="cellIs" priority="1963" operator="equal" id="{60F38DB4-C403-4D92-940F-C7EC3CC2D1B9}">
            <xm:f>SelectionCriteria!$A$2</xm:f>
            <x14:dxf>
              <font>
                <color theme="0"/>
              </font>
              <fill>
                <patternFill>
                  <bgColor rgb="FFFF0000"/>
                </patternFill>
              </fill>
            </x14:dxf>
          </x14:cfRule>
          <xm:sqref>Z49:Z50</xm:sqref>
        </x14:conditionalFormatting>
        <x14:conditionalFormatting xmlns:xm="http://schemas.microsoft.com/office/excel/2006/main">
          <x14:cfRule type="expression" priority="1924" id="{9A2AAD7A-4F31-4A08-A3EE-303B576198B6}">
            <xm:f>$M34&lt;=SelectionCriteria!$G$5</xm:f>
            <x14:dxf>
              <fill>
                <patternFill>
                  <bgColor rgb="FF00B050"/>
                </patternFill>
              </fill>
            </x14:dxf>
          </x14:cfRule>
          <x14:cfRule type="expression" priority="1925" id="{BB734C59-010A-4B30-AA80-DD60D68E71B3}">
            <xm:f>$M34&lt;=SelectionCriteria!$G$4</xm:f>
            <x14:dxf>
              <fill>
                <patternFill>
                  <bgColor rgb="FFFFFF00"/>
                </patternFill>
              </fill>
            </x14:dxf>
          </x14:cfRule>
          <x14:cfRule type="expression" priority="1926" id="{549E49AD-B1B1-4BE2-A74C-AC8EB1CAA775}">
            <xm:f>$M34&lt;=SelectionCriteria!$G$3</xm:f>
            <x14:dxf>
              <fill>
                <patternFill>
                  <bgColor rgb="FFFFC000"/>
                </patternFill>
              </fill>
            </x14:dxf>
          </x14:cfRule>
          <x14:cfRule type="expression" priority="1927" id="{02553418-173F-4768-BB6B-7798900DE2DC}">
            <xm:f>$M34&gt;SelectionCriteria!$G$3</xm:f>
            <x14:dxf>
              <font>
                <color theme="0"/>
              </font>
              <fill>
                <patternFill>
                  <bgColor rgb="FFFF0000"/>
                </patternFill>
              </fill>
            </x14:dxf>
          </x14:cfRule>
          <xm:sqref>M34</xm:sqref>
        </x14:conditionalFormatting>
        <x14:conditionalFormatting xmlns:xm="http://schemas.microsoft.com/office/excel/2006/main">
          <x14:cfRule type="cellIs" priority="1940" operator="equal" id="{A3541867-9653-4545-859B-CE8558AE5099}">
            <xm:f>SelectionCriteria!$A$5</xm:f>
            <x14:dxf>
              <fill>
                <patternFill>
                  <bgColor rgb="FF00B050"/>
                </patternFill>
              </fill>
            </x14:dxf>
          </x14:cfRule>
          <x14:cfRule type="cellIs" priority="1941" operator="equal" id="{4D00D306-8A5D-4856-B0B8-074A3121A7E1}">
            <xm:f>SelectionCriteria!$A$4</xm:f>
            <x14:dxf>
              <fill>
                <patternFill>
                  <bgColor rgb="FFFFFF00"/>
                </patternFill>
              </fill>
            </x14:dxf>
          </x14:cfRule>
          <x14:cfRule type="cellIs" priority="1942" operator="equal" id="{28164DAD-5325-4A6B-ABD5-87ED76A8B1BE}">
            <xm:f>SelectionCriteria!$A$3</xm:f>
            <x14:dxf>
              <fill>
                <patternFill>
                  <bgColor rgb="FFFFC000"/>
                </patternFill>
              </fill>
            </x14:dxf>
          </x14:cfRule>
          <x14:cfRule type="cellIs" priority="1943" operator="equal" id="{09BB8FAC-69E5-42CB-9B8C-FB7282E6B533}">
            <xm:f>SelectionCriteria!$A$2</xm:f>
            <x14:dxf>
              <font>
                <color theme="0"/>
              </font>
              <fill>
                <patternFill>
                  <bgColor rgb="FFFF0000"/>
                </patternFill>
              </fill>
            </x14:dxf>
          </x14:cfRule>
          <xm:sqref>K34:L34 Z34:AA34</xm:sqref>
        </x14:conditionalFormatting>
        <x14:conditionalFormatting xmlns:xm="http://schemas.microsoft.com/office/excel/2006/main">
          <x14:cfRule type="cellIs" priority="1910" operator="equal" id="{7D457E9A-F440-4CDE-9BB2-AA35D856EFE9}">
            <xm:f>SelectionCriteria!$A$5</xm:f>
            <x14:dxf>
              <fill>
                <patternFill>
                  <bgColor rgb="FF00B050"/>
                </patternFill>
              </fill>
            </x14:dxf>
          </x14:cfRule>
          <x14:cfRule type="cellIs" priority="1911" operator="equal" id="{C226D292-FB06-4E9C-A7C2-7BB023216CD0}">
            <xm:f>SelectionCriteria!$A$4</xm:f>
            <x14:dxf>
              <fill>
                <patternFill>
                  <bgColor rgb="FFFFFF00"/>
                </patternFill>
              </fill>
            </x14:dxf>
          </x14:cfRule>
          <x14:cfRule type="cellIs" priority="1912" operator="equal" id="{92EBA638-C412-48AB-84A3-9CEBC8FD027F}">
            <xm:f>SelectionCriteria!$A$3</xm:f>
            <x14:dxf>
              <fill>
                <patternFill>
                  <bgColor rgb="FFFFC000"/>
                </patternFill>
              </fill>
            </x14:dxf>
          </x14:cfRule>
          <x14:cfRule type="cellIs" priority="1913" operator="equal" id="{496D83EF-8E0E-48E5-BB42-A81BC941FB6D}">
            <xm:f>SelectionCriteria!$A$2</xm:f>
            <x14:dxf>
              <font>
                <color theme="0"/>
              </font>
              <fill>
                <patternFill>
                  <bgColor rgb="FFFF0000"/>
                </patternFill>
              </fill>
            </x14:dxf>
          </x14:cfRule>
          <xm:sqref>Z16</xm:sqref>
        </x14:conditionalFormatting>
        <x14:conditionalFormatting xmlns:xm="http://schemas.microsoft.com/office/excel/2006/main">
          <x14:cfRule type="cellIs" priority="1906" operator="equal" id="{6AC675C1-55F6-4839-B046-518818A2AD5B}">
            <xm:f>SelectionCriteria!$A$5</xm:f>
            <x14:dxf>
              <fill>
                <patternFill>
                  <bgColor rgb="FF00B050"/>
                </patternFill>
              </fill>
            </x14:dxf>
          </x14:cfRule>
          <x14:cfRule type="cellIs" priority="1907" operator="equal" id="{A2966D74-8BCF-4A42-B4D7-1CB64C7AD337}">
            <xm:f>SelectionCriteria!$A$4</xm:f>
            <x14:dxf>
              <fill>
                <patternFill>
                  <bgColor rgb="FFFFFF00"/>
                </patternFill>
              </fill>
            </x14:dxf>
          </x14:cfRule>
          <x14:cfRule type="cellIs" priority="1908" operator="equal" id="{EA722C27-3137-4BCC-85EB-28A997903F26}">
            <xm:f>SelectionCriteria!$A$3</xm:f>
            <x14:dxf>
              <fill>
                <patternFill>
                  <bgColor rgb="FFFFC000"/>
                </patternFill>
              </fill>
            </x14:dxf>
          </x14:cfRule>
          <x14:cfRule type="cellIs" priority="1909" operator="equal" id="{2343E4C8-1383-4C07-BD45-88AD85F5F34F}">
            <xm:f>SelectionCriteria!$A$2</xm:f>
            <x14:dxf>
              <font>
                <color theme="0"/>
              </font>
              <fill>
                <patternFill>
                  <bgColor rgb="FFFF0000"/>
                </patternFill>
              </fill>
            </x14:dxf>
          </x14:cfRule>
          <xm:sqref>Z17</xm:sqref>
        </x14:conditionalFormatting>
        <x14:conditionalFormatting xmlns:xm="http://schemas.microsoft.com/office/excel/2006/main">
          <x14:cfRule type="cellIs" priority="1898" operator="equal" id="{9562131D-A146-4001-A568-AD492F5F187E}">
            <xm:f>SelectionCriteria!$A$5</xm:f>
            <x14:dxf>
              <fill>
                <patternFill>
                  <bgColor rgb="FF00B050"/>
                </patternFill>
              </fill>
            </x14:dxf>
          </x14:cfRule>
          <x14:cfRule type="cellIs" priority="1899" operator="equal" id="{6E525D45-37B0-41D7-BA47-8935E11D603C}">
            <xm:f>SelectionCriteria!$A$4</xm:f>
            <x14:dxf>
              <fill>
                <patternFill>
                  <bgColor rgb="FFFFFF00"/>
                </patternFill>
              </fill>
            </x14:dxf>
          </x14:cfRule>
          <x14:cfRule type="cellIs" priority="1900" operator="equal" id="{CD3CD635-C5D2-40E9-BBB4-7C546E150745}">
            <xm:f>SelectionCriteria!$A$3</xm:f>
            <x14:dxf>
              <fill>
                <patternFill>
                  <bgColor rgb="FFFFC000"/>
                </patternFill>
              </fill>
            </x14:dxf>
          </x14:cfRule>
          <x14:cfRule type="cellIs" priority="1901" operator="equal" id="{AA29E8AD-B04E-4E89-8B80-4C2463C4BF2E}">
            <xm:f>SelectionCriteria!$A$2</xm:f>
            <x14:dxf>
              <font>
                <color theme="0"/>
              </font>
              <fill>
                <patternFill>
                  <bgColor rgb="FFFF0000"/>
                </patternFill>
              </fill>
            </x14:dxf>
          </x14:cfRule>
          <xm:sqref>Z19</xm:sqref>
        </x14:conditionalFormatting>
        <x14:conditionalFormatting xmlns:xm="http://schemas.microsoft.com/office/excel/2006/main">
          <x14:cfRule type="cellIs" priority="1894" operator="equal" id="{8F332BE5-1A5C-4FD5-AD4C-29252778854A}">
            <xm:f>SelectionCriteria!$A$5</xm:f>
            <x14:dxf>
              <fill>
                <patternFill>
                  <bgColor rgb="FF00B050"/>
                </patternFill>
              </fill>
            </x14:dxf>
          </x14:cfRule>
          <x14:cfRule type="cellIs" priority="1895" operator="equal" id="{9F878C7C-89AE-4912-B66E-3AFB324933FC}">
            <xm:f>SelectionCriteria!$A$4</xm:f>
            <x14:dxf>
              <fill>
                <patternFill>
                  <bgColor rgb="FFFFFF00"/>
                </patternFill>
              </fill>
            </x14:dxf>
          </x14:cfRule>
          <x14:cfRule type="cellIs" priority="1896" operator="equal" id="{D4F41620-708B-44DB-85F2-98715D81CD4B}">
            <xm:f>SelectionCriteria!$A$3</xm:f>
            <x14:dxf>
              <fill>
                <patternFill>
                  <bgColor rgb="FFFFC000"/>
                </patternFill>
              </fill>
            </x14:dxf>
          </x14:cfRule>
          <x14:cfRule type="cellIs" priority="1897" operator="equal" id="{CDD05F22-73BE-4DF1-B80F-84F5DF30F162}">
            <xm:f>SelectionCriteria!$A$2</xm:f>
            <x14:dxf>
              <font>
                <color theme="0"/>
              </font>
              <fill>
                <patternFill>
                  <bgColor rgb="FFFF0000"/>
                </patternFill>
              </fill>
            </x14:dxf>
          </x14:cfRule>
          <xm:sqref>Z18</xm:sqref>
        </x14:conditionalFormatting>
        <x14:conditionalFormatting xmlns:xm="http://schemas.microsoft.com/office/excel/2006/main">
          <x14:cfRule type="cellIs" priority="1890" operator="equal" id="{EFC3F65C-B809-4454-BFCE-C608607F492B}">
            <xm:f>SelectionCriteria!$A$5</xm:f>
            <x14:dxf>
              <fill>
                <patternFill>
                  <bgColor rgb="FF00B050"/>
                </patternFill>
              </fill>
            </x14:dxf>
          </x14:cfRule>
          <x14:cfRule type="cellIs" priority="1891" operator="equal" id="{7DD02D55-E15D-4D34-9417-80228D3D0C7B}">
            <xm:f>SelectionCriteria!$A$4</xm:f>
            <x14:dxf>
              <fill>
                <patternFill>
                  <bgColor rgb="FFFFFF00"/>
                </patternFill>
              </fill>
            </x14:dxf>
          </x14:cfRule>
          <x14:cfRule type="cellIs" priority="1892" operator="equal" id="{2668D6F2-B53A-4BA1-B1FA-ACDFCCA0BA63}">
            <xm:f>SelectionCriteria!$A$3</xm:f>
            <x14:dxf>
              <fill>
                <patternFill>
                  <bgColor rgb="FFFFC000"/>
                </patternFill>
              </fill>
            </x14:dxf>
          </x14:cfRule>
          <x14:cfRule type="cellIs" priority="1893" operator="equal" id="{CBCBAA3C-EB81-4627-97EC-29F23EFBF4FA}">
            <xm:f>SelectionCriteria!$A$2</xm:f>
            <x14:dxf>
              <font>
                <color theme="0"/>
              </font>
              <fill>
                <patternFill>
                  <bgColor rgb="FFFF0000"/>
                </patternFill>
              </fill>
            </x14:dxf>
          </x14:cfRule>
          <xm:sqref>Z20</xm:sqref>
        </x14:conditionalFormatting>
        <x14:conditionalFormatting xmlns:xm="http://schemas.microsoft.com/office/excel/2006/main">
          <x14:cfRule type="cellIs" priority="1886" operator="equal" id="{0174212A-A07D-492C-A564-025073FA679A}">
            <xm:f>SelectionCriteria!$A$5</xm:f>
            <x14:dxf>
              <fill>
                <patternFill>
                  <bgColor rgb="FF00B050"/>
                </patternFill>
              </fill>
            </x14:dxf>
          </x14:cfRule>
          <x14:cfRule type="cellIs" priority="1887" operator="equal" id="{6DF474FC-DC05-4669-9808-F79B58F567EA}">
            <xm:f>SelectionCriteria!$A$4</xm:f>
            <x14:dxf>
              <fill>
                <patternFill>
                  <bgColor rgb="FFFFFF00"/>
                </patternFill>
              </fill>
            </x14:dxf>
          </x14:cfRule>
          <x14:cfRule type="cellIs" priority="1888" operator="equal" id="{AE10C4E5-8595-4CF9-96F2-50D1D892BD3B}">
            <xm:f>SelectionCriteria!$A$3</xm:f>
            <x14:dxf>
              <fill>
                <patternFill>
                  <bgColor rgb="FFFFC000"/>
                </patternFill>
              </fill>
            </x14:dxf>
          </x14:cfRule>
          <x14:cfRule type="cellIs" priority="1889" operator="equal" id="{34080E04-F98F-459D-8254-3A7E17EA670B}">
            <xm:f>SelectionCriteria!$A$2</xm:f>
            <x14:dxf>
              <font>
                <color theme="0"/>
              </font>
              <fill>
                <patternFill>
                  <bgColor rgb="FFFF0000"/>
                </patternFill>
              </fill>
            </x14:dxf>
          </x14:cfRule>
          <xm:sqref>Z33</xm:sqref>
        </x14:conditionalFormatting>
        <x14:conditionalFormatting xmlns:xm="http://schemas.microsoft.com/office/excel/2006/main">
          <x14:cfRule type="cellIs" priority="1882" operator="equal" id="{E597D963-0BDB-4FAE-ABFD-63BC64B24075}">
            <xm:f>SelectionCriteria!$A$5</xm:f>
            <x14:dxf>
              <fill>
                <patternFill>
                  <bgColor rgb="FF00B050"/>
                </patternFill>
              </fill>
            </x14:dxf>
          </x14:cfRule>
          <x14:cfRule type="cellIs" priority="1883" operator="equal" id="{58293C7F-8FF3-414F-84E7-72A591521377}">
            <xm:f>SelectionCriteria!$A$4</xm:f>
            <x14:dxf>
              <fill>
                <patternFill>
                  <bgColor rgb="FFFFFF00"/>
                </patternFill>
              </fill>
            </x14:dxf>
          </x14:cfRule>
          <x14:cfRule type="cellIs" priority="1884" operator="equal" id="{14D63816-A0B1-47BB-8EF9-3D7723979F56}">
            <xm:f>SelectionCriteria!$A$3</xm:f>
            <x14:dxf>
              <fill>
                <patternFill>
                  <bgColor rgb="FFFFC000"/>
                </patternFill>
              </fill>
            </x14:dxf>
          </x14:cfRule>
          <x14:cfRule type="cellIs" priority="1885" operator="equal" id="{3B514AC4-4802-4CE4-B75D-B62352BC8A9A}">
            <xm:f>SelectionCriteria!$A$2</xm:f>
            <x14:dxf>
              <font>
                <color theme="0"/>
              </font>
              <fill>
                <patternFill>
                  <bgColor rgb="FFFF0000"/>
                </patternFill>
              </fill>
            </x14:dxf>
          </x14:cfRule>
          <xm:sqref>Z32</xm:sqref>
        </x14:conditionalFormatting>
        <x14:conditionalFormatting xmlns:xm="http://schemas.microsoft.com/office/excel/2006/main">
          <x14:cfRule type="cellIs" priority="1876" operator="equal" id="{AFFB98DC-8AD3-4037-9699-03D5EEC921D9}">
            <xm:f>SelectionCriteria!$A$5</xm:f>
            <x14:dxf>
              <fill>
                <patternFill>
                  <bgColor rgb="FF00B050"/>
                </patternFill>
              </fill>
            </x14:dxf>
          </x14:cfRule>
          <x14:cfRule type="cellIs" priority="1877" operator="equal" id="{76AD5232-8E6A-4B65-B877-FBC7E9B9C4C8}">
            <xm:f>SelectionCriteria!$A$4</xm:f>
            <x14:dxf>
              <fill>
                <patternFill>
                  <bgColor rgb="FFFFFF00"/>
                </patternFill>
              </fill>
            </x14:dxf>
          </x14:cfRule>
          <x14:cfRule type="cellIs" priority="1878" operator="equal" id="{0F3421B3-03E8-444B-84A8-F18936609A7B}">
            <xm:f>SelectionCriteria!$A$3</xm:f>
            <x14:dxf>
              <fill>
                <patternFill>
                  <bgColor rgb="FFFFC000"/>
                </patternFill>
              </fill>
            </x14:dxf>
          </x14:cfRule>
          <x14:cfRule type="cellIs" priority="1879" operator="equal" id="{83B7200A-A63F-4749-9B0E-081A95332FB0}">
            <xm:f>SelectionCriteria!$A$2</xm:f>
            <x14:dxf>
              <font>
                <color theme="0"/>
              </font>
              <fill>
                <patternFill>
                  <bgColor rgb="FFFF0000"/>
                </patternFill>
              </fill>
            </x14:dxf>
          </x14:cfRule>
          <xm:sqref>Z13</xm:sqref>
        </x14:conditionalFormatting>
        <x14:conditionalFormatting xmlns:xm="http://schemas.microsoft.com/office/excel/2006/main">
          <x14:cfRule type="cellIs" priority="1872" operator="equal" id="{A8CD466D-2141-43BD-A70A-094E46B73384}">
            <xm:f>SelectionCriteria!$A$5</xm:f>
            <x14:dxf>
              <fill>
                <patternFill>
                  <bgColor rgb="FF00B050"/>
                </patternFill>
              </fill>
            </x14:dxf>
          </x14:cfRule>
          <x14:cfRule type="cellIs" priority="1873" operator="equal" id="{EA08F2FF-9178-4A05-8170-054544A3D433}">
            <xm:f>SelectionCriteria!$A$4</xm:f>
            <x14:dxf>
              <fill>
                <patternFill>
                  <bgColor rgb="FFFFFF00"/>
                </patternFill>
              </fill>
            </x14:dxf>
          </x14:cfRule>
          <x14:cfRule type="cellIs" priority="1874" operator="equal" id="{4E8172BA-DAAD-4341-BF3A-E01BD70E5A05}">
            <xm:f>SelectionCriteria!$A$3</xm:f>
            <x14:dxf>
              <fill>
                <patternFill>
                  <bgColor rgb="FFFFC000"/>
                </patternFill>
              </fill>
            </x14:dxf>
          </x14:cfRule>
          <x14:cfRule type="cellIs" priority="1875" operator="equal" id="{4CB9914D-BEB8-492A-9755-E837378FFC60}">
            <xm:f>SelectionCriteria!$A$2</xm:f>
            <x14:dxf>
              <font>
                <color theme="0"/>
              </font>
              <fill>
                <patternFill>
                  <bgColor rgb="FFFF0000"/>
                </patternFill>
              </fill>
            </x14:dxf>
          </x14:cfRule>
          <xm:sqref>Z11</xm:sqref>
        </x14:conditionalFormatting>
        <x14:conditionalFormatting xmlns:xm="http://schemas.microsoft.com/office/excel/2006/main">
          <x14:cfRule type="cellIs" priority="1868" operator="equal" id="{9118491A-CAE5-421A-8A3F-3C811117947A}">
            <xm:f>SelectionCriteria!$A$5</xm:f>
            <x14:dxf>
              <fill>
                <patternFill>
                  <bgColor rgb="FF00B050"/>
                </patternFill>
              </fill>
            </x14:dxf>
          </x14:cfRule>
          <x14:cfRule type="cellIs" priority="1869" operator="equal" id="{6D29457D-B805-46E9-A0F6-A8CF5EB859EB}">
            <xm:f>SelectionCriteria!$A$4</xm:f>
            <x14:dxf>
              <fill>
                <patternFill>
                  <bgColor rgb="FFFFFF00"/>
                </patternFill>
              </fill>
            </x14:dxf>
          </x14:cfRule>
          <x14:cfRule type="cellIs" priority="1870" operator="equal" id="{E9B340EB-239B-4BBE-8DAF-3E3FDABBBD57}">
            <xm:f>SelectionCriteria!$A$3</xm:f>
            <x14:dxf>
              <fill>
                <patternFill>
                  <bgColor rgb="FFFFC000"/>
                </patternFill>
              </fill>
            </x14:dxf>
          </x14:cfRule>
          <x14:cfRule type="cellIs" priority="1871" operator="equal" id="{F3235AB2-9456-4E17-AD65-A0A53A08C3B1}">
            <xm:f>SelectionCriteria!$A$2</xm:f>
            <x14:dxf>
              <font>
                <color theme="0"/>
              </font>
              <fill>
                <patternFill>
                  <bgColor rgb="FFFF0000"/>
                </patternFill>
              </fill>
            </x14:dxf>
          </x14:cfRule>
          <xm:sqref>AB11:AG11</xm:sqref>
        </x14:conditionalFormatting>
        <x14:conditionalFormatting xmlns:xm="http://schemas.microsoft.com/office/excel/2006/main">
          <x14:cfRule type="expression" priority="1834" id="{83233F69-522C-4B91-BD58-E12AEE736CAD}">
            <xm:f>$M69&lt;='\Users\ericmannel\Library\Containers\com.microsoft.Excel\Data\Documents\Users\isourikova\CD-2\RISK ANALYSIS\[CD-2 Risk Register Mar 1 2019.xlsx]SelectionCriteria'!#REF!</xm:f>
            <x14:dxf>
              <fill>
                <patternFill>
                  <bgColor rgb="FF00B050"/>
                </patternFill>
              </fill>
            </x14:dxf>
          </x14:cfRule>
          <x14:cfRule type="expression" priority="1835" id="{6821FBD6-2DD9-4B63-89DD-ACDB07FE1CF6}">
            <xm:f>$M69&lt;='\Users\ericmannel\Library\Containers\com.microsoft.Excel\Data\Documents\Users\isourikova\CD-2\RISK ANALYSIS\[CD-2 Risk Register Mar 1 2019.xlsx]SelectionCriteria'!#REF!</xm:f>
            <x14:dxf>
              <fill>
                <patternFill>
                  <bgColor rgb="FFFFFF00"/>
                </patternFill>
              </fill>
            </x14:dxf>
          </x14:cfRule>
          <x14:cfRule type="expression" priority="1836" id="{83AC840E-DE27-4AE5-BD38-947661853CA1}">
            <xm:f>$M69&lt;='\Users\ericmannel\Library\Containers\com.microsoft.Excel\Data\Documents\Users\isourikova\CD-2\RISK ANALYSIS\[CD-2 Risk Register Mar 1 2019.xlsx]SelectionCriteria'!#REF!</xm:f>
            <x14:dxf>
              <fill>
                <patternFill>
                  <bgColor rgb="FFFFC000"/>
                </patternFill>
              </fill>
            </x14:dxf>
          </x14:cfRule>
          <x14:cfRule type="expression" priority="1837" id="{DA390C40-72EC-4D7E-A271-C89C67158D9C}">
            <xm:f>$M69&gt;'\Users\ericmannel\Library\Containers\com.microsoft.Excel\Data\Documents\Users\isourikova\CD-2\RISK ANALYSIS\[CD-2 Risk Register Mar 1 2019.xlsx]SelectionCriteria'!#REF!</xm:f>
            <x14:dxf>
              <font>
                <color theme="0"/>
              </font>
              <fill>
                <patternFill>
                  <bgColor rgb="FFFF0000"/>
                </patternFill>
              </fill>
            </x14:dxf>
          </x14:cfRule>
          <xm:sqref>M69</xm:sqref>
        </x14:conditionalFormatting>
        <x14:conditionalFormatting xmlns:xm="http://schemas.microsoft.com/office/excel/2006/main">
          <x14:cfRule type="cellIs" priority="1850" operator="equal" id="{E61F518E-8158-4CE3-B487-F2749A4D7AC3}">
            <xm:f>'\Users\ericmannel\Library\Containers\com.microsoft.Excel\Data\Documents\Users\isourikova\CD-2\RISK ANALYSIS\[CD-2 Risk Register Mar 1 2019.xlsx]SelectionCriteria'!#REF!</xm:f>
            <x14:dxf>
              <fill>
                <patternFill>
                  <bgColor rgb="FF00B050"/>
                </patternFill>
              </fill>
            </x14:dxf>
          </x14:cfRule>
          <x14:cfRule type="cellIs" priority="1851" operator="equal" id="{43549984-A820-4C88-ACD2-043ED2808EC7}">
            <xm:f>'\Users\ericmannel\Library\Containers\com.microsoft.Excel\Data\Documents\Users\isourikova\CD-2\RISK ANALYSIS\[CD-2 Risk Register Mar 1 2019.xlsx]SelectionCriteria'!#REF!</xm:f>
            <x14:dxf>
              <fill>
                <patternFill>
                  <bgColor rgb="FFFFFF00"/>
                </patternFill>
              </fill>
            </x14:dxf>
          </x14:cfRule>
          <x14:cfRule type="cellIs" priority="1852" operator="equal" id="{CEC02A94-EAE0-4C67-BFE6-D17B94627CB7}">
            <xm:f>'\Users\ericmannel\Library\Containers\com.microsoft.Excel\Data\Documents\Users\isourikova\CD-2\RISK ANALYSIS\[CD-2 Risk Register Mar 1 2019.xlsx]SelectionCriteria'!#REF!</xm:f>
            <x14:dxf>
              <fill>
                <patternFill>
                  <bgColor rgb="FFFFC000"/>
                </patternFill>
              </fill>
            </x14:dxf>
          </x14:cfRule>
          <x14:cfRule type="cellIs" priority="1853" operator="equal" id="{97F5DA98-1ADA-4C49-B5AD-B0821FB40689}">
            <xm:f>'\Users\ericmannel\Library\Containers\com.microsoft.Excel\Data\Documents\Users\isourikova\CD-2\RISK ANALYSIS\[CD-2 Risk Register Mar 1 2019.xlsx]SelectionCriteria'!#REF!</xm:f>
            <x14:dxf>
              <font>
                <color theme="0"/>
              </font>
              <fill>
                <patternFill>
                  <bgColor rgb="FFFF0000"/>
                </patternFill>
              </fill>
            </x14:dxf>
          </x14:cfRule>
          <xm:sqref>K69:L69</xm:sqref>
        </x14:conditionalFormatting>
        <x14:conditionalFormatting xmlns:xm="http://schemas.microsoft.com/office/excel/2006/main">
          <x14:cfRule type="expression" priority="1794" id="{B159660F-3B99-4890-9910-341623C7C336}">
            <xm:f>$M70&lt;='\Users\ericmannel\Library\Containers\com.microsoft.Excel\Data\Documents\Users\isourikova\CD-2\RISK ANALYSIS\[CD-2 Risk Register Mar 1 2019.xlsx]SelectionCriteria'!#REF!</xm:f>
            <x14:dxf>
              <fill>
                <patternFill>
                  <bgColor rgb="FF00B050"/>
                </patternFill>
              </fill>
            </x14:dxf>
          </x14:cfRule>
          <x14:cfRule type="expression" priority="1795" id="{BB3185D8-AFDC-483C-8274-F1A2DF26FF5D}">
            <xm:f>$M70&lt;='\Users\ericmannel\Library\Containers\com.microsoft.Excel\Data\Documents\Users\isourikova\CD-2\RISK ANALYSIS\[CD-2 Risk Register Mar 1 2019.xlsx]SelectionCriteria'!#REF!</xm:f>
            <x14:dxf>
              <fill>
                <patternFill>
                  <bgColor rgb="FFFFFF00"/>
                </patternFill>
              </fill>
            </x14:dxf>
          </x14:cfRule>
          <x14:cfRule type="expression" priority="1796" id="{5F3694A1-1C84-4A42-AFE6-392BED3BE074}">
            <xm:f>$M70&lt;='\Users\ericmannel\Library\Containers\com.microsoft.Excel\Data\Documents\Users\isourikova\CD-2\RISK ANALYSIS\[CD-2 Risk Register Mar 1 2019.xlsx]SelectionCriteria'!#REF!</xm:f>
            <x14:dxf>
              <fill>
                <patternFill>
                  <bgColor rgb="FFFFC000"/>
                </patternFill>
              </fill>
            </x14:dxf>
          </x14:cfRule>
          <x14:cfRule type="expression" priority="1797" id="{D423700B-C5ED-4A59-8272-8CE9255B0F52}">
            <xm:f>$M70&gt;'\Users\ericmannel\Library\Containers\com.microsoft.Excel\Data\Documents\Users\isourikova\CD-2\RISK ANALYSIS\[CD-2 Risk Register Mar 1 2019.xlsx]SelectionCriteria'!#REF!</xm:f>
            <x14:dxf>
              <font>
                <color theme="0"/>
              </font>
              <fill>
                <patternFill>
                  <bgColor rgb="FFFF0000"/>
                </patternFill>
              </fill>
            </x14:dxf>
          </x14:cfRule>
          <xm:sqref>M70</xm:sqref>
        </x14:conditionalFormatting>
        <x14:conditionalFormatting xmlns:xm="http://schemas.microsoft.com/office/excel/2006/main">
          <x14:cfRule type="cellIs" priority="1810" operator="equal" id="{3120D095-C5FF-474E-B324-408BC0706960}">
            <xm:f>'\Users\ericmannel\Library\Containers\com.microsoft.Excel\Data\Documents\Users\isourikova\CD-2\RISK ANALYSIS\[CD-2 Risk Register Mar 1 2019.xlsx]SelectionCriteria'!#REF!</xm:f>
            <x14:dxf>
              <fill>
                <patternFill>
                  <bgColor rgb="FF00B050"/>
                </patternFill>
              </fill>
            </x14:dxf>
          </x14:cfRule>
          <x14:cfRule type="cellIs" priority="1811" operator="equal" id="{2663B9EA-6A38-492F-B1DE-DB7DEB643D6A}">
            <xm:f>'\Users\ericmannel\Library\Containers\com.microsoft.Excel\Data\Documents\Users\isourikova\CD-2\RISK ANALYSIS\[CD-2 Risk Register Mar 1 2019.xlsx]SelectionCriteria'!#REF!</xm:f>
            <x14:dxf>
              <fill>
                <patternFill>
                  <bgColor rgb="FFFFFF00"/>
                </patternFill>
              </fill>
            </x14:dxf>
          </x14:cfRule>
          <x14:cfRule type="cellIs" priority="1812" operator="equal" id="{CC38BF6C-65B9-4E8A-A887-ACCE28F92FCD}">
            <xm:f>'\Users\ericmannel\Library\Containers\com.microsoft.Excel\Data\Documents\Users\isourikova\CD-2\RISK ANALYSIS\[CD-2 Risk Register Mar 1 2019.xlsx]SelectionCriteria'!#REF!</xm:f>
            <x14:dxf>
              <fill>
                <patternFill>
                  <bgColor rgb="FFFFC000"/>
                </patternFill>
              </fill>
            </x14:dxf>
          </x14:cfRule>
          <x14:cfRule type="cellIs" priority="1813" operator="equal" id="{A3641B9D-B2F5-4AFE-8098-8B6B99419376}">
            <xm:f>'\Users\ericmannel\Library\Containers\com.microsoft.Excel\Data\Documents\Users\isourikova\CD-2\RISK ANALYSIS\[CD-2 Risk Register Mar 1 2019.xlsx]SelectionCriteria'!#REF!</xm:f>
            <x14:dxf>
              <font>
                <color theme="0"/>
              </font>
              <fill>
                <patternFill>
                  <bgColor rgb="FFFF0000"/>
                </patternFill>
              </fill>
            </x14:dxf>
          </x14:cfRule>
          <xm:sqref>K70:L70</xm:sqref>
        </x14:conditionalFormatting>
        <x14:conditionalFormatting xmlns:xm="http://schemas.microsoft.com/office/excel/2006/main">
          <x14:cfRule type="cellIs" priority="1786" operator="equal" id="{D2C29F17-2A30-4838-AA14-EE1B61EC2703}">
            <xm:f>'\Users\ericmannel\Library\Containers\com.microsoft.Excel\Data\Documents\Users\isourikova\CD-2\RISK ANALYSIS\[CD-2 Risk Register Mar 1 2019.xlsx]SelectionCriteria'!#REF!</xm:f>
            <x14:dxf>
              <fill>
                <patternFill>
                  <bgColor rgb="FF00B050"/>
                </patternFill>
              </fill>
            </x14:dxf>
          </x14:cfRule>
          <x14:cfRule type="cellIs" priority="1787" operator="equal" id="{0B59BD0A-D791-4828-9556-7CB34449A99D}">
            <xm:f>'\Users\ericmannel\Library\Containers\com.microsoft.Excel\Data\Documents\Users\isourikova\CD-2\RISK ANALYSIS\[CD-2 Risk Register Mar 1 2019.xlsx]SelectionCriteria'!#REF!</xm:f>
            <x14:dxf>
              <fill>
                <patternFill>
                  <bgColor rgb="FFFFFF00"/>
                </patternFill>
              </fill>
            </x14:dxf>
          </x14:cfRule>
          <x14:cfRule type="cellIs" priority="1788" operator="equal" id="{A25AB9B6-B343-4263-AEDE-DB51C1C86046}">
            <xm:f>'\Users\ericmannel\Library\Containers\com.microsoft.Excel\Data\Documents\Users\isourikova\CD-2\RISK ANALYSIS\[CD-2 Risk Register Mar 1 2019.xlsx]SelectionCriteria'!#REF!</xm:f>
            <x14:dxf>
              <fill>
                <patternFill>
                  <bgColor rgb="FFFFC000"/>
                </patternFill>
              </fill>
            </x14:dxf>
          </x14:cfRule>
          <x14:cfRule type="cellIs" priority="1789" operator="equal" id="{56805DAF-73D8-4696-834C-63B36DDE771A}">
            <xm:f>'\Users\ericmannel\Library\Containers\com.microsoft.Excel\Data\Documents\Users\isourikova\CD-2\RISK ANALYSIS\[CD-2 Risk Register Mar 1 2019.xlsx]SelectionCriteria'!#REF!</xm:f>
            <x14:dxf>
              <font>
                <color theme="0"/>
              </font>
              <fill>
                <patternFill>
                  <bgColor rgb="FFFF0000"/>
                </patternFill>
              </fill>
            </x14:dxf>
          </x14:cfRule>
          <xm:sqref>AA69:AA70</xm:sqref>
        </x14:conditionalFormatting>
        <x14:conditionalFormatting xmlns:xm="http://schemas.microsoft.com/office/excel/2006/main">
          <x14:cfRule type="expression" priority="1736" id="{B64F3801-1353-431A-8A5A-6281819396F9}">
            <xm:f>$M75&lt;='\Users\ericmannel\Library\Containers\com.microsoft.Excel\Data\Documents\Users\isourikova\AppData\Local\Packages\Microsoft.MicrosoftEdge_8wekyb3d8bbwe\TempState\Downloads\[CD-2 Risk Register Dec 15 (1).xlsx]SelectionCriteria'!#REF!</xm:f>
            <x14:dxf>
              <fill>
                <patternFill>
                  <bgColor rgb="FF00B050"/>
                </patternFill>
              </fill>
            </x14:dxf>
          </x14:cfRule>
          <x14:cfRule type="expression" priority="1737" id="{97A8FB75-2332-4630-8FF5-9646BCEE7330}">
            <xm:f>$M75&lt;='\Users\ericmannel\Library\Containers\com.microsoft.Excel\Data\Documents\Users\isourikova\AppData\Local\Packages\Microsoft.MicrosoftEdge_8wekyb3d8bbwe\TempState\Downloads\[CD-2 Risk Register Dec 15 (1).xlsx]SelectionCriteria'!#REF!</xm:f>
            <x14:dxf>
              <fill>
                <patternFill>
                  <bgColor rgb="FFFFFF00"/>
                </patternFill>
              </fill>
            </x14:dxf>
          </x14:cfRule>
          <x14:cfRule type="expression" priority="1738" id="{1C66070A-34CC-418B-A72C-C7A886FE1C06}">
            <xm:f>$M75&lt;='\Users\ericmannel\Library\Containers\com.microsoft.Excel\Data\Documents\Users\isourikova\AppData\Local\Packages\Microsoft.MicrosoftEdge_8wekyb3d8bbwe\TempState\Downloads\[CD-2 Risk Register Dec 15 (1).xlsx]SelectionCriteria'!#REF!</xm:f>
            <x14:dxf>
              <fill>
                <patternFill>
                  <bgColor rgb="FFFFC000"/>
                </patternFill>
              </fill>
            </x14:dxf>
          </x14:cfRule>
          <x14:cfRule type="expression" priority="1739" id="{97A2ECB2-7AD2-4FF8-97B7-39EF6DBD208E}">
            <xm:f>$M75&gt;'\Users\ericmannel\Library\Containers\com.microsoft.Excel\Data\Documents\Users\isourikova\AppData\Local\Packages\Microsoft.MicrosoftEdge_8wekyb3d8bbwe\TempState\Downloads\[CD-2 Risk Register Dec 15 (1).xlsx]SelectionCriteria'!#REF!</xm:f>
            <x14:dxf>
              <font>
                <color theme="0"/>
              </font>
              <fill>
                <patternFill>
                  <bgColor rgb="FFFF0000"/>
                </patternFill>
              </fill>
            </x14:dxf>
          </x14:cfRule>
          <xm:sqref>M75:M76</xm:sqref>
        </x14:conditionalFormatting>
        <x14:conditionalFormatting xmlns:xm="http://schemas.microsoft.com/office/excel/2006/main">
          <x14:cfRule type="cellIs" priority="1756" operator="equal" id="{71311991-DD97-4566-B237-6E59F6BC6B71}">
            <xm:f>'\Users\ericmannel\Library\Containers\com.microsoft.Excel\Data\Documents\Users\isourikova\AppData\Local\Packages\Microsoft.MicrosoftEdge_8wekyb3d8bbwe\TempState\Downloads\[CD-2 Risk Register Dec 15 (1).xlsx]SelectionCriteria'!#REF!</xm:f>
            <x14:dxf>
              <fill>
                <patternFill>
                  <bgColor rgb="FF00B050"/>
                </patternFill>
              </fill>
            </x14:dxf>
          </x14:cfRule>
          <x14:cfRule type="cellIs" priority="1757" operator="equal" id="{3B9A0E1C-FA40-49DB-9788-C2F8FB678FFB}">
            <xm:f>'\Users\ericmannel\Library\Containers\com.microsoft.Excel\Data\Documents\Users\isourikova\AppData\Local\Packages\Microsoft.MicrosoftEdge_8wekyb3d8bbwe\TempState\Downloads\[CD-2 Risk Register Dec 15 (1).xlsx]SelectionCriteria'!#REF!</xm:f>
            <x14:dxf>
              <fill>
                <patternFill>
                  <bgColor rgb="FFFFFF00"/>
                </patternFill>
              </fill>
            </x14:dxf>
          </x14:cfRule>
          <x14:cfRule type="cellIs" priority="1758" operator="equal" id="{29951DC1-301D-4B6C-8087-AC0F312BB609}">
            <xm:f>'\Users\ericmannel\Library\Containers\com.microsoft.Excel\Data\Documents\Users\isourikova\AppData\Local\Packages\Microsoft.MicrosoftEdge_8wekyb3d8bbwe\TempState\Downloads\[CD-2 Risk Register Dec 15 (1).xlsx]SelectionCriteria'!#REF!</xm:f>
            <x14:dxf>
              <fill>
                <patternFill>
                  <bgColor rgb="FFFFC000"/>
                </patternFill>
              </fill>
            </x14:dxf>
          </x14:cfRule>
          <x14:cfRule type="cellIs" priority="1759" operator="equal" id="{CE639A4A-BEF2-4453-924D-98B3363A523C}">
            <xm:f>'\Users\ericmannel\Library\Containers\com.microsoft.Excel\Data\Documents\Users\isourikova\AppData\Local\Packages\Microsoft.MicrosoftEdge_8wekyb3d8bbwe\TempState\Downloads\[CD-2 Risk Register Dec 15 (1).xlsx]SelectionCriteria'!#REF!</xm:f>
            <x14:dxf>
              <font>
                <color theme="0"/>
              </font>
              <fill>
                <patternFill>
                  <bgColor rgb="FFFF0000"/>
                </patternFill>
              </fill>
            </x14:dxf>
          </x14:cfRule>
          <xm:sqref>K75:L76</xm:sqref>
        </x14:conditionalFormatting>
        <x14:conditionalFormatting xmlns:xm="http://schemas.microsoft.com/office/excel/2006/main">
          <x14:cfRule type="cellIs" priority="1752" operator="equal" id="{6C5DF829-00F7-4623-9E25-9DF007EC0E6C}">
            <xm:f>'\Users\ericmannel\Library\Containers\com.microsoft.Excel\Data\Documents\Users\isourikova\AppData\Local\Packages\Microsoft.MicrosoftEdge_8wekyb3d8bbwe\TempState\Downloads\[CD-2 Risk Register Dec 15 (1).xlsx]SelectionCriteria'!#REF!</xm:f>
            <x14:dxf>
              <fill>
                <patternFill>
                  <bgColor rgb="FF00B050"/>
                </patternFill>
              </fill>
            </x14:dxf>
          </x14:cfRule>
          <x14:cfRule type="cellIs" priority="1753" operator="equal" id="{8D6F2BD3-9C75-45FE-B474-B3CEF8CC39BB}">
            <xm:f>'\Users\ericmannel\Library\Containers\com.microsoft.Excel\Data\Documents\Users\isourikova\AppData\Local\Packages\Microsoft.MicrosoftEdge_8wekyb3d8bbwe\TempState\Downloads\[CD-2 Risk Register Dec 15 (1).xlsx]SelectionCriteria'!#REF!</xm:f>
            <x14:dxf>
              <fill>
                <patternFill>
                  <bgColor rgb="FFFFFF00"/>
                </patternFill>
              </fill>
            </x14:dxf>
          </x14:cfRule>
          <x14:cfRule type="cellIs" priority="1754" operator="equal" id="{6DD9C643-6827-4AB5-A92E-F814DF0B7106}">
            <xm:f>'\Users\ericmannel\Library\Containers\com.microsoft.Excel\Data\Documents\Users\isourikova\AppData\Local\Packages\Microsoft.MicrosoftEdge_8wekyb3d8bbwe\TempState\Downloads\[CD-2 Risk Register Dec 15 (1).xlsx]SelectionCriteria'!#REF!</xm:f>
            <x14:dxf>
              <fill>
                <patternFill>
                  <bgColor rgb="FFFFC000"/>
                </patternFill>
              </fill>
            </x14:dxf>
          </x14:cfRule>
          <x14:cfRule type="cellIs" priority="1755" operator="equal" id="{A1F61241-A845-440C-984A-0993E466C509}">
            <xm:f>'\Users\ericmannel\Library\Containers\com.microsoft.Excel\Data\Documents\Users\isourikova\AppData\Local\Packages\Microsoft.MicrosoftEdge_8wekyb3d8bbwe\TempState\Downloads\[CD-2 Risk Register Dec 15 (1).xlsx]SelectionCriteria'!#REF!</xm:f>
            <x14:dxf>
              <font>
                <color theme="0"/>
              </font>
              <fill>
                <patternFill>
                  <bgColor rgb="FFFF0000"/>
                </patternFill>
              </fill>
            </x14:dxf>
          </x14:cfRule>
          <xm:sqref>AA75:AA76</xm:sqref>
        </x14:conditionalFormatting>
        <x14:conditionalFormatting xmlns:xm="http://schemas.microsoft.com/office/excel/2006/main">
          <x14:cfRule type="expression" priority="1648" id="{47ACC2F9-A647-40C1-AD2D-30270DF1789E}">
            <xm:f>$M82&lt;='\Users\ericmannel\Library\Containers\com.microsoft.Excel\Data\Documents\Users\isourikova\AppData\Local\Packages\Microsoft.MicrosoftEdge_8wekyb3d8bbwe\TempState\Downloads\[CD-2 Risk Register Dec 15 (1).xlsx]SelectionCriteria'!#REF!</xm:f>
            <x14:dxf>
              <fill>
                <patternFill>
                  <bgColor rgb="FF00B050"/>
                </patternFill>
              </fill>
            </x14:dxf>
          </x14:cfRule>
          <x14:cfRule type="expression" priority="1649" id="{A4A755FA-28F9-4A6B-8844-6405032607D2}">
            <xm:f>$M82&lt;='\Users\ericmannel\Library\Containers\com.microsoft.Excel\Data\Documents\Users\isourikova\AppData\Local\Packages\Microsoft.MicrosoftEdge_8wekyb3d8bbwe\TempState\Downloads\[CD-2 Risk Register Dec 15 (1).xlsx]SelectionCriteria'!#REF!</xm:f>
            <x14:dxf>
              <fill>
                <patternFill>
                  <bgColor rgb="FFFFFF00"/>
                </patternFill>
              </fill>
            </x14:dxf>
          </x14:cfRule>
          <x14:cfRule type="expression" priority="1650" id="{DBA4287C-725F-4E73-A2F6-2D08D7A0D8CA}">
            <xm:f>$M82&lt;='\Users\ericmannel\Library\Containers\com.microsoft.Excel\Data\Documents\Users\isourikova\AppData\Local\Packages\Microsoft.MicrosoftEdge_8wekyb3d8bbwe\TempState\Downloads\[CD-2 Risk Register Dec 15 (1).xlsx]SelectionCriteria'!#REF!</xm:f>
            <x14:dxf>
              <fill>
                <patternFill>
                  <bgColor rgb="FFFFC000"/>
                </patternFill>
              </fill>
            </x14:dxf>
          </x14:cfRule>
          <x14:cfRule type="expression" priority="1651" id="{E0C3A373-FD8E-4FB5-A3B6-F232CC5AF0B3}">
            <xm:f>$M82&gt;'\Users\ericmannel\Library\Containers\com.microsoft.Excel\Data\Documents\Users\isourikova\AppData\Local\Packages\Microsoft.MicrosoftEdge_8wekyb3d8bbwe\TempState\Downloads\[CD-2 Risk Register Dec 15 (1).xlsx]SelectionCriteria'!#REF!</xm:f>
            <x14:dxf>
              <font>
                <color theme="0"/>
              </font>
              <fill>
                <patternFill>
                  <bgColor rgb="FFFF0000"/>
                </patternFill>
              </fill>
            </x14:dxf>
          </x14:cfRule>
          <xm:sqref>M82:M83</xm:sqref>
        </x14:conditionalFormatting>
        <x14:conditionalFormatting xmlns:xm="http://schemas.microsoft.com/office/excel/2006/main">
          <x14:cfRule type="cellIs" priority="1668" operator="equal" id="{883CB8EE-1519-49D2-8544-69790B04D31E}">
            <xm:f>'\Users\ericmannel\Library\Containers\com.microsoft.Excel\Data\Documents\Users\isourikova\AppData\Local\Packages\Microsoft.MicrosoftEdge_8wekyb3d8bbwe\TempState\Downloads\[CD-2 Risk Register Dec 15 (1).xlsx]SelectionCriteria'!#REF!</xm:f>
            <x14:dxf>
              <fill>
                <patternFill>
                  <bgColor rgb="FF00B050"/>
                </patternFill>
              </fill>
            </x14:dxf>
          </x14:cfRule>
          <x14:cfRule type="cellIs" priority="1669" operator="equal" id="{D110CED7-68A4-4A24-92A2-05E18606B4BD}">
            <xm:f>'\Users\ericmannel\Library\Containers\com.microsoft.Excel\Data\Documents\Users\isourikova\AppData\Local\Packages\Microsoft.MicrosoftEdge_8wekyb3d8bbwe\TempState\Downloads\[CD-2 Risk Register Dec 15 (1).xlsx]SelectionCriteria'!#REF!</xm:f>
            <x14:dxf>
              <fill>
                <patternFill>
                  <bgColor rgb="FFFFFF00"/>
                </patternFill>
              </fill>
            </x14:dxf>
          </x14:cfRule>
          <x14:cfRule type="cellIs" priority="1670" operator="equal" id="{BDC2B8D5-EEC4-40AD-B15B-72C618EEDA61}">
            <xm:f>'\Users\ericmannel\Library\Containers\com.microsoft.Excel\Data\Documents\Users\isourikova\AppData\Local\Packages\Microsoft.MicrosoftEdge_8wekyb3d8bbwe\TempState\Downloads\[CD-2 Risk Register Dec 15 (1).xlsx]SelectionCriteria'!#REF!</xm:f>
            <x14:dxf>
              <fill>
                <patternFill>
                  <bgColor rgb="FFFFC000"/>
                </patternFill>
              </fill>
            </x14:dxf>
          </x14:cfRule>
          <x14:cfRule type="cellIs" priority="1671" operator="equal" id="{54771FF7-346B-4970-A501-1063620D676A}">
            <xm:f>'\Users\ericmannel\Library\Containers\com.microsoft.Excel\Data\Documents\Users\isourikova\AppData\Local\Packages\Microsoft.MicrosoftEdge_8wekyb3d8bbwe\TempState\Downloads\[CD-2 Risk Register Dec 15 (1).xlsx]SelectionCriteria'!#REF!</xm:f>
            <x14:dxf>
              <font>
                <color theme="0"/>
              </font>
              <fill>
                <patternFill>
                  <bgColor rgb="FFFF0000"/>
                </patternFill>
              </fill>
            </x14:dxf>
          </x14:cfRule>
          <xm:sqref>L82:L83</xm:sqref>
        </x14:conditionalFormatting>
        <x14:conditionalFormatting xmlns:xm="http://schemas.microsoft.com/office/excel/2006/main">
          <x14:cfRule type="cellIs" priority="1664" operator="equal" id="{71E67DD4-2ADE-4A4A-A353-335C0A102E61}">
            <xm:f>'\Users\ericmannel\Library\Containers\com.microsoft.Excel\Data\Documents\Users\isourikova\AppData\Local\Packages\Microsoft.MicrosoftEdge_8wekyb3d8bbwe\TempState\Downloads\[CD-2 Risk Register Dec 15 (1).xlsx]SelectionCriteria'!#REF!</xm:f>
            <x14:dxf>
              <fill>
                <patternFill>
                  <bgColor rgb="FF00B050"/>
                </patternFill>
              </fill>
            </x14:dxf>
          </x14:cfRule>
          <x14:cfRule type="cellIs" priority="1665" operator="equal" id="{A9954CD5-30FF-40F7-9092-588BA4137170}">
            <xm:f>'\Users\ericmannel\Library\Containers\com.microsoft.Excel\Data\Documents\Users\isourikova\AppData\Local\Packages\Microsoft.MicrosoftEdge_8wekyb3d8bbwe\TempState\Downloads\[CD-2 Risk Register Dec 15 (1).xlsx]SelectionCriteria'!#REF!</xm:f>
            <x14:dxf>
              <fill>
                <patternFill>
                  <bgColor rgb="FFFFFF00"/>
                </patternFill>
              </fill>
            </x14:dxf>
          </x14:cfRule>
          <x14:cfRule type="cellIs" priority="1666" operator="equal" id="{721B5C1A-9AD3-4DB0-9BF4-54871A970A6E}">
            <xm:f>'\Users\ericmannel\Library\Containers\com.microsoft.Excel\Data\Documents\Users\isourikova\AppData\Local\Packages\Microsoft.MicrosoftEdge_8wekyb3d8bbwe\TempState\Downloads\[CD-2 Risk Register Dec 15 (1).xlsx]SelectionCriteria'!#REF!</xm:f>
            <x14:dxf>
              <fill>
                <patternFill>
                  <bgColor rgb="FFFFC000"/>
                </patternFill>
              </fill>
            </x14:dxf>
          </x14:cfRule>
          <x14:cfRule type="cellIs" priority="1667" operator="equal" id="{7CA29035-8648-4C52-B9AF-4A7498649B52}">
            <xm:f>'\Users\ericmannel\Library\Containers\com.microsoft.Excel\Data\Documents\Users\isourikova\AppData\Local\Packages\Microsoft.MicrosoftEdge_8wekyb3d8bbwe\TempState\Downloads\[CD-2 Risk Register Dec 15 (1).xlsx]SelectionCriteria'!#REF!</xm:f>
            <x14:dxf>
              <font>
                <color theme="0"/>
              </font>
              <fill>
                <patternFill>
                  <bgColor rgb="FFFF0000"/>
                </patternFill>
              </fill>
            </x14:dxf>
          </x14:cfRule>
          <xm:sqref>AA82:AA83</xm:sqref>
        </x14:conditionalFormatting>
        <x14:conditionalFormatting xmlns:xm="http://schemas.microsoft.com/office/excel/2006/main">
          <x14:cfRule type="cellIs" priority="1636" operator="equal" id="{168D159F-6299-4DCE-ADD7-63AE015443CC}">
            <xm:f>'\Users\ericmannel\Library\Containers\com.microsoft.Excel\Data\Documents\Users\isourikova\Documents\[CD-2 Risk Register Mar 28 2019 Jim.xlsx]SelectionCriteria'!#REF!</xm:f>
            <x14:dxf>
              <fill>
                <patternFill>
                  <bgColor rgb="FF00B050"/>
                </patternFill>
              </fill>
            </x14:dxf>
          </x14:cfRule>
          <x14:cfRule type="cellIs" priority="1637" operator="equal" id="{2C2FDA67-DA6F-4C04-9887-5DD9B4EF21D4}">
            <xm:f>'\Users\ericmannel\Library\Containers\com.microsoft.Excel\Data\Documents\Users\isourikova\Documents\[CD-2 Risk Register Mar 28 2019 Jim.xlsx]SelectionCriteria'!#REF!</xm:f>
            <x14:dxf>
              <fill>
                <patternFill>
                  <bgColor rgb="FFFFFF00"/>
                </patternFill>
              </fill>
            </x14:dxf>
          </x14:cfRule>
          <x14:cfRule type="cellIs" priority="1638" operator="equal" id="{EE08DCED-CD53-4CFB-AFAA-37613A1C384C}">
            <xm:f>'\Users\ericmannel\Library\Containers\com.microsoft.Excel\Data\Documents\Users\isourikova\Documents\[CD-2 Risk Register Mar 28 2019 Jim.xlsx]SelectionCriteria'!#REF!</xm:f>
            <x14:dxf>
              <fill>
                <patternFill>
                  <bgColor rgb="FFFFC000"/>
                </patternFill>
              </fill>
            </x14:dxf>
          </x14:cfRule>
          <x14:cfRule type="cellIs" priority="1639" operator="equal" id="{A9BFB011-089E-4641-9F2E-6AF53565D227}">
            <xm:f>'\Users\ericmannel\Library\Containers\com.microsoft.Excel\Data\Documents\Users\isourikova\Documents\[CD-2 Risk Register Mar 28 2019 Jim.xlsx]SelectionCriteria'!#REF!</xm:f>
            <x14:dxf>
              <font>
                <color theme="0"/>
              </font>
              <fill>
                <patternFill>
                  <bgColor rgb="FFFF0000"/>
                </patternFill>
              </fill>
            </x14:dxf>
          </x14:cfRule>
          <xm:sqref>K82:K83</xm:sqref>
        </x14:conditionalFormatting>
        <x14:conditionalFormatting xmlns:xm="http://schemas.microsoft.com/office/excel/2006/main">
          <x14:cfRule type="cellIs" priority="1589" operator="equal" id="{DA08C536-2A9B-4508-B677-5817288D191F}">
            <xm:f>SelectionCriteria!$A$5</xm:f>
            <x14:dxf>
              <fill>
                <patternFill>
                  <bgColor rgb="FF00B050"/>
                </patternFill>
              </fill>
            </x14:dxf>
          </x14:cfRule>
          <x14:cfRule type="cellIs" priority="1590" operator="equal" id="{12A1DB14-2B9A-42D3-9AAE-3B4B0BF0A593}">
            <xm:f>SelectionCriteria!$A$4</xm:f>
            <x14:dxf>
              <fill>
                <patternFill>
                  <bgColor rgb="FFFFFF00"/>
                </patternFill>
              </fill>
            </x14:dxf>
          </x14:cfRule>
          <x14:cfRule type="cellIs" priority="1591" operator="equal" id="{5B356FFA-9FB5-4D06-B820-9991F0B9691B}">
            <xm:f>SelectionCriteria!$A$3</xm:f>
            <x14:dxf>
              <fill>
                <patternFill>
                  <bgColor rgb="FFFFC000"/>
                </patternFill>
              </fill>
            </x14:dxf>
          </x14:cfRule>
          <x14:cfRule type="cellIs" priority="1592" operator="equal" id="{D29AE5C8-639F-43D8-BAF1-A685E9D15E01}">
            <xm:f>SelectionCriteria!$A$2</xm:f>
            <x14:dxf>
              <font>
                <color theme="0"/>
              </font>
              <fill>
                <patternFill>
                  <bgColor rgb="FFFF0000"/>
                </patternFill>
              </fill>
            </x14:dxf>
          </x14:cfRule>
          <xm:sqref>Z48</xm:sqref>
        </x14:conditionalFormatting>
        <x14:conditionalFormatting xmlns:xm="http://schemas.microsoft.com/office/excel/2006/main">
          <x14:cfRule type="cellIs" priority="1585" operator="equal" id="{9CBB1C81-8851-4D21-8E3C-F43D079B86D5}">
            <xm:f>SelectionCriteria!$A$5</xm:f>
            <x14:dxf>
              <fill>
                <patternFill>
                  <bgColor rgb="FF00B050"/>
                </patternFill>
              </fill>
            </x14:dxf>
          </x14:cfRule>
          <x14:cfRule type="cellIs" priority="1586" operator="equal" id="{EE1AA43A-789C-4812-9B60-8229E985969C}">
            <xm:f>SelectionCriteria!$A$4</xm:f>
            <x14:dxf>
              <fill>
                <patternFill>
                  <bgColor rgb="FFFFFF00"/>
                </patternFill>
              </fill>
            </x14:dxf>
          </x14:cfRule>
          <x14:cfRule type="cellIs" priority="1587" operator="equal" id="{37552D36-96AC-4293-BC5C-76A96D3D441A}">
            <xm:f>SelectionCriteria!$A$3</xm:f>
            <x14:dxf>
              <fill>
                <patternFill>
                  <bgColor rgb="FFFFC000"/>
                </patternFill>
              </fill>
            </x14:dxf>
          </x14:cfRule>
          <x14:cfRule type="cellIs" priority="1588" operator="equal" id="{50D138D8-01E9-411E-BCAE-99BF33E753AB}">
            <xm:f>SelectionCriteria!$A$2</xm:f>
            <x14:dxf>
              <font>
                <color theme="0"/>
              </font>
              <fill>
                <patternFill>
                  <bgColor rgb="FFFF0000"/>
                </patternFill>
              </fill>
            </x14:dxf>
          </x14:cfRule>
          <xm:sqref>Z50</xm:sqref>
        </x14:conditionalFormatting>
        <x14:conditionalFormatting xmlns:xm="http://schemas.microsoft.com/office/excel/2006/main">
          <x14:cfRule type="cellIs" priority="1581" operator="equal" id="{79EEDECC-9089-4C3E-9F32-62C694139639}">
            <xm:f>SelectionCriteria!$A$5</xm:f>
            <x14:dxf>
              <fill>
                <patternFill>
                  <bgColor rgb="FF00B050"/>
                </patternFill>
              </fill>
            </x14:dxf>
          </x14:cfRule>
          <x14:cfRule type="cellIs" priority="1582" operator="equal" id="{2B4B38D4-ACF4-4660-8C46-2705D5BB5F14}">
            <xm:f>SelectionCriteria!$A$4</xm:f>
            <x14:dxf>
              <fill>
                <patternFill>
                  <bgColor rgb="FFFFFF00"/>
                </patternFill>
              </fill>
            </x14:dxf>
          </x14:cfRule>
          <x14:cfRule type="cellIs" priority="1583" operator="equal" id="{AACC997D-B6CE-4FBE-A041-59C092483AC6}">
            <xm:f>SelectionCriteria!$A$3</xm:f>
            <x14:dxf>
              <fill>
                <patternFill>
                  <bgColor rgb="FFFFC000"/>
                </patternFill>
              </fill>
            </x14:dxf>
          </x14:cfRule>
          <x14:cfRule type="cellIs" priority="1584" operator="equal" id="{B96EA9EE-A1B4-40ED-BBAD-81E80738CACA}">
            <xm:f>SelectionCriteria!$A$2</xm:f>
            <x14:dxf>
              <font>
                <color theme="0"/>
              </font>
              <fill>
                <patternFill>
                  <bgColor rgb="FFFF0000"/>
                </patternFill>
              </fill>
            </x14:dxf>
          </x14:cfRule>
          <xm:sqref>Z49</xm:sqref>
        </x14:conditionalFormatting>
        <x14:conditionalFormatting xmlns:xm="http://schemas.microsoft.com/office/excel/2006/main">
          <x14:cfRule type="cellIs" priority="1565" operator="equal" id="{E598905D-0538-4013-A2FD-FA264FA2C51B}">
            <xm:f>SelectionCriteria!$A$5</xm:f>
            <x14:dxf>
              <fill>
                <patternFill>
                  <bgColor rgb="FF00B050"/>
                </patternFill>
              </fill>
            </x14:dxf>
          </x14:cfRule>
          <x14:cfRule type="cellIs" priority="1566" operator="equal" id="{57D22629-3BF1-4559-9BCE-BB05D8FC465D}">
            <xm:f>SelectionCriteria!$A$4</xm:f>
            <x14:dxf>
              <fill>
                <patternFill>
                  <bgColor rgb="FFFFFF00"/>
                </patternFill>
              </fill>
            </x14:dxf>
          </x14:cfRule>
          <x14:cfRule type="cellIs" priority="1567" operator="equal" id="{151BAC7A-0EC0-444E-8311-0A464516C72A}">
            <xm:f>SelectionCriteria!$A$3</xm:f>
            <x14:dxf>
              <fill>
                <patternFill>
                  <bgColor rgb="FFFFC000"/>
                </patternFill>
              </fill>
            </x14:dxf>
          </x14:cfRule>
          <x14:cfRule type="cellIs" priority="1568" operator="equal" id="{98162F9E-257C-45EB-8F91-A6CF20235C5C}">
            <xm:f>SelectionCriteria!$A$2</xm:f>
            <x14:dxf>
              <font>
                <color theme="0"/>
              </font>
              <fill>
                <patternFill>
                  <bgColor rgb="FFFF0000"/>
                </patternFill>
              </fill>
            </x14:dxf>
          </x14:cfRule>
          <xm:sqref>K54:L54 Z54:AA54</xm:sqref>
        </x14:conditionalFormatting>
        <x14:conditionalFormatting xmlns:xm="http://schemas.microsoft.com/office/excel/2006/main">
          <x14:cfRule type="cellIs" priority="1540" operator="equal" id="{D959ECED-F085-4B9E-8B50-DADE50D5D3AC}">
            <xm:f>SelectionCriteria!$A$5</xm:f>
            <x14:dxf>
              <fill>
                <patternFill>
                  <bgColor rgb="FF00B050"/>
                </patternFill>
              </fill>
            </x14:dxf>
          </x14:cfRule>
          <x14:cfRule type="cellIs" priority="1541" operator="equal" id="{6C3ACF5D-5D89-46B1-84F4-CD07DF400F0A}">
            <xm:f>SelectionCriteria!$A$4</xm:f>
            <x14:dxf>
              <fill>
                <patternFill>
                  <bgColor rgb="FFFFFF00"/>
                </patternFill>
              </fill>
            </x14:dxf>
          </x14:cfRule>
          <x14:cfRule type="cellIs" priority="1542" operator="equal" id="{3A6D97CA-6C8A-4D98-9A7A-D8EFFB8B6695}">
            <xm:f>SelectionCriteria!$A$3</xm:f>
            <x14:dxf>
              <fill>
                <patternFill>
                  <bgColor rgb="FFFFC000"/>
                </patternFill>
              </fill>
            </x14:dxf>
          </x14:cfRule>
          <x14:cfRule type="cellIs" priority="1543" operator="equal" id="{50EEA6F2-17FA-41D9-A0D6-0C368998FAF9}">
            <xm:f>SelectionCriteria!$A$2</xm:f>
            <x14:dxf>
              <font>
                <color theme="0"/>
              </font>
              <fill>
                <patternFill>
                  <bgColor rgb="FFFF0000"/>
                </patternFill>
              </fill>
            </x14:dxf>
          </x14:cfRule>
          <xm:sqref>J54</xm:sqref>
        </x14:conditionalFormatting>
        <x14:conditionalFormatting xmlns:xm="http://schemas.microsoft.com/office/excel/2006/main">
          <x14:cfRule type="cellIs" priority="1535" operator="equal" id="{FC736930-D0BE-436F-8F51-E367CD1D2FCD}">
            <xm:f>SelectionCriteria!$A$5</xm:f>
            <x14:dxf>
              <fill>
                <patternFill>
                  <bgColor rgb="FF00B050"/>
                </patternFill>
              </fill>
            </x14:dxf>
          </x14:cfRule>
          <x14:cfRule type="cellIs" priority="1536" operator="equal" id="{8989E3AD-3753-4EE0-8174-FA430D2A392F}">
            <xm:f>SelectionCriteria!$A$4</xm:f>
            <x14:dxf>
              <fill>
                <patternFill>
                  <bgColor rgb="FFFFFF00"/>
                </patternFill>
              </fill>
            </x14:dxf>
          </x14:cfRule>
          <x14:cfRule type="cellIs" priority="1537" operator="equal" id="{A1DA1FF5-9D59-4616-ADEB-9407B56B7B5B}">
            <xm:f>SelectionCriteria!$A$3</xm:f>
            <x14:dxf>
              <fill>
                <patternFill>
                  <bgColor rgb="FFFFC000"/>
                </patternFill>
              </fill>
            </x14:dxf>
          </x14:cfRule>
          <x14:cfRule type="cellIs" priority="1538" operator="equal" id="{039AD2E5-EA39-4763-B783-8DCAA0755460}">
            <xm:f>SelectionCriteria!$A$2</xm:f>
            <x14:dxf>
              <font>
                <color theme="0"/>
              </font>
              <fill>
                <patternFill>
                  <bgColor rgb="FFFF0000"/>
                </patternFill>
              </fill>
            </x14:dxf>
          </x14:cfRule>
          <xm:sqref>M54</xm:sqref>
        </x14:conditionalFormatting>
        <x14:conditionalFormatting xmlns:xm="http://schemas.microsoft.com/office/excel/2006/main">
          <x14:cfRule type="cellIs" priority="1530" operator="equal" id="{B13FD84B-1B7F-4293-9281-9BECEBA2051D}">
            <xm:f>SelectionCriteria!$A$5</xm:f>
            <x14:dxf>
              <fill>
                <patternFill>
                  <bgColor rgb="FF00B050"/>
                </patternFill>
              </fill>
            </x14:dxf>
          </x14:cfRule>
          <x14:cfRule type="cellIs" priority="1531" operator="equal" id="{FD3F6CBE-D642-45F7-AE3E-6FEC5FA55057}">
            <xm:f>SelectionCriteria!$A$4</xm:f>
            <x14:dxf>
              <fill>
                <patternFill>
                  <bgColor rgb="FFFFFF00"/>
                </patternFill>
              </fill>
            </x14:dxf>
          </x14:cfRule>
          <x14:cfRule type="cellIs" priority="1532" operator="equal" id="{2979E133-AC99-44DD-B3F8-C267AB034205}">
            <xm:f>SelectionCriteria!$A$3</xm:f>
            <x14:dxf>
              <fill>
                <patternFill>
                  <bgColor rgb="FFFFC000"/>
                </patternFill>
              </fill>
            </x14:dxf>
          </x14:cfRule>
          <x14:cfRule type="cellIs" priority="1533" operator="equal" id="{08D0C98B-3968-4591-8F8A-EF41991E0D98}">
            <xm:f>SelectionCriteria!$A$2</xm:f>
            <x14:dxf>
              <font>
                <color theme="0"/>
              </font>
              <fill>
                <patternFill>
                  <bgColor rgb="FFFF0000"/>
                </patternFill>
              </fill>
            </x14:dxf>
          </x14:cfRule>
          <xm:sqref>N54</xm:sqref>
        </x14:conditionalFormatting>
        <x14:conditionalFormatting xmlns:xm="http://schemas.microsoft.com/office/excel/2006/main">
          <x14:cfRule type="cellIs" priority="1525" operator="equal" id="{147AFBFF-31DE-47FF-A9A5-4F0D40044D16}">
            <xm:f>SelectionCriteria!$A$5</xm:f>
            <x14:dxf>
              <fill>
                <patternFill>
                  <bgColor rgb="FF00B050"/>
                </patternFill>
              </fill>
            </x14:dxf>
          </x14:cfRule>
          <x14:cfRule type="cellIs" priority="1526" operator="equal" id="{0B9BA1D7-F154-4A77-A60F-6D7DFB655390}">
            <xm:f>SelectionCriteria!$A$4</xm:f>
            <x14:dxf>
              <fill>
                <patternFill>
                  <bgColor rgb="FFFFFF00"/>
                </patternFill>
              </fill>
            </x14:dxf>
          </x14:cfRule>
          <x14:cfRule type="cellIs" priority="1527" operator="equal" id="{42DB723B-5013-4325-94DC-4B6512E64A1B}">
            <xm:f>SelectionCriteria!$A$3</xm:f>
            <x14:dxf>
              <fill>
                <patternFill>
                  <bgColor rgb="FFFFC000"/>
                </patternFill>
              </fill>
            </x14:dxf>
          </x14:cfRule>
          <x14:cfRule type="cellIs" priority="1528" operator="equal" id="{920FDFBC-0E35-4CE5-B40F-D2F7A42FD32E}">
            <xm:f>SelectionCriteria!$A$2</xm:f>
            <x14:dxf>
              <font>
                <color theme="0"/>
              </font>
              <fill>
                <patternFill>
                  <bgColor rgb="FFFF0000"/>
                </patternFill>
              </fill>
            </x14:dxf>
          </x14:cfRule>
          <xm:sqref>O54</xm:sqref>
        </x14:conditionalFormatting>
        <x14:conditionalFormatting xmlns:xm="http://schemas.microsoft.com/office/excel/2006/main">
          <x14:cfRule type="cellIs" priority="1515" operator="equal" id="{AD1B9EC8-CFDC-43BD-A356-9B7F634C15A2}">
            <xm:f>SelectionCriteria!$A$5</xm:f>
            <x14:dxf>
              <fill>
                <patternFill>
                  <bgColor rgb="FF00B050"/>
                </patternFill>
              </fill>
            </x14:dxf>
          </x14:cfRule>
          <x14:cfRule type="cellIs" priority="1516" operator="equal" id="{81C648CF-2DE0-4AD9-99F7-2FBC1474D222}">
            <xm:f>SelectionCriteria!$A$4</xm:f>
            <x14:dxf>
              <fill>
                <patternFill>
                  <bgColor rgb="FFFFFF00"/>
                </patternFill>
              </fill>
            </x14:dxf>
          </x14:cfRule>
          <x14:cfRule type="cellIs" priority="1517" operator="equal" id="{B8702442-F255-4F6B-AAB2-696F52999871}">
            <xm:f>SelectionCriteria!$A$3</xm:f>
            <x14:dxf>
              <fill>
                <patternFill>
                  <bgColor rgb="FFFFC000"/>
                </patternFill>
              </fill>
            </x14:dxf>
          </x14:cfRule>
          <x14:cfRule type="cellIs" priority="1518" operator="equal" id="{B1A7B8DA-AD30-43F8-BC7D-028BE98D4DEA}">
            <xm:f>SelectionCriteria!$A$2</xm:f>
            <x14:dxf>
              <font>
                <color theme="0"/>
              </font>
              <fill>
                <patternFill>
                  <bgColor rgb="FFFF0000"/>
                </patternFill>
              </fill>
            </x14:dxf>
          </x14:cfRule>
          <xm:sqref>P54:Q54</xm:sqref>
        </x14:conditionalFormatting>
        <x14:conditionalFormatting xmlns:xm="http://schemas.microsoft.com/office/excel/2006/main">
          <x14:cfRule type="cellIs" priority="1498" operator="equal" id="{CA80942B-16A4-47D4-8B98-40667DB28856}">
            <xm:f>SelectionCriteria!$A$5</xm:f>
            <x14:dxf>
              <fill>
                <patternFill>
                  <bgColor rgb="FF00B050"/>
                </patternFill>
              </fill>
            </x14:dxf>
          </x14:cfRule>
          <x14:cfRule type="cellIs" priority="1499" operator="equal" id="{C417CA9A-DA1F-4B11-BFBF-8EC2CE82541A}">
            <xm:f>SelectionCriteria!$A$4</xm:f>
            <x14:dxf>
              <fill>
                <patternFill>
                  <bgColor rgb="FFFFFF00"/>
                </patternFill>
              </fill>
            </x14:dxf>
          </x14:cfRule>
          <x14:cfRule type="cellIs" priority="1500" operator="equal" id="{EE379E58-2140-465E-B1F5-94AA7C0A50D1}">
            <xm:f>SelectionCriteria!$A$3</xm:f>
            <x14:dxf>
              <fill>
                <patternFill>
                  <bgColor rgb="FFFFC000"/>
                </patternFill>
              </fill>
            </x14:dxf>
          </x14:cfRule>
          <x14:cfRule type="cellIs" priority="1501" operator="equal" id="{33B4AEDD-11C5-4145-B7F1-E1403BC996DB}">
            <xm:f>SelectionCriteria!$A$2</xm:f>
            <x14:dxf>
              <font>
                <color theme="0"/>
              </font>
              <fill>
                <patternFill>
                  <bgColor rgb="FFFF0000"/>
                </patternFill>
              </fill>
            </x14:dxf>
          </x14:cfRule>
          <xm:sqref>K56:L56 Z56:AA56</xm:sqref>
        </x14:conditionalFormatting>
        <x14:conditionalFormatting xmlns:xm="http://schemas.microsoft.com/office/excel/2006/main">
          <x14:cfRule type="cellIs" priority="1479" operator="equal" id="{E8815322-0D90-4447-9549-116868A6635C}">
            <xm:f>SelectionCriteria!$A$5</xm:f>
            <x14:dxf>
              <fill>
                <patternFill>
                  <bgColor rgb="FF00B050"/>
                </patternFill>
              </fill>
            </x14:dxf>
          </x14:cfRule>
          <x14:cfRule type="cellIs" priority="1480" operator="equal" id="{DF8E7E72-4E26-43BE-9334-61439C0D8A38}">
            <xm:f>SelectionCriteria!$A$4</xm:f>
            <x14:dxf>
              <fill>
                <patternFill>
                  <bgColor rgb="FFFFFF00"/>
                </patternFill>
              </fill>
            </x14:dxf>
          </x14:cfRule>
          <x14:cfRule type="cellIs" priority="1481" operator="equal" id="{D8BC7DDF-7267-40AB-BAB6-7317E62C19EC}">
            <xm:f>SelectionCriteria!$A$3</xm:f>
            <x14:dxf>
              <fill>
                <patternFill>
                  <bgColor rgb="FFFFC000"/>
                </patternFill>
              </fill>
            </x14:dxf>
          </x14:cfRule>
          <x14:cfRule type="cellIs" priority="1482" operator="equal" id="{F68FE5D9-A480-41E9-A97B-D389270AAF1F}">
            <xm:f>SelectionCriteria!$A$2</xm:f>
            <x14:dxf>
              <font>
                <color theme="0"/>
              </font>
              <fill>
                <patternFill>
                  <bgColor rgb="FFFF0000"/>
                </patternFill>
              </fill>
            </x14:dxf>
          </x14:cfRule>
          <xm:sqref>J56</xm:sqref>
        </x14:conditionalFormatting>
        <x14:conditionalFormatting xmlns:xm="http://schemas.microsoft.com/office/excel/2006/main">
          <x14:cfRule type="cellIs" priority="1474" operator="equal" id="{07DE1382-C9DD-4178-9808-1AE6220CC6C1}">
            <xm:f>SelectionCriteria!$A$5</xm:f>
            <x14:dxf>
              <fill>
                <patternFill>
                  <bgColor rgb="FF00B050"/>
                </patternFill>
              </fill>
            </x14:dxf>
          </x14:cfRule>
          <x14:cfRule type="cellIs" priority="1475" operator="equal" id="{973A5D22-2A2B-4BA7-B66C-42020DA7FA50}">
            <xm:f>SelectionCriteria!$A$4</xm:f>
            <x14:dxf>
              <fill>
                <patternFill>
                  <bgColor rgb="FFFFFF00"/>
                </patternFill>
              </fill>
            </x14:dxf>
          </x14:cfRule>
          <x14:cfRule type="cellIs" priority="1476" operator="equal" id="{0B74999D-E1D7-4E4E-B029-A4D5D3BA60A2}">
            <xm:f>SelectionCriteria!$A$3</xm:f>
            <x14:dxf>
              <fill>
                <patternFill>
                  <bgColor rgb="FFFFC000"/>
                </patternFill>
              </fill>
            </x14:dxf>
          </x14:cfRule>
          <x14:cfRule type="cellIs" priority="1477" operator="equal" id="{239F3AA1-79F2-44ED-91B6-B4D4242FF108}">
            <xm:f>SelectionCriteria!$A$2</xm:f>
            <x14:dxf>
              <font>
                <color theme="0"/>
              </font>
              <fill>
                <patternFill>
                  <bgColor rgb="FFFF0000"/>
                </patternFill>
              </fill>
            </x14:dxf>
          </x14:cfRule>
          <xm:sqref>M56</xm:sqref>
        </x14:conditionalFormatting>
        <x14:conditionalFormatting xmlns:xm="http://schemas.microsoft.com/office/excel/2006/main">
          <x14:cfRule type="cellIs" priority="1469" operator="equal" id="{9FB9C885-BBD3-456A-B6DD-626AB21C5B05}">
            <xm:f>SelectionCriteria!$A$5</xm:f>
            <x14:dxf>
              <fill>
                <patternFill>
                  <bgColor rgb="FF00B050"/>
                </patternFill>
              </fill>
            </x14:dxf>
          </x14:cfRule>
          <x14:cfRule type="cellIs" priority="1470" operator="equal" id="{09245E03-9B5B-4F0B-AA5A-7CDF97ABD800}">
            <xm:f>SelectionCriteria!$A$4</xm:f>
            <x14:dxf>
              <fill>
                <patternFill>
                  <bgColor rgb="FFFFFF00"/>
                </patternFill>
              </fill>
            </x14:dxf>
          </x14:cfRule>
          <x14:cfRule type="cellIs" priority="1471" operator="equal" id="{D27BBDFB-9965-4BB6-AB2B-8FA26DF002A3}">
            <xm:f>SelectionCriteria!$A$3</xm:f>
            <x14:dxf>
              <fill>
                <patternFill>
                  <bgColor rgb="FFFFC000"/>
                </patternFill>
              </fill>
            </x14:dxf>
          </x14:cfRule>
          <x14:cfRule type="cellIs" priority="1472" operator="equal" id="{2A187603-D3C5-405C-A338-02537F6918FC}">
            <xm:f>SelectionCriteria!$A$2</xm:f>
            <x14:dxf>
              <font>
                <color theme="0"/>
              </font>
              <fill>
                <patternFill>
                  <bgColor rgb="FFFF0000"/>
                </patternFill>
              </fill>
            </x14:dxf>
          </x14:cfRule>
          <xm:sqref>N56</xm:sqref>
        </x14:conditionalFormatting>
        <x14:conditionalFormatting xmlns:xm="http://schemas.microsoft.com/office/excel/2006/main">
          <x14:cfRule type="cellIs" priority="1464" operator="equal" id="{980FC8CF-6764-4C9B-B6CB-CFB3CCC63143}">
            <xm:f>SelectionCriteria!$A$5</xm:f>
            <x14:dxf>
              <fill>
                <patternFill>
                  <bgColor rgb="FF00B050"/>
                </patternFill>
              </fill>
            </x14:dxf>
          </x14:cfRule>
          <x14:cfRule type="cellIs" priority="1465" operator="equal" id="{98CD929E-5D85-458A-8622-FE475A4B5041}">
            <xm:f>SelectionCriteria!$A$4</xm:f>
            <x14:dxf>
              <fill>
                <patternFill>
                  <bgColor rgb="FFFFFF00"/>
                </patternFill>
              </fill>
            </x14:dxf>
          </x14:cfRule>
          <x14:cfRule type="cellIs" priority="1466" operator="equal" id="{CC10DAD0-44AE-493E-8017-746D655AF432}">
            <xm:f>SelectionCriteria!$A$3</xm:f>
            <x14:dxf>
              <fill>
                <patternFill>
                  <bgColor rgb="FFFFC000"/>
                </patternFill>
              </fill>
            </x14:dxf>
          </x14:cfRule>
          <x14:cfRule type="cellIs" priority="1467" operator="equal" id="{7A9A7BA1-B10D-4C3B-91DD-F8A4779DC9F4}">
            <xm:f>SelectionCriteria!$A$2</xm:f>
            <x14:dxf>
              <font>
                <color theme="0"/>
              </font>
              <fill>
                <patternFill>
                  <bgColor rgb="FFFF0000"/>
                </patternFill>
              </fill>
            </x14:dxf>
          </x14:cfRule>
          <xm:sqref>O56</xm:sqref>
        </x14:conditionalFormatting>
        <x14:conditionalFormatting xmlns:xm="http://schemas.microsoft.com/office/excel/2006/main">
          <x14:cfRule type="cellIs" priority="1459" operator="equal" id="{BB795B70-A899-43D2-9B86-0344235C88E5}">
            <xm:f>SelectionCriteria!$A$5</xm:f>
            <x14:dxf>
              <fill>
                <patternFill>
                  <bgColor rgb="FF00B050"/>
                </patternFill>
              </fill>
            </x14:dxf>
          </x14:cfRule>
          <x14:cfRule type="cellIs" priority="1460" operator="equal" id="{15BB87D2-B120-436B-98D6-F3B8CAA94C6A}">
            <xm:f>SelectionCriteria!$A$4</xm:f>
            <x14:dxf>
              <fill>
                <patternFill>
                  <bgColor rgb="FFFFFF00"/>
                </patternFill>
              </fill>
            </x14:dxf>
          </x14:cfRule>
          <x14:cfRule type="cellIs" priority="1461" operator="equal" id="{179EBA24-8964-4870-8C5C-B1C37CD7D9DA}">
            <xm:f>SelectionCriteria!$A$3</xm:f>
            <x14:dxf>
              <fill>
                <patternFill>
                  <bgColor rgb="FFFFC000"/>
                </patternFill>
              </fill>
            </x14:dxf>
          </x14:cfRule>
          <x14:cfRule type="cellIs" priority="1462" operator="equal" id="{7F832A83-9B37-45C2-AC8B-E0030CEA0F7C}">
            <xm:f>SelectionCriteria!$A$2</xm:f>
            <x14:dxf>
              <font>
                <color theme="0"/>
              </font>
              <fill>
                <patternFill>
                  <bgColor rgb="FFFF0000"/>
                </patternFill>
              </fill>
            </x14:dxf>
          </x14:cfRule>
          <xm:sqref>P56:Q56</xm:sqref>
        </x14:conditionalFormatting>
        <x14:conditionalFormatting xmlns:xm="http://schemas.microsoft.com/office/excel/2006/main">
          <x14:cfRule type="cellIs" priority="1442" operator="equal" id="{7500B0BC-A7C6-454B-BB6C-0015F987CE5A}">
            <xm:f>SelectionCriteria!$A$5</xm:f>
            <x14:dxf>
              <fill>
                <patternFill>
                  <bgColor rgb="FF00B050"/>
                </patternFill>
              </fill>
            </x14:dxf>
          </x14:cfRule>
          <x14:cfRule type="cellIs" priority="1443" operator="equal" id="{702E2FE1-CE94-43DF-A0DF-21AF0639B4D3}">
            <xm:f>SelectionCriteria!$A$4</xm:f>
            <x14:dxf>
              <fill>
                <patternFill>
                  <bgColor rgb="FFFFFF00"/>
                </patternFill>
              </fill>
            </x14:dxf>
          </x14:cfRule>
          <x14:cfRule type="cellIs" priority="1444" operator="equal" id="{3BCCFAC6-D7FB-4AF3-B3B6-8CD57EA19E1B}">
            <xm:f>SelectionCriteria!$A$3</xm:f>
            <x14:dxf>
              <fill>
                <patternFill>
                  <bgColor rgb="FFFFC000"/>
                </patternFill>
              </fill>
            </x14:dxf>
          </x14:cfRule>
          <x14:cfRule type="cellIs" priority="1445" operator="equal" id="{931F603F-2B41-409D-8872-E762B3085EBC}">
            <xm:f>SelectionCriteria!$A$2</xm:f>
            <x14:dxf>
              <font>
                <color theme="0"/>
              </font>
              <fill>
                <patternFill>
                  <bgColor rgb="FFFF0000"/>
                </patternFill>
              </fill>
            </x14:dxf>
          </x14:cfRule>
          <xm:sqref>K55:L55 Z55:AA55</xm:sqref>
        </x14:conditionalFormatting>
        <x14:conditionalFormatting xmlns:xm="http://schemas.microsoft.com/office/excel/2006/main">
          <x14:cfRule type="cellIs" priority="1423" operator="equal" id="{72E12139-3376-469B-AEC5-6A277C44C0D3}">
            <xm:f>SelectionCriteria!$A$5</xm:f>
            <x14:dxf>
              <fill>
                <patternFill>
                  <bgColor rgb="FF00B050"/>
                </patternFill>
              </fill>
            </x14:dxf>
          </x14:cfRule>
          <x14:cfRule type="cellIs" priority="1424" operator="equal" id="{A54EDC9D-8785-48D5-98BD-AA8193C49F4B}">
            <xm:f>SelectionCriteria!$A$4</xm:f>
            <x14:dxf>
              <fill>
                <patternFill>
                  <bgColor rgb="FFFFFF00"/>
                </patternFill>
              </fill>
            </x14:dxf>
          </x14:cfRule>
          <x14:cfRule type="cellIs" priority="1425" operator="equal" id="{DDBEC04E-DEFA-4048-9DE3-23D62F51B718}">
            <xm:f>SelectionCriteria!$A$3</xm:f>
            <x14:dxf>
              <fill>
                <patternFill>
                  <bgColor rgb="FFFFC000"/>
                </patternFill>
              </fill>
            </x14:dxf>
          </x14:cfRule>
          <x14:cfRule type="cellIs" priority="1426" operator="equal" id="{6073FC0E-E4D6-41EF-AE0E-DE4D4EA36CAD}">
            <xm:f>SelectionCriteria!$A$2</xm:f>
            <x14:dxf>
              <font>
                <color theme="0"/>
              </font>
              <fill>
                <patternFill>
                  <bgColor rgb="FFFF0000"/>
                </patternFill>
              </fill>
            </x14:dxf>
          </x14:cfRule>
          <xm:sqref>J55</xm:sqref>
        </x14:conditionalFormatting>
        <x14:conditionalFormatting xmlns:xm="http://schemas.microsoft.com/office/excel/2006/main">
          <x14:cfRule type="cellIs" priority="1418" operator="equal" id="{1AC70DA8-64C6-4993-81E4-2EAECA960612}">
            <xm:f>SelectionCriteria!$A$5</xm:f>
            <x14:dxf>
              <fill>
                <patternFill>
                  <bgColor rgb="FF00B050"/>
                </patternFill>
              </fill>
            </x14:dxf>
          </x14:cfRule>
          <x14:cfRule type="cellIs" priority="1419" operator="equal" id="{18F3861B-E939-42C7-AEBF-0C49B5480BEA}">
            <xm:f>SelectionCriteria!$A$4</xm:f>
            <x14:dxf>
              <fill>
                <patternFill>
                  <bgColor rgb="FFFFFF00"/>
                </patternFill>
              </fill>
            </x14:dxf>
          </x14:cfRule>
          <x14:cfRule type="cellIs" priority="1420" operator="equal" id="{79E1FC61-7DB9-419E-8D1B-91DA2C3224EF}">
            <xm:f>SelectionCriteria!$A$3</xm:f>
            <x14:dxf>
              <fill>
                <patternFill>
                  <bgColor rgb="FFFFC000"/>
                </patternFill>
              </fill>
            </x14:dxf>
          </x14:cfRule>
          <x14:cfRule type="cellIs" priority="1421" operator="equal" id="{1C4E163A-D3E9-4C41-8CB7-B5DF0FECBE4A}">
            <xm:f>SelectionCriteria!$A$2</xm:f>
            <x14:dxf>
              <font>
                <color theme="0"/>
              </font>
              <fill>
                <patternFill>
                  <bgColor rgb="FFFF0000"/>
                </patternFill>
              </fill>
            </x14:dxf>
          </x14:cfRule>
          <xm:sqref>M55</xm:sqref>
        </x14:conditionalFormatting>
        <x14:conditionalFormatting xmlns:xm="http://schemas.microsoft.com/office/excel/2006/main">
          <x14:cfRule type="cellIs" priority="1413" operator="equal" id="{A4B3FA12-13E5-4D12-8AFB-0B67038AE35F}">
            <xm:f>SelectionCriteria!$A$5</xm:f>
            <x14:dxf>
              <fill>
                <patternFill>
                  <bgColor rgb="FF00B050"/>
                </patternFill>
              </fill>
            </x14:dxf>
          </x14:cfRule>
          <x14:cfRule type="cellIs" priority="1414" operator="equal" id="{1121E0DE-0EAA-4AAD-AB6C-1695DAC840E6}">
            <xm:f>SelectionCriteria!$A$4</xm:f>
            <x14:dxf>
              <fill>
                <patternFill>
                  <bgColor rgb="FFFFFF00"/>
                </patternFill>
              </fill>
            </x14:dxf>
          </x14:cfRule>
          <x14:cfRule type="cellIs" priority="1415" operator="equal" id="{5F99CE61-CA47-4C9F-8552-3D74C204845D}">
            <xm:f>SelectionCriteria!$A$3</xm:f>
            <x14:dxf>
              <fill>
                <patternFill>
                  <bgColor rgb="FFFFC000"/>
                </patternFill>
              </fill>
            </x14:dxf>
          </x14:cfRule>
          <x14:cfRule type="cellIs" priority="1416" operator="equal" id="{14C9A748-F083-421D-837A-199BA9222093}">
            <xm:f>SelectionCriteria!$A$2</xm:f>
            <x14:dxf>
              <font>
                <color theme="0"/>
              </font>
              <fill>
                <patternFill>
                  <bgColor rgb="FFFF0000"/>
                </patternFill>
              </fill>
            </x14:dxf>
          </x14:cfRule>
          <xm:sqref>N55</xm:sqref>
        </x14:conditionalFormatting>
        <x14:conditionalFormatting xmlns:xm="http://schemas.microsoft.com/office/excel/2006/main">
          <x14:cfRule type="cellIs" priority="1408" operator="equal" id="{8F92D22D-27F9-43B0-8131-B9A2F7319595}">
            <xm:f>SelectionCriteria!$A$5</xm:f>
            <x14:dxf>
              <fill>
                <patternFill>
                  <bgColor rgb="FF00B050"/>
                </patternFill>
              </fill>
            </x14:dxf>
          </x14:cfRule>
          <x14:cfRule type="cellIs" priority="1409" operator="equal" id="{4EE7A979-4DBE-4C03-B96D-35DE8E2FFE77}">
            <xm:f>SelectionCriteria!$A$4</xm:f>
            <x14:dxf>
              <fill>
                <patternFill>
                  <bgColor rgb="FFFFFF00"/>
                </patternFill>
              </fill>
            </x14:dxf>
          </x14:cfRule>
          <x14:cfRule type="cellIs" priority="1410" operator="equal" id="{CC8FB181-0BD0-44AC-A65C-402817055478}">
            <xm:f>SelectionCriteria!$A$3</xm:f>
            <x14:dxf>
              <fill>
                <patternFill>
                  <bgColor rgb="FFFFC000"/>
                </patternFill>
              </fill>
            </x14:dxf>
          </x14:cfRule>
          <x14:cfRule type="cellIs" priority="1411" operator="equal" id="{AAEF99BD-83B6-4E78-86AD-A897101681B2}">
            <xm:f>SelectionCriteria!$A$2</xm:f>
            <x14:dxf>
              <font>
                <color theme="0"/>
              </font>
              <fill>
                <patternFill>
                  <bgColor rgb="FFFF0000"/>
                </patternFill>
              </fill>
            </x14:dxf>
          </x14:cfRule>
          <xm:sqref>O55</xm:sqref>
        </x14:conditionalFormatting>
        <x14:conditionalFormatting xmlns:xm="http://schemas.microsoft.com/office/excel/2006/main">
          <x14:cfRule type="cellIs" priority="1403" operator="equal" id="{4CA70B7E-EE1C-4EF3-B446-9148A88F93C3}">
            <xm:f>SelectionCriteria!$A$5</xm:f>
            <x14:dxf>
              <fill>
                <patternFill>
                  <bgColor rgb="FF00B050"/>
                </patternFill>
              </fill>
            </x14:dxf>
          </x14:cfRule>
          <x14:cfRule type="cellIs" priority="1404" operator="equal" id="{51752A51-12EA-4027-978D-CC7014943B3E}">
            <xm:f>SelectionCriteria!$A$4</xm:f>
            <x14:dxf>
              <fill>
                <patternFill>
                  <bgColor rgb="FFFFFF00"/>
                </patternFill>
              </fill>
            </x14:dxf>
          </x14:cfRule>
          <x14:cfRule type="cellIs" priority="1405" operator="equal" id="{C94306F1-16E6-47D4-9CEA-AC7C470444DE}">
            <xm:f>SelectionCriteria!$A$3</xm:f>
            <x14:dxf>
              <fill>
                <patternFill>
                  <bgColor rgb="FFFFC000"/>
                </patternFill>
              </fill>
            </x14:dxf>
          </x14:cfRule>
          <x14:cfRule type="cellIs" priority="1406" operator="equal" id="{9092669E-4B3C-4B4E-967C-E2C1E9EB922E}">
            <xm:f>SelectionCriteria!$A$2</xm:f>
            <x14:dxf>
              <font>
                <color theme="0"/>
              </font>
              <fill>
                <patternFill>
                  <bgColor rgb="FFFF0000"/>
                </patternFill>
              </fill>
            </x14:dxf>
          </x14:cfRule>
          <xm:sqref>P55:Q55</xm:sqref>
        </x14:conditionalFormatting>
        <x14:conditionalFormatting xmlns:xm="http://schemas.microsoft.com/office/excel/2006/main">
          <x14:cfRule type="cellIs" priority="1386" operator="equal" id="{D7F1DD74-A97E-4FC8-AAFA-C5293725B89E}">
            <xm:f>SelectionCriteria!$A$5</xm:f>
            <x14:dxf>
              <fill>
                <patternFill>
                  <bgColor rgb="FF00B050"/>
                </patternFill>
              </fill>
            </x14:dxf>
          </x14:cfRule>
          <x14:cfRule type="cellIs" priority="1387" operator="equal" id="{B95D2B5D-5B8F-4C46-8CB7-7A34A7398CFE}">
            <xm:f>SelectionCriteria!$A$4</xm:f>
            <x14:dxf>
              <fill>
                <patternFill>
                  <bgColor rgb="FFFFFF00"/>
                </patternFill>
              </fill>
            </x14:dxf>
          </x14:cfRule>
          <x14:cfRule type="cellIs" priority="1388" operator="equal" id="{313BB856-6837-499A-A04E-FFBB87944A50}">
            <xm:f>SelectionCriteria!$A$3</xm:f>
            <x14:dxf>
              <fill>
                <patternFill>
                  <bgColor rgb="FFFFC000"/>
                </patternFill>
              </fill>
            </x14:dxf>
          </x14:cfRule>
          <x14:cfRule type="cellIs" priority="1389" operator="equal" id="{B01F848A-6211-4235-9979-F5B8D17BFA63}">
            <xm:f>SelectionCriteria!$A$2</xm:f>
            <x14:dxf>
              <font>
                <color theme="0"/>
              </font>
              <fill>
                <patternFill>
                  <bgColor rgb="FFFF0000"/>
                </patternFill>
              </fill>
            </x14:dxf>
          </x14:cfRule>
          <xm:sqref>K57:L57 Z57:AA57</xm:sqref>
        </x14:conditionalFormatting>
        <x14:conditionalFormatting xmlns:xm="http://schemas.microsoft.com/office/excel/2006/main">
          <x14:cfRule type="cellIs" priority="1367" operator="equal" id="{379FCEF7-6949-46B8-8AA8-C2F2FF6BF9C0}">
            <xm:f>SelectionCriteria!$A$5</xm:f>
            <x14:dxf>
              <fill>
                <patternFill>
                  <bgColor rgb="FF00B050"/>
                </patternFill>
              </fill>
            </x14:dxf>
          </x14:cfRule>
          <x14:cfRule type="cellIs" priority="1368" operator="equal" id="{7D7168D7-1505-46F1-BB81-D7BBE234800B}">
            <xm:f>SelectionCriteria!$A$4</xm:f>
            <x14:dxf>
              <fill>
                <patternFill>
                  <bgColor rgb="FFFFFF00"/>
                </patternFill>
              </fill>
            </x14:dxf>
          </x14:cfRule>
          <x14:cfRule type="cellIs" priority="1369" operator="equal" id="{28C45288-F27C-46B0-B242-1C477F657394}">
            <xm:f>SelectionCriteria!$A$3</xm:f>
            <x14:dxf>
              <fill>
                <patternFill>
                  <bgColor rgb="FFFFC000"/>
                </patternFill>
              </fill>
            </x14:dxf>
          </x14:cfRule>
          <x14:cfRule type="cellIs" priority="1370" operator="equal" id="{9406BA59-CF5C-4176-8DC7-42CE0F2AA7BD}">
            <xm:f>SelectionCriteria!$A$2</xm:f>
            <x14:dxf>
              <font>
                <color theme="0"/>
              </font>
              <fill>
                <patternFill>
                  <bgColor rgb="FFFF0000"/>
                </patternFill>
              </fill>
            </x14:dxf>
          </x14:cfRule>
          <xm:sqref>J57</xm:sqref>
        </x14:conditionalFormatting>
        <x14:conditionalFormatting xmlns:xm="http://schemas.microsoft.com/office/excel/2006/main">
          <x14:cfRule type="cellIs" priority="1362" operator="equal" id="{A4C0B169-218E-4276-8F60-2789BB72F374}">
            <xm:f>SelectionCriteria!$A$5</xm:f>
            <x14:dxf>
              <fill>
                <patternFill>
                  <bgColor rgb="FF00B050"/>
                </patternFill>
              </fill>
            </x14:dxf>
          </x14:cfRule>
          <x14:cfRule type="cellIs" priority="1363" operator="equal" id="{601C4AF0-1200-496E-9B55-8E7D4F1CB7F6}">
            <xm:f>SelectionCriteria!$A$4</xm:f>
            <x14:dxf>
              <fill>
                <patternFill>
                  <bgColor rgb="FFFFFF00"/>
                </patternFill>
              </fill>
            </x14:dxf>
          </x14:cfRule>
          <x14:cfRule type="cellIs" priority="1364" operator="equal" id="{B734D4E9-23FE-494C-9F2F-842B2E8D49A5}">
            <xm:f>SelectionCriteria!$A$3</xm:f>
            <x14:dxf>
              <fill>
                <patternFill>
                  <bgColor rgb="FFFFC000"/>
                </patternFill>
              </fill>
            </x14:dxf>
          </x14:cfRule>
          <x14:cfRule type="cellIs" priority="1365" operator="equal" id="{AC68A38A-1F65-472E-9603-1F7510082A94}">
            <xm:f>SelectionCriteria!$A$2</xm:f>
            <x14:dxf>
              <font>
                <color theme="0"/>
              </font>
              <fill>
                <patternFill>
                  <bgColor rgb="FFFF0000"/>
                </patternFill>
              </fill>
            </x14:dxf>
          </x14:cfRule>
          <xm:sqref>M57</xm:sqref>
        </x14:conditionalFormatting>
        <x14:conditionalFormatting xmlns:xm="http://schemas.microsoft.com/office/excel/2006/main">
          <x14:cfRule type="cellIs" priority="1357" operator="equal" id="{25EBBA2E-015A-4D01-BB0A-F7530C637EFA}">
            <xm:f>SelectionCriteria!$A$5</xm:f>
            <x14:dxf>
              <fill>
                <patternFill>
                  <bgColor rgb="FF00B050"/>
                </patternFill>
              </fill>
            </x14:dxf>
          </x14:cfRule>
          <x14:cfRule type="cellIs" priority="1358" operator="equal" id="{53DA69CF-EA4C-4980-9A64-E80C07B06330}">
            <xm:f>SelectionCriteria!$A$4</xm:f>
            <x14:dxf>
              <fill>
                <patternFill>
                  <bgColor rgb="FFFFFF00"/>
                </patternFill>
              </fill>
            </x14:dxf>
          </x14:cfRule>
          <x14:cfRule type="cellIs" priority="1359" operator="equal" id="{D1A05B4D-B3DD-46DD-BBC3-F33EB34C53A5}">
            <xm:f>SelectionCriteria!$A$3</xm:f>
            <x14:dxf>
              <fill>
                <patternFill>
                  <bgColor rgb="FFFFC000"/>
                </patternFill>
              </fill>
            </x14:dxf>
          </x14:cfRule>
          <x14:cfRule type="cellIs" priority="1360" operator="equal" id="{50DEF890-83FF-49B2-B43A-5F0F5ED46749}">
            <xm:f>SelectionCriteria!$A$2</xm:f>
            <x14:dxf>
              <font>
                <color theme="0"/>
              </font>
              <fill>
                <patternFill>
                  <bgColor rgb="FFFF0000"/>
                </patternFill>
              </fill>
            </x14:dxf>
          </x14:cfRule>
          <xm:sqref>N57</xm:sqref>
        </x14:conditionalFormatting>
        <x14:conditionalFormatting xmlns:xm="http://schemas.microsoft.com/office/excel/2006/main">
          <x14:cfRule type="cellIs" priority="1352" operator="equal" id="{6891E9A4-1FDB-450D-956E-BA02AF37C0BA}">
            <xm:f>SelectionCriteria!$A$5</xm:f>
            <x14:dxf>
              <fill>
                <patternFill>
                  <bgColor rgb="FF00B050"/>
                </patternFill>
              </fill>
            </x14:dxf>
          </x14:cfRule>
          <x14:cfRule type="cellIs" priority="1353" operator="equal" id="{18F0A31F-3925-44BA-A9DC-1536FDCFC240}">
            <xm:f>SelectionCriteria!$A$4</xm:f>
            <x14:dxf>
              <fill>
                <patternFill>
                  <bgColor rgb="FFFFFF00"/>
                </patternFill>
              </fill>
            </x14:dxf>
          </x14:cfRule>
          <x14:cfRule type="cellIs" priority="1354" operator="equal" id="{CBA51644-7F05-47B9-A93F-348BFB7954F2}">
            <xm:f>SelectionCriteria!$A$3</xm:f>
            <x14:dxf>
              <fill>
                <patternFill>
                  <bgColor rgb="FFFFC000"/>
                </patternFill>
              </fill>
            </x14:dxf>
          </x14:cfRule>
          <x14:cfRule type="cellIs" priority="1355" operator="equal" id="{4D254DC7-81D9-4E49-BD91-FB518EBF5515}">
            <xm:f>SelectionCriteria!$A$2</xm:f>
            <x14:dxf>
              <font>
                <color theme="0"/>
              </font>
              <fill>
                <patternFill>
                  <bgColor rgb="FFFF0000"/>
                </patternFill>
              </fill>
            </x14:dxf>
          </x14:cfRule>
          <xm:sqref>O57</xm:sqref>
        </x14:conditionalFormatting>
        <x14:conditionalFormatting xmlns:xm="http://schemas.microsoft.com/office/excel/2006/main">
          <x14:cfRule type="cellIs" priority="1347" operator="equal" id="{D8AD7F4B-484B-4922-9834-1B17EE29704D}">
            <xm:f>SelectionCriteria!$A$5</xm:f>
            <x14:dxf>
              <fill>
                <patternFill>
                  <bgColor rgb="FF00B050"/>
                </patternFill>
              </fill>
            </x14:dxf>
          </x14:cfRule>
          <x14:cfRule type="cellIs" priority="1348" operator="equal" id="{F279FD50-051E-4836-BD5C-A698C3E7B728}">
            <xm:f>SelectionCriteria!$A$4</xm:f>
            <x14:dxf>
              <fill>
                <patternFill>
                  <bgColor rgb="FFFFFF00"/>
                </patternFill>
              </fill>
            </x14:dxf>
          </x14:cfRule>
          <x14:cfRule type="cellIs" priority="1349" operator="equal" id="{F4A18BAF-00A6-4FD6-89C8-1A56E5DBA05D}">
            <xm:f>SelectionCriteria!$A$3</xm:f>
            <x14:dxf>
              <fill>
                <patternFill>
                  <bgColor rgb="FFFFC000"/>
                </patternFill>
              </fill>
            </x14:dxf>
          </x14:cfRule>
          <x14:cfRule type="cellIs" priority="1350" operator="equal" id="{8FD9F54E-6790-44D3-BD78-10FA75DE1E67}">
            <xm:f>SelectionCriteria!$A$2</xm:f>
            <x14:dxf>
              <font>
                <color theme="0"/>
              </font>
              <fill>
                <patternFill>
                  <bgColor rgb="FFFF0000"/>
                </patternFill>
              </fill>
            </x14:dxf>
          </x14:cfRule>
          <xm:sqref>P57:Q57</xm:sqref>
        </x14:conditionalFormatting>
        <x14:conditionalFormatting xmlns:xm="http://schemas.microsoft.com/office/excel/2006/main">
          <x14:cfRule type="cellIs" priority="1330" operator="equal" id="{2C8F6D26-3F42-442E-B657-B78981C43E50}">
            <xm:f>SelectionCriteria!$A$5</xm:f>
            <x14:dxf>
              <fill>
                <patternFill>
                  <bgColor rgb="FF00B050"/>
                </patternFill>
              </fill>
            </x14:dxf>
          </x14:cfRule>
          <x14:cfRule type="cellIs" priority="1331" operator="equal" id="{787B1760-52DE-4640-913C-9E1A7E8EA283}">
            <xm:f>SelectionCriteria!$A$4</xm:f>
            <x14:dxf>
              <fill>
                <patternFill>
                  <bgColor rgb="FFFFFF00"/>
                </patternFill>
              </fill>
            </x14:dxf>
          </x14:cfRule>
          <x14:cfRule type="cellIs" priority="1332" operator="equal" id="{AC62051B-30CA-41BD-A13D-5EB7E87AB87E}">
            <xm:f>SelectionCriteria!$A$3</xm:f>
            <x14:dxf>
              <fill>
                <patternFill>
                  <bgColor rgb="FFFFC000"/>
                </patternFill>
              </fill>
            </x14:dxf>
          </x14:cfRule>
          <x14:cfRule type="cellIs" priority="1333" operator="equal" id="{BE15795A-F006-4930-AB79-05C6DF9628D2}">
            <xm:f>SelectionCriteria!$A$2</xm:f>
            <x14:dxf>
              <font>
                <color theme="0"/>
              </font>
              <fill>
                <patternFill>
                  <bgColor rgb="FFFF0000"/>
                </patternFill>
              </fill>
            </x14:dxf>
          </x14:cfRule>
          <xm:sqref>K58:L58 Z58:AA58</xm:sqref>
        </x14:conditionalFormatting>
        <x14:conditionalFormatting xmlns:xm="http://schemas.microsoft.com/office/excel/2006/main">
          <x14:cfRule type="cellIs" priority="1311" operator="equal" id="{3C8E6D79-8066-400D-8AA2-F27751933A79}">
            <xm:f>SelectionCriteria!$A$5</xm:f>
            <x14:dxf>
              <fill>
                <patternFill>
                  <bgColor rgb="FF00B050"/>
                </patternFill>
              </fill>
            </x14:dxf>
          </x14:cfRule>
          <x14:cfRule type="cellIs" priority="1312" operator="equal" id="{DFF7CF4B-89DF-44E4-97C9-A481865DA977}">
            <xm:f>SelectionCriteria!$A$4</xm:f>
            <x14:dxf>
              <fill>
                <patternFill>
                  <bgColor rgb="FFFFFF00"/>
                </patternFill>
              </fill>
            </x14:dxf>
          </x14:cfRule>
          <x14:cfRule type="cellIs" priority="1313" operator="equal" id="{849A011B-8D3B-46EF-91FF-B855C2C7C01E}">
            <xm:f>SelectionCriteria!$A$3</xm:f>
            <x14:dxf>
              <fill>
                <patternFill>
                  <bgColor rgb="FFFFC000"/>
                </patternFill>
              </fill>
            </x14:dxf>
          </x14:cfRule>
          <x14:cfRule type="cellIs" priority="1314" operator="equal" id="{C1FEC815-A58C-4C19-82C3-144D7AA0540B}">
            <xm:f>SelectionCriteria!$A$2</xm:f>
            <x14:dxf>
              <font>
                <color theme="0"/>
              </font>
              <fill>
                <patternFill>
                  <bgColor rgb="FFFF0000"/>
                </patternFill>
              </fill>
            </x14:dxf>
          </x14:cfRule>
          <xm:sqref>J58</xm:sqref>
        </x14:conditionalFormatting>
        <x14:conditionalFormatting xmlns:xm="http://schemas.microsoft.com/office/excel/2006/main">
          <x14:cfRule type="cellIs" priority="1306" operator="equal" id="{F410F7F0-D292-416A-9D39-E3478B4A4362}">
            <xm:f>SelectionCriteria!$A$5</xm:f>
            <x14:dxf>
              <fill>
                <patternFill>
                  <bgColor rgb="FF00B050"/>
                </patternFill>
              </fill>
            </x14:dxf>
          </x14:cfRule>
          <x14:cfRule type="cellIs" priority="1307" operator="equal" id="{34E7BFCB-38CF-4CEF-94C8-0B86F06FA749}">
            <xm:f>SelectionCriteria!$A$4</xm:f>
            <x14:dxf>
              <fill>
                <patternFill>
                  <bgColor rgb="FFFFFF00"/>
                </patternFill>
              </fill>
            </x14:dxf>
          </x14:cfRule>
          <x14:cfRule type="cellIs" priority="1308" operator="equal" id="{73880521-7881-4C78-B91B-AF977AD3E5F7}">
            <xm:f>SelectionCriteria!$A$3</xm:f>
            <x14:dxf>
              <fill>
                <patternFill>
                  <bgColor rgb="FFFFC000"/>
                </patternFill>
              </fill>
            </x14:dxf>
          </x14:cfRule>
          <x14:cfRule type="cellIs" priority="1309" operator="equal" id="{9AF1B4C2-0C4A-4442-B017-D59F91163EE3}">
            <xm:f>SelectionCriteria!$A$2</xm:f>
            <x14:dxf>
              <font>
                <color theme="0"/>
              </font>
              <fill>
                <patternFill>
                  <bgColor rgb="FFFF0000"/>
                </patternFill>
              </fill>
            </x14:dxf>
          </x14:cfRule>
          <xm:sqref>M58</xm:sqref>
        </x14:conditionalFormatting>
        <x14:conditionalFormatting xmlns:xm="http://schemas.microsoft.com/office/excel/2006/main">
          <x14:cfRule type="cellIs" priority="1301" operator="equal" id="{04CC17E5-9786-4217-BE88-B5A34498615F}">
            <xm:f>SelectionCriteria!$A$5</xm:f>
            <x14:dxf>
              <fill>
                <patternFill>
                  <bgColor rgb="FF00B050"/>
                </patternFill>
              </fill>
            </x14:dxf>
          </x14:cfRule>
          <x14:cfRule type="cellIs" priority="1302" operator="equal" id="{6DDFCE96-9F79-4645-9BDA-A322710606E1}">
            <xm:f>SelectionCriteria!$A$4</xm:f>
            <x14:dxf>
              <fill>
                <patternFill>
                  <bgColor rgb="FFFFFF00"/>
                </patternFill>
              </fill>
            </x14:dxf>
          </x14:cfRule>
          <x14:cfRule type="cellIs" priority="1303" operator="equal" id="{983E0D39-8613-412F-88D8-5434E3B377D1}">
            <xm:f>SelectionCriteria!$A$3</xm:f>
            <x14:dxf>
              <fill>
                <patternFill>
                  <bgColor rgb="FFFFC000"/>
                </patternFill>
              </fill>
            </x14:dxf>
          </x14:cfRule>
          <x14:cfRule type="cellIs" priority="1304" operator="equal" id="{5A8A3E40-A5F3-4FDB-9C1B-E6FE242DA20E}">
            <xm:f>SelectionCriteria!$A$2</xm:f>
            <x14:dxf>
              <font>
                <color theme="0"/>
              </font>
              <fill>
                <patternFill>
                  <bgColor rgb="FFFF0000"/>
                </patternFill>
              </fill>
            </x14:dxf>
          </x14:cfRule>
          <xm:sqref>N58</xm:sqref>
        </x14:conditionalFormatting>
        <x14:conditionalFormatting xmlns:xm="http://schemas.microsoft.com/office/excel/2006/main">
          <x14:cfRule type="cellIs" priority="1296" operator="equal" id="{B25EF2A5-4266-45BA-A59D-3949F55BB8EF}">
            <xm:f>SelectionCriteria!$A$5</xm:f>
            <x14:dxf>
              <fill>
                <patternFill>
                  <bgColor rgb="FF00B050"/>
                </patternFill>
              </fill>
            </x14:dxf>
          </x14:cfRule>
          <x14:cfRule type="cellIs" priority="1297" operator="equal" id="{57A13CC3-46BE-4D3D-A066-69ADBC38B334}">
            <xm:f>SelectionCriteria!$A$4</xm:f>
            <x14:dxf>
              <fill>
                <patternFill>
                  <bgColor rgb="FFFFFF00"/>
                </patternFill>
              </fill>
            </x14:dxf>
          </x14:cfRule>
          <x14:cfRule type="cellIs" priority="1298" operator="equal" id="{306F9EC0-F361-4764-A711-A4681C25F9D8}">
            <xm:f>SelectionCriteria!$A$3</xm:f>
            <x14:dxf>
              <fill>
                <patternFill>
                  <bgColor rgb="FFFFC000"/>
                </patternFill>
              </fill>
            </x14:dxf>
          </x14:cfRule>
          <x14:cfRule type="cellIs" priority="1299" operator="equal" id="{0CCFA17E-465D-443A-B33B-0120513AB861}">
            <xm:f>SelectionCriteria!$A$2</xm:f>
            <x14:dxf>
              <font>
                <color theme="0"/>
              </font>
              <fill>
                <patternFill>
                  <bgColor rgb="FFFF0000"/>
                </patternFill>
              </fill>
            </x14:dxf>
          </x14:cfRule>
          <xm:sqref>O58</xm:sqref>
        </x14:conditionalFormatting>
        <x14:conditionalFormatting xmlns:xm="http://schemas.microsoft.com/office/excel/2006/main">
          <x14:cfRule type="cellIs" priority="1291" operator="equal" id="{27758D7E-3BFC-4CF6-A914-767B0A096CDA}">
            <xm:f>SelectionCriteria!$A$5</xm:f>
            <x14:dxf>
              <fill>
                <patternFill>
                  <bgColor rgb="FF00B050"/>
                </patternFill>
              </fill>
            </x14:dxf>
          </x14:cfRule>
          <x14:cfRule type="cellIs" priority="1292" operator="equal" id="{C8B1F250-4B60-4226-A1A9-D0C73874625B}">
            <xm:f>SelectionCriteria!$A$4</xm:f>
            <x14:dxf>
              <fill>
                <patternFill>
                  <bgColor rgb="FFFFFF00"/>
                </patternFill>
              </fill>
            </x14:dxf>
          </x14:cfRule>
          <x14:cfRule type="cellIs" priority="1293" operator="equal" id="{38140C63-4602-4CF8-AA4E-8E5A10270946}">
            <xm:f>SelectionCriteria!$A$3</xm:f>
            <x14:dxf>
              <fill>
                <patternFill>
                  <bgColor rgb="FFFFC000"/>
                </patternFill>
              </fill>
            </x14:dxf>
          </x14:cfRule>
          <x14:cfRule type="cellIs" priority="1294" operator="equal" id="{F66B1299-FCE9-4ADA-9A4A-AE617A4AFCBD}">
            <xm:f>SelectionCriteria!$A$2</xm:f>
            <x14:dxf>
              <font>
                <color theme="0"/>
              </font>
              <fill>
                <patternFill>
                  <bgColor rgb="FFFF0000"/>
                </patternFill>
              </fill>
            </x14:dxf>
          </x14:cfRule>
          <xm:sqref>P58:Q58</xm:sqref>
        </x14:conditionalFormatting>
        <x14:conditionalFormatting xmlns:xm="http://schemas.microsoft.com/office/excel/2006/main">
          <x14:cfRule type="cellIs" priority="1274" operator="equal" id="{8C70B187-4298-4A87-B89C-B0ED90763B75}">
            <xm:f>SelectionCriteria!$A$5</xm:f>
            <x14:dxf>
              <fill>
                <patternFill>
                  <bgColor rgb="FF00B050"/>
                </patternFill>
              </fill>
            </x14:dxf>
          </x14:cfRule>
          <x14:cfRule type="cellIs" priority="1275" operator="equal" id="{67541258-987C-4618-BEC7-B288A26AD6C8}">
            <xm:f>SelectionCriteria!$A$4</xm:f>
            <x14:dxf>
              <fill>
                <patternFill>
                  <bgColor rgb="FFFFFF00"/>
                </patternFill>
              </fill>
            </x14:dxf>
          </x14:cfRule>
          <x14:cfRule type="cellIs" priority="1276" operator="equal" id="{A27C18B9-C6BE-418A-BFB2-E3B324DED88F}">
            <xm:f>SelectionCriteria!$A$3</xm:f>
            <x14:dxf>
              <fill>
                <patternFill>
                  <bgColor rgb="FFFFC000"/>
                </patternFill>
              </fill>
            </x14:dxf>
          </x14:cfRule>
          <x14:cfRule type="cellIs" priority="1277" operator="equal" id="{5D7E27EA-A826-427C-A360-D7104790D7B4}">
            <xm:f>SelectionCriteria!$A$2</xm:f>
            <x14:dxf>
              <font>
                <color theme="0"/>
              </font>
              <fill>
                <patternFill>
                  <bgColor rgb="FFFF0000"/>
                </patternFill>
              </fill>
            </x14:dxf>
          </x14:cfRule>
          <xm:sqref>K59:L59 Z59:AA59</xm:sqref>
        </x14:conditionalFormatting>
        <x14:conditionalFormatting xmlns:xm="http://schemas.microsoft.com/office/excel/2006/main">
          <x14:cfRule type="cellIs" priority="1255" operator="equal" id="{250568B8-CF6D-4ECE-83A4-D6EAC21A1B29}">
            <xm:f>SelectionCriteria!$A$5</xm:f>
            <x14:dxf>
              <fill>
                <patternFill>
                  <bgColor rgb="FF00B050"/>
                </patternFill>
              </fill>
            </x14:dxf>
          </x14:cfRule>
          <x14:cfRule type="cellIs" priority="1256" operator="equal" id="{7464B913-E517-4C59-9C65-47DCC0D7419E}">
            <xm:f>SelectionCriteria!$A$4</xm:f>
            <x14:dxf>
              <fill>
                <patternFill>
                  <bgColor rgb="FFFFFF00"/>
                </patternFill>
              </fill>
            </x14:dxf>
          </x14:cfRule>
          <x14:cfRule type="cellIs" priority="1257" operator="equal" id="{CA830EE1-A2D2-4542-9783-CAE6D6A09122}">
            <xm:f>SelectionCriteria!$A$3</xm:f>
            <x14:dxf>
              <fill>
                <patternFill>
                  <bgColor rgb="FFFFC000"/>
                </patternFill>
              </fill>
            </x14:dxf>
          </x14:cfRule>
          <x14:cfRule type="cellIs" priority="1258" operator="equal" id="{627F9DF3-4C43-4A1D-8DD8-8CA7DAC52245}">
            <xm:f>SelectionCriteria!$A$2</xm:f>
            <x14:dxf>
              <font>
                <color theme="0"/>
              </font>
              <fill>
                <patternFill>
                  <bgColor rgb="FFFF0000"/>
                </patternFill>
              </fill>
            </x14:dxf>
          </x14:cfRule>
          <xm:sqref>J59</xm:sqref>
        </x14:conditionalFormatting>
        <x14:conditionalFormatting xmlns:xm="http://schemas.microsoft.com/office/excel/2006/main">
          <x14:cfRule type="cellIs" priority="1250" operator="equal" id="{A09B55BA-BC33-46B9-9778-CB9814A40463}">
            <xm:f>SelectionCriteria!$A$5</xm:f>
            <x14:dxf>
              <fill>
                <patternFill>
                  <bgColor rgb="FF00B050"/>
                </patternFill>
              </fill>
            </x14:dxf>
          </x14:cfRule>
          <x14:cfRule type="cellIs" priority="1251" operator="equal" id="{F9091A0E-345B-4D9A-BE5E-E7144EE6272E}">
            <xm:f>SelectionCriteria!$A$4</xm:f>
            <x14:dxf>
              <fill>
                <patternFill>
                  <bgColor rgb="FFFFFF00"/>
                </patternFill>
              </fill>
            </x14:dxf>
          </x14:cfRule>
          <x14:cfRule type="cellIs" priority="1252" operator="equal" id="{45B0C796-A533-4018-A6C2-4123D3C1193E}">
            <xm:f>SelectionCriteria!$A$3</xm:f>
            <x14:dxf>
              <fill>
                <patternFill>
                  <bgColor rgb="FFFFC000"/>
                </patternFill>
              </fill>
            </x14:dxf>
          </x14:cfRule>
          <x14:cfRule type="cellIs" priority="1253" operator="equal" id="{8FFE36F9-5800-4B4B-8C07-0F6AF9D55374}">
            <xm:f>SelectionCriteria!$A$2</xm:f>
            <x14:dxf>
              <font>
                <color theme="0"/>
              </font>
              <fill>
                <patternFill>
                  <bgColor rgb="FFFF0000"/>
                </patternFill>
              </fill>
            </x14:dxf>
          </x14:cfRule>
          <xm:sqref>M59</xm:sqref>
        </x14:conditionalFormatting>
        <x14:conditionalFormatting xmlns:xm="http://schemas.microsoft.com/office/excel/2006/main">
          <x14:cfRule type="cellIs" priority="1245" operator="equal" id="{BF2FA003-7547-48D4-B5B2-7C83FF83ADD3}">
            <xm:f>SelectionCriteria!$A$5</xm:f>
            <x14:dxf>
              <fill>
                <patternFill>
                  <bgColor rgb="FF00B050"/>
                </patternFill>
              </fill>
            </x14:dxf>
          </x14:cfRule>
          <x14:cfRule type="cellIs" priority="1246" operator="equal" id="{C8409ED7-AE1C-4FAD-A837-85E0C2414FE1}">
            <xm:f>SelectionCriteria!$A$4</xm:f>
            <x14:dxf>
              <fill>
                <patternFill>
                  <bgColor rgb="FFFFFF00"/>
                </patternFill>
              </fill>
            </x14:dxf>
          </x14:cfRule>
          <x14:cfRule type="cellIs" priority="1247" operator="equal" id="{8EF615E7-1E94-4691-8A3C-C360256C0F55}">
            <xm:f>SelectionCriteria!$A$3</xm:f>
            <x14:dxf>
              <fill>
                <patternFill>
                  <bgColor rgb="FFFFC000"/>
                </patternFill>
              </fill>
            </x14:dxf>
          </x14:cfRule>
          <x14:cfRule type="cellIs" priority="1248" operator="equal" id="{BBF25798-2555-44D0-9A6D-7F73B04C0B07}">
            <xm:f>SelectionCriteria!$A$2</xm:f>
            <x14:dxf>
              <font>
                <color theme="0"/>
              </font>
              <fill>
                <patternFill>
                  <bgColor rgb="FFFF0000"/>
                </patternFill>
              </fill>
            </x14:dxf>
          </x14:cfRule>
          <xm:sqref>N59</xm:sqref>
        </x14:conditionalFormatting>
        <x14:conditionalFormatting xmlns:xm="http://schemas.microsoft.com/office/excel/2006/main">
          <x14:cfRule type="cellIs" priority="1240" operator="equal" id="{358B6AD8-81C2-4C9B-ABA6-BA83BED90148}">
            <xm:f>SelectionCriteria!$A$5</xm:f>
            <x14:dxf>
              <fill>
                <patternFill>
                  <bgColor rgb="FF00B050"/>
                </patternFill>
              </fill>
            </x14:dxf>
          </x14:cfRule>
          <x14:cfRule type="cellIs" priority="1241" operator="equal" id="{CABB2D4F-0C19-42F2-8506-080E53D906F6}">
            <xm:f>SelectionCriteria!$A$4</xm:f>
            <x14:dxf>
              <fill>
                <patternFill>
                  <bgColor rgb="FFFFFF00"/>
                </patternFill>
              </fill>
            </x14:dxf>
          </x14:cfRule>
          <x14:cfRule type="cellIs" priority="1242" operator="equal" id="{00D0786E-77D3-448E-8971-29C304B6130F}">
            <xm:f>SelectionCriteria!$A$3</xm:f>
            <x14:dxf>
              <fill>
                <patternFill>
                  <bgColor rgb="FFFFC000"/>
                </patternFill>
              </fill>
            </x14:dxf>
          </x14:cfRule>
          <x14:cfRule type="cellIs" priority="1243" operator="equal" id="{4924F91A-54D9-40B4-8C6D-F8FBFEAE3881}">
            <xm:f>SelectionCriteria!$A$2</xm:f>
            <x14:dxf>
              <font>
                <color theme="0"/>
              </font>
              <fill>
                <patternFill>
                  <bgColor rgb="FFFF0000"/>
                </patternFill>
              </fill>
            </x14:dxf>
          </x14:cfRule>
          <xm:sqref>O59</xm:sqref>
        </x14:conditionalFormatting>
        <x14:conditionalFormatting xmlns:xm="http://schemas.microsoft.com/office/excel/2006/main">
          <x14:cfRule type="cellIs" priority="1235" operator="equal" id="{2827F243-1602-40F9-A399-D2F7B8FAB7DB}">
            <xm:f>SelectionCriteria!$A$5</xm:f>
            <x14:dxf>
              <fill>
                <patternFill>
                  <bgColor rgb="FF00B050"/>
                </patternFill>
              </fill>
            </x14:dxf>
          </x14:cfRule>
          <x14:cfRule type="cellIs" priority="1236" operator="equal" id="{A3141CF3-5F0B-4B31-A2E6-2202AEC3634B}">
            <xm:f>SelectionCriteria!$A$4</xm:f>
            <x14:dxf>
              <fill>
                <patternFill>
                  <bgColor rgb="FFFFFF00"/>
                </patternFill>
              </fill>
            </x14:dxf>
          </x14:cfRule>
          <x14:cfRule type="cellIs" priority="1237" operator="equal" id="{9FC8DA40-6EA1-45D0-B69D-0614326E7406}">
            <xm:f>SelectionCriteria!$A$3</xm:f>
            <x14:dxf>
              <fill>
                <patternFill>
                  <bgColor rgb="FFFFC000"/>
                </patternFill>
              </fill>
            </x14:dxf>
          </x14:cfRule>
          <x14:cfRule type="cellIs" priority="1238" operator="equal" id="{2A24A0AF-C430-4F80-A3A6-9C9B0C4748CF}">
            <xm:f>SelectionCriteria!$A$2</xm:f>
            <x14:dxf>
              <font>
                <color theme="0"/>
              </font>
              <fill>
                <patternFill>
                  <bgColor rgb="FFFF0000"/>
                </patternFill>
              </fill>
            </x14:dxf>
          </x14:cfRule>
          <xm:sqref>P59:Q59</xm:sqref>
        </x14:conditionalFormatting>
        <x14:conditionalFormatting xmlns:xm="http://schemas.microsoft.com/office/excel/2006/main">
          <x14:cfRule type="expression" priority="1193" id="{E7EC9AE2-DEE0-4C89-8C4A-DAD7D7408F22}">
            <xm:f>$M77&lt;='\Users\ericmannel\Library\Containers\com.microsoft.Excel\Data\Documents\Users\isourikova\AppData\Local\Packages\Microsoft.MicrosoftEdge_8wekyb3d8bbwe\TempState\Downloads\[CD-2 Risk Register Dec 15 (1).xlsx]SelectionCriteria'!#REF!</xm:f>
            <x14:dxf>
              <fill>
                <patternFill>
                  <bgColor rgb="FF00B050"/>
                </patternFill>
              </fill>
            </x14:dxf>
          </x14:cfRule>
          <x14:cfRule type="expression" priority="1194" id="{EAF78EA3-9FE9-478B-A8D4-9D1623ACF6F3}">
            <xm:f>$M77&lt;='\Users\ericmannel\Library\Containers\com.microsoft.Excel\Data\Documents\Users\isourikova\AppData\Local\Packages\Microsoft.MicrosoftEdge_8wekyb3d8bbwe\TempState\Downloads\[CD-2 Risk Register Dec 15 (1).xlsx]SelectionCriteria'!#REF!</xm:f>
            <x14:dxf>
              <fill>
                <patternFill>
                  <bgColor rgb="FFFFFF00"/>
                </patternFill>
              </fill>
            </x14:dxf>
          </x14:cfRule>
          <x14:cfRule type="expression" priority="1195" id="{EDA353D6-D9EC-456B-85B8-2EE021984A66}">
            <xm:f>$M77&lt;='\Users\ericmannel\Library\Containers\com.microsoft.Excel\Data\Documents\Users\isourikova\AppData\Local\Packages\Microsoft.MicrosoftEdge_8wekyb3d8bbwe\TempState\Downloads\[CD-2 Risk Register Dec 15 (1).xlsx]SelectionCriteria'!#REF!</xm:f>
            <x14:dxf>
              <fill>
                <patternFill>
                  <bgColor rgb="FFFFC000"/>
                </patternFill>
              </fill>
            </x14:dxf>
          </x14:cfRule>
          <x14:cfRule type="expression" priority="1196" id="{6A16DC2A-0386-45F0-B01F-DE56D62137C7}">
            <xm:f>$M77&gt;'\Users\ericmannel\Library\Containers\com.microsoft.Excel\Data\Documents\Users\isourikova\AppData\Local\Packages\Microsoft.MicrosoftEdge_8wekyb3d8bbwe\TempState\Downloads\[CD-2 Risk Register Dec 15 (1).xlsx]SelectionCriteria'!#REF!</xm:f>
            <x14:dxf>
              <font>
                <color theme="0"/>
              </font>
              <fill>
                <patternFill>
                  <bgColor rgb="FFFF0000"/>
                </patternFill>
              </fill>
            </x14:dxf>
          </x14:cfRule>
          <xm:sqref>M77:M78</xm:sqref>
        </x14:conditionalFormatting>
        <x14:conditionalFormatting xmlns:xm="http://schemas.microsoft.com/office/excel/2006/main">
          <x14:cfRule type="cellIs" priority="1213" operator="equal" id="{1E522741-45F7-42CF-9B9A-7B1D74DBEC66}">
            <xm:f>'\Users\ericmannel\Library\Containers\com.microsoft.Excel\Data\Documents\Users\isourikova\AppData\Local\Packages\Microsoft.MicrosoftEdge_8wekyb3d8bbwe\TempState\Downloads\[CD-2 Risk Register Dec 15 (1).xlsx]SelectionCriteria'!#REF!</xm:f>
            <x14:dxf>
              <fill>
                <patternFill>
                  <bgColor rgb="FF00B050"/>
                </patternFill>
              </fill>
            </x14:dxf>
          </x14:cfRule>
          <x14:cfRule type="cellIs" priority="1214" operator="equal" id="{463F2B59-1913-4887-8A11-180B1F4406D2}">
            <xm:f>'\Users\ericmannel\Library\Containers\com.microsoft.Excel\Data\Documents\Users\isourikova\AppData\Local\Packages\Microsoft.MicrosoftEdge_8wekyb3d8bbwe\TempState\Downloads\[CD-2 Risk Register Dec 15 (1).xlsx]SelectionCriteria'!#REF!</xm:f>
            <x14:dxf>
              <fill>
                <patternFill>
                  <bgColor rgb="FFFFFF00"/>
                </patternFill>
              </fill>
            </x14:dxf>
          </x14:cfRule>
          <x14:cfRule type="cellIs" priority="1215" operator="equal" id="{930CDA4E-F128-4115-B30A-023DE00FF523}">
            <xm:f>'\Users\ericmannel\Library\Containers\com.microsoft.Excel\Data\Documents\Users\isourikova\AppData\Local\Packages\Microsoft.MicrosoftEdge_8wekyb3d8bbwe\TempState\Downloads\[CD-2 Risk Register Dec 15 (1).xlsx]SelectionCriteria'!#REF!</xm:f>
            <x14:dxf>
              <fill>
                <patternFill>
                  <bgColor rgb="FFFFC000"/>
                </patternFill>
              </fill>
            </x14:dxf>
          </x14:cfRule>
          <x14:cfRule type="cellIs" priority="1216" operator="equal" id="{9489F1F4-EC26-45C4-B268-0A0DE7D58F8C}">
            <xm:f>'\Users\ericmannel\Library\Containers\com.microsoft.Excel\Data\Documents\Users\isourikova\AppData\Local\Packages\Microsoft.MicrosoftEdge_8wekyb3d8bbwe\TempState\Downloads\[CD-2 Risk Register Dec 15 (1).xlsx]SelectionCriteria'!#REF!</xm:f>
            <x14:dxf>
              <font>
                <color theme="0"/>
              </font>
              <fill>
                <patternFill>
                  <bgColor rgb="FFFF0000"/>
                </patternFill>
              </fill>
            </x14:dxf>
          </x14:cfRule>
          <xm:sqref>K77:L78</xm:sqref>
        </x14:conditionalFormatting>
        <x14:conditionalFormatting xmlns:xm="http://schemas.microsoft.com/office/excel/2006/main">
          <x14:cfRule type="cellIs" priority="1209" operator="equal" id="{17466A48-B961-445A-AEBA-9BEA6F997B3E}">
            <xm:f>'\Users\ericmannel\Library\Containers\com.microsoft.Excel\Data\Documents\Users\isourikova\AppData\Local\Packages\Microsoft.MicrosoftEdge_8wekyb3d8bbwe\TempState\Downloads\[CD-2 Risk Register Dec 15 (1).xlsx]SelectionCriteria'!#REF!</xm:f>
            <x14:dxf>
              <fill>
                <patternFill>
                  <bgColor rgb="FF00B050"/>
                </patternFill>
              </fill>
            </x14:dxf>
          </x14:cfRule>
          <x14:cfRule type="cellIs" priority="1210" operator="equal" id="{F6D716F9-380E-452E-8375-A505FBAA772D}">
            <xm:f>'\Users\ericmannel\Library\Containers\com.microsoft.Excel\Data\Documents\Users\isourikova\AppData\Local\Packages\Microsoft.MicrosoftEdge_8wekyb3d8bbwe\TempState\Downloads\[CD-2 Risk Register Dec 15 (1).xlsx]SelectionCriteria'!#REF!</xm:f>
            <x14:dxf>
              <fill>
                <patternFill>
                  <bgColor rgb="FFFFFF00"/>
                </patternFill>
              </fill>
            </x14:dxf>
          </x14:cfRule>
          <x14:cfRule type="cellIs" priority="1211" operator="equal" id="{10E5B291-2F7B-4286-9A0E-720A6F4DFE53}">
            <xm:f>'\Users\ericmannel\Library\Containers\com.microsoft.Excel\Data\Documents\Users\isourikova\AppData\Local\Packages\Microsoft.MicrosoftEdge_8wekyb3d8bbwe\TempState\Downloads\[CD-2 Risk Register Dec 15 (1).xlsx]SelectionCriteria'!#REF!</xm:f>
            <x14:dxf>
              <fill>
                <patternFill>
                  <bgColor rgb="FFFFC000"/>
                </patternFill>
              </fill>
            </x14:dxf>
          </x14:cfRule>
          <x14:cfRule type="cellIs" priority="1212" operator="equal" id="{66420D43-18BF-433F-9E31-7B1499339DC6}">
            <xm:f>'\Users\ericmannel\Library\Containers\com.microsoft.Excel\Data\Documents\Users\isourikova\AppData\Local\Packages\Microsoft.MicrosoftEdge_8wekyb3d8bbwe\TempState\Downloads\[CD-2 Risk Register Dec 15 (1).xlsx]SelectionCriteria'!#REF!</xm:f>
            <x14:dxf>
              <font>
                <color theme="0"/>
              </font>
              <fill>
                <patternFill>
                  <bgColor rgb="FFFF0000"/>
                </patternFill>
              </fill>
            </x14:dxf>
          </x14:cfRule>
          <xm:sqref>AA77:AA78</xm:sqref>
        </x14:conditionalFormatting>
        <x14:conditionalFormatting xmlns:xm="http://schemas.microsoft.com/office/excel/2006/main">
          <x14:cfRule type="cellIs" priority="1180" operator="equal" id="{14479DFC-7E53-439E-9B0C-EDEE0F6B1901}">
            <xm:f>SelectionCriteria!$A$5</xm:f>
            <x14:dxf>
              <fill>
                <patternFill>
                  <bgColor rgb="FF00B050"/>
                </patternFill>
              </fill>
            </x14:dxf>
          </x14:cfRule>
          <x14:cfRule type="cellIs" priority="1181" operator="equal" id="{B87DAAE5-481A-4A31-BBC3-BF8A6A456182}">
            <xm:f>SelectionCriteria!$A$4</xm:f>
            <x14:dxf>
              <fill>
                <patternFill>
                  <bgColor rgb="FFFFFF00"/>
                </patternFill>
              </fill>
            </x14:dxf>
          </x14:cfRule>
          <x14:cfRule type="cellIs" priority="1182" operator="equal" id="{C1896761-F6E8-48CD-874D-68BB126EB1B4}">
            <xm:f>SelectionCriteria!$A$3</xm:f>
            <x14:dxf>
              <fill>
                <patternFill>
                  <bgColor rgb="FFFFC000"/>
                </patternFill>
              </fill>
            </x14:dxf>
          </x14:cfRule>
          <x14:cfRule type="cellIs" priority="1183" operator="equal" id="{1D6487CB-A13F-4E42-923A-0F87D4054751}">
            <xm:f>SelectionCriteria!$A$2</xm:f>
            <x14:dxf>
              <font>
                <color theme="0"/>
              </font>
              <fill>
                <patternFill>
                  <bgColor rgb="FFFF0000"/>
                </patternFill>
              </fill>
            </x14:dxf>
          </x14:cfRule>
          <xm:sqref>Z66:Z70 Z85:Z87 Z75:Z78</xm:sqref>
        </x14:conditionalFormatting>
        <x14:conditionalFormatting xmlns:xm="http://schemas.microsoft.com/office/excel/2006/main">
          <x14:cfRule type="expression" priority="1147" id="{60330B04-9D19-4C26-AD46-FFCF7E70AC57}">
            <xm:f>$M9&lt;=SelectionCriteria!$G$5</xm:f>
            <x14:dxf>
              <fill>
                <patternFill>
                  <bgColor rgb="FF00B050"/>
                </patternFill>
              </fill>
            </x14:dxf>
          </x14:cfRule>
          <x14:cfRule type="expression" priority="1148" id="{E632317E-24F2-4321-939F-D8C28E9B0271}">
            <xm:f>$M9&lt;=SelectionCriteria!$G$4</xm:f>
            <x14:dxf>
              <fill>
                <patternFill>
                  <bgColor rgb="FFFFFF00"/>
                </patternFill>
              </fill>
            </x14:dxf>
          </x14:cfRule>
          <x14:cfRule type="expression" priority="1149" id="{0272D274-1718-4B5E-B673-8441AB223DA0}">
            <xm:f>$M9&lt;=SelectionCriteria!$G$3</xm:f>
            <x14:dxf>
              <fill>
                <patternFill>
                  <bgColor rgb="FFFFC000"/>
                </patternFill>
              </fill>
            </x14:dxf>
          </x14:cfRule>
          <x14:cfRule type="expression" priority="1150" id="{088FADCC-244F-4190-869B-12DCC5E32220}">
            <xm:f>$M9&gt;SelectionCriteria!$G$3</xm:f>
            <x14:dxf>
              <font>
                <color theme="0"/>
              </font>
              <fill>
                <patternFill>
                  <bgColor rgb="FFFF0000"/>
                </patternFill>
              </fill>
            </x14:dxf>
          </x14:cfRule>
          <xm:sqref>M9</xm:sqref>
        </x14:conditionalFormatting>
        <x14:conditionalFormatting xmlns:xm="http://schemas.microsoft.com/office/excel/2006/main">
          <x14:cfRule type="cellIs" priority="1163" operator="equal" id="{15087AA2-6265-4934-B765-569FDA07BB12}">
            <xm:f>SelectionCriteria!$A$5</xm:f>
            <x14:dxf>
              <fill>
                <patternFill>
                  <bgColor rgb="FF00B050"/>
                </patternFill>
              </fill>
            </x14:dxf>
          </x14:cfRule>
          <x14:cfRule type="cellIs" priority="1164" operator="equal" id="{6CE9D935-8B95-41D0-8B80-B7F3AA25378F}">
            <xm:f>SelectionCriteria!$A$4</xm:f>
            <x14:dxf>
              <fill>
                <patternFill>
                  <bgColor rgb="FFFFFF00"/>
                </patternFill>
              </fill>
            </x14:dxf>
          </x14:cfRule>
          <x14:cfRule type="cellIs" priority="1165" operator="equal" id="{D9C63EF9-DF60-4377-A6A8-0EAC7228F1F1}">
            <xm:f>SelectionCriteria!$A$3</xm:f>
            <x14:dxf>
              <fill>
                <patternFill>
                  <bgColor rgb="FFFFC000"/>
                </patternFill>
              </fill>
            </x14:dxf>
          </x14:cfRule>
          <x14:cfRule type="cellIs" priority="1166" operator="equal" id="{306F85C9-7AA9-4627-BCD7-CE44CB934246}">
            <xm:f>SelectionCriteria!$A$2</xm:f>
            <x14:dxf>
              <font>
                <color theme="0"/>
              </font>
              <fill>
                <patternFill>
                  <bgColor rgb="FFFF0000"/>
                </patternFill>
              </fill>
            </x14:dxf>
          </x14:cfRule>
          <xm:sqref>Z9:AA9 K9:L9</xm:sqref>
        </x14:conditionalFormatting>
        <x14:conditionalFormatting xmlns:xm="http://schemas.microsoft.com/office/excel/2006/main">
          <x14:cfRule type="cellIs" priority="1137" operator="equal" id="{3DEE825D-63F7-4147-8D93-5A7F85F50B11}">
            <xm:f>SelectionCriteria!$A$5</xm:f>
            <x14:dxf>
              <fill>
                <patternFill>
                  <bgColor rgb="FF00B050"/>
                </patternFill>
              </fill>
            </x14:dxf>
          </x14:cfRule>
          <x14:cfRule type="cellIs" priority="1138" operator="equal" id="{57E20478-D444-44B1-B500-4DC31E155374}">
            <xm:f>SelectionCriteria!$A$4</xm:f>
            <x14:dxf>
              <fill>
                <patternFill>
                  <bgColor rgb="FFFFFF00"/>
                </patternFill>
              </fill>
            </x14:dxf>
          </x14:cfRule>
          <x14:cfRule type="cellIs" priority="1139" operator="equal" id="{D7AA18B4-BB4B-465B-9D40-B71CCCF0B5AF}">
            <xm:f>SelectionCriteria!$A$3</xm:f>
            <x14:dxf>
              <fill>
                <patternFill>
                  <bgColor rgb="FFFFC000"/>
                </patternFill>
              </fill>
            </x14:dxf>
          </x14:cfRule>
          <x14:cfRule type="cellIs" priority="1140" operator="equal" id="{8997FBA6-46E0-4898-92C3-5B310211A26F}">
            <xm:f>SelectionCriteria!$A$2</xm:f>
            <x14:dxf>
              <font>
                <color theme="0"/>
              </font>
              <fill>
                <patternFill>
                  <bgColor rgb="FFFF0000"/>
                </patternFill>
              </fill>
            </x14:dxf>
          </x14:cfRule>
          <xm:sqref>AB29</xm:sqref>
        </x14:conditionalFormatting>
        <x14:conditionalFormatting xmlns:xm="http://schemas.microsoft.com/office/excel/2006/main">
          <x14:cfRule type="cellIs" priority="1133" operator="equal" id="{199037EF-63DC-412F-B9E7-E53EA01D33EF}">
            <xm:f>SelectionCriteria!$A$5</xm:f>
            <x14:dxf>
              <fill>
                <patternFill>
                  <bgColor rgb="FF00B050"/>
                </patternFill>
              </fill>
            </x14:dxf>
          </x14:cfRule>
          <x14:cfRule type="cellIs" priority="1134" operator="equal" id="{94E340D0-32DB-420C-9656-7EFCDB5EFD9B}">
            <xm:f>SelectionCriteria!$A$4</xm:f>
            <x14:dxf>
              <fill>
                <patternFill>
                  <bgColor rgb="FFFFFF00"/>
                </patternFill>
              </fill>
            </x14:dxf>
          </x14:cfRule>
          <x14:cfRule type="cellIs" priority="1135" operator="equal" id="{20B85973-52FB-4BA0-B58F-5868843E9207}">
            <xm:f>SelectionCriteria!$A$3</xm:f>
            <x14:dxf>
              <fill>
                <patternFill>
                  <bgColor rgb="FFFFC000"/>
                </patternFill>
              </fill>
            </x14:dxf>
          </x14:cfRule>
          <x14:cfRule type="cellIs" priority="1136" operator="equal" id="{58126DA9-6342-4CA2-B6AE-CF36EEF2D4A0}">
            <xm:f>SelectionCriteria!$A$2</xm:f>
            <x14:dxf>
              <font>
                <color theme="0"/>
              </font>
              <fill>
                <patternFill>
                  <bgColor rgb="FFFF0000"/>
                </patternFill>
              </fill>
            </x14:dxf>
          </x14:cfRule>
          <xm:sqref>AC29</xm:sqref>
        </x14:conditionalFormatting>
        <x14:conditionalFormatting xmlns:xm="http://schemas.microsoft.com/office/excel/2006/main">
          <x14:cfRule type="cellIs" priority="1129" operator="equal" id="{AC68C797-9450-4380-8183-324C50A9F9D7}">
            <xm:f>SelectionCriteria!$A$5</xm:f>
            <x14:dxf>
              <fill>
                <patternFill>
                  <bgColor rgb="FF00B050"/>
                </patternFill>
              </fill>
            </x14:dxf>
          </x14:cfRule>
          <x14:cfRule type="cellIs" priority="1130" operator="equal" id="{C26A4AFE-9927-40C9-AA02-37CF1443C921}">
            <xm:f>SelectionCriteria!$A$4</xm:f>
            <x14:dxf>
              <fill>
                <patternFill>
                  <bgColor rgb="FFFFFF00"/>
                </patternFill>
              </fill>
            </x14:dxf>
          </x14:cfRule>
          <x14:cfRule type="cellIs" priority="1131" operator="equal" id="{7C9885E5-7668-49F3-9B3B-4D8849E7E56C}">
            <xm:f>SelectionCriteria!$A$3</xm:f>
            <x14:dxf>
              <fill>
                <patternFill>
                  <bgColor rgb="FFFFC000"/>
                </patternFill>
              </fill>
            </x14:dxf>
          </x14:cfRule>
          <x14:cfRule type="cellIs" priority="1132" operator="equal" id="{46D4CA0D-56B5-4336-ABB5-65919ACA92E6}">
            <xm:f>SelectionCriteria!$A$2</xm:f>
            <x14:dxf>
              <font>
                <color theme="0"/>
              </font>
              <fill>
                <patternFill>
                  <bgColor rgb="FFFF0000"/>
                </patternFill>
              </fill>
            </x14:dxf>
          </x14:cfRule>
          <xm:sqref>AD29</xm:sqref>
        </x14:conditionalFormatting>
        <x14:conditionalFormatting xmlns:xm="http://schemas.microsoft.com/office/excel/2006/main">
          <x14:cfRule type="cellIs" priority="1125" operator="equal" id="{93F80BC1-4714-4B6B-8670-335DF8878FB5}">
            <xm:f>SelectionCriteria!$A$5</xm:f>
            <x14:dxf>
              <fill>
                <patternFill>
                  <bgColor rgb="FF00B050"/>
                </patternFill>
              </fill>
            </x14:dxf>
          </x14:cfRule>
          <x14:cfRule type="cellIs" priority="1126" operator="equal" id="{E6BE5BC7-E84A-472F-A6C5-113AA6F84C2A}">
            <xm:f>SelectionCriteria!$A$4</xm:f>
            <x14:dxf>
              <fill>
                <patternFill>
                  <bgColor rgb="FFFFFF00"/>
                </patternFill>
              </fill>
            </x14:dxf>
          </x14:cfRule>
          <x14:cfRule type="cellIs" priority="1127" operator="equal" id="{B69C28C1-A9E5-4537-BE5E-3A1E54AC3B76}">
            <xm:f>SelectionCriteria!$A$3</xm:f>
            <x14:dxf>
              <fill>
                <patternFill>
                  <bgColor rgb="FFFFC000"/>
                </patternFill>
              </fill>
            </x14:dxf>
          </x14:cfRule>
          <x14:cfRule type="cellIs" priority="1128" operator="equal" id="{2AD87D54-ECEE-49B2-BCF7-826737DF4232}">
            <xm:f>SelectionCriteria!$A$2</xm:f>
            <x14:dxf>
              <font>
                <color theme="0"/>
              </font>
              <fill>
                <patternFill>
                  <bgColor rgb="FFFF0000"/>
                </patternFill>
              </fill>
            </x14:dxf>
          </x14:cfRule>
          <xm:sqref>AE29</xm:sqref>
        </x14:conditionalFormatting>
        <x14:conditionalFormatting xmlns:xm="http://schemas.microsoft.com/office/excel/2006/main">
          <x14:cfRule type="cellIs" priority="1121" operator="equal" id="{8D1A5F8A-1A79-4B24-867F-CB18473E5E56}">
            <xm:f>SelectionCriteria!$A$5</xm:f>
            <x14:dxf>
              <fill>
                <patternFill>
                  <bgColor rgb="FF00B050"/>
                </patternFill>
              </fill>
            </x14:dxf>
          </x14:cfRule>
          <x14:cfRule type="cellIs" priority="1122" operator="equal" id="{2997F7FD-7108-47E5-9452-C91FC1930D6D}">
            <xm:f>SelectionCriteria!$A$4</xm:f>
            <x14:dxf>
              <fill>
                <patternFill>
                  <bgColor rgb="FFFFFF00"/>
                </patternFill>
              </fill>
            </x14:dxf>
          </x14:cfRule>
          <x14:cfRule type="cellIs" priority="1123" operator="equal" id="{90DAE04A-E286-4AE7-BBEE-AEFD61961AA9}">
            <xm:f>SelectionCriteria!$A$3</xm:f>
            <x14:dxf>
              <fill>
                <patternFill>
                  <bgColor rgb="FFFFC000"/>
                </patternFill>
              </fill>
            </x14:dxf>
          </x14:cfRule>
          <x14:cfRule type="cellIs" priority="1124" operator="equal" id="{C449600E-614F-4F97-95F5-B2F3399E01C3}">
            <xm:f>SelectionCriteria!$A$2</xm:f>
            <x14:dxf>
              <font>
                <color theme="0"/>
              </font>
              <fill>
                <patternFill>
                  <bgColor rgb="FFFF0000"/>
                </patternFill>
              </fill>
            </x14:dxf>
          </x14:cfRule>
          <xm:sqref>AF29</xm:sqref>
        </x14:conditionalFormatting>
        <x14:conditionalFormatting xmlns:xm="http://schemas.microsoft.com/office/excel/2006/main">
          <x14:cfRule type="cellIs" priority="1117" operator="equal" id="{AE84908D-EAAF-4240-8590-B64549DC5A88}">
            <xm:f>SelectionCriteria!$A$5</xm:f>
            <x14:dxf>
              <fill>
                <patternFill>
                  <bgColor rgb="FF00B050"/>
                </patternFill>
              </fill>
            </x14:dxf>
          </x14:cfRule>
          <x14:cfRule type="cellIs" priority="1118" operator="equal" id="{1E346B6C-897B-4F72-BBBA-95C4AA13FB6C}">
            <xm:f>SelectionCriteria!$A$4</xm:f>
            <x14:dxf>
              <fill>
                <patternFill>
                  <bgColor rgb="FFFFFF00"/>
                </patternFill>
              </fill>
            </x14:dxf>
          </x14:cfRule>
          <x14:cfRule type="cellIs" priority="1119" operator="equal" id="{3CD9C829-D87F-4E44-A826-D315818209B3}">
            <xm:f>SelectionCriteria!$A$3</xm:f>
            <x14:dxf>
              <fill>
                <patternFill>
                  <bgColor rgb="FFFFC000"/>
                </patternFill>
              </fill>
            </x14:dxf>
          </x14:cfRule>
          <x14:cfRule type="cellIs" priority="1120" operator="equal" id="{B724BB5F-DEEB-460C-B5F5-BB84C8935058}">
            <xm:f>SelectionCriteria!$A$2</xm:f>
            <x14:dxf>
              <font>
                <color theme="0"/>
              </font>
              <fill>
                <patternFill>
                  <bgColor rgb="FFFF0000"/>
                </patternFill>
              </fill>
            </x14:dxf>
          </x14:cfRule>
          <xm:sqref>AG29</xm:sqref>
        </x14:conditionalFormatting>
        <x14:conditionalFormatting xmlns:xm="http://schemas.microsoft.com/office/excel/2006/main">
          <x14:cfRule type="cellIs" priority="1112" operator="equal" id="{D8CE797D-60F4-492A-80DD-32E052E53D48}">
            <xm:f>SelectionCriteria!$A$5</xm:f>
            <x14:dxf>
              <fill>
                <patternFill>
                  <bgColor rgb="FF00B050"/>
                </patternFill>
              </fill>
            </x14:dxf>
          </x14:cfRule>
          <x14:cfRule type="cellIs" priority="1113" operator="equal" id="{53A77659-4583-423B-9734-58FDC313237B}">
            <xm:f>SelectionCriteria!$A$4</xm:f>
            <x14:dxf>
              <fill>
                <patternFill>
                  <bgColor rgb="FFFFFF00"/>
                </patternFill>
              </fill>
            </x14:dxf>
          </x14:cfRule>
          <x14:cfRule type="cellIs" priority="1114" operator="equal" id="{33768C0E-3894-492C-B3FD-B33BF052FA17}">
            <xm:f>SelectionCriteria!$A$3</xm:f>
            <x14:dxf>
              <fill>
                <patternFill>
                  <bgColor rgb="FFFFC000"/>
                </patternFill>
              </fill>
            </x14:dxf>
          </x14:cfRule>
          <x14:cfRule type="cellIs" priority="1115" operator="equal" id="{002D6487-869D-45D6-AFBB-B2E66499F9F1}">
            <xm:f>SelectionCriteria!$A$2</xm:f>
            <x14:dxf>
              <font>
                <color theme="0"/>
              </font>
              <fill>
                <patternFill>
                  <bgColor rgb="FFFF0000"/>
                </patternFill>
              </fill>
            </x14:dxf>
          </x14:cfRule>
          <xm:sqref>AB13:AG13</xm:sqref>
        </x14:conditionalFormatting>
        <x14:conditionalFormatting xmlns:xm="http://schemas.microsoft.com/office/excel/2006/main">
          <x14:cfRule type="expression" priority="1080" id="{C128E263-2A7D-4BBA-A80C-B6DADD2AF56D}">
            <xm:f>$M84&lt;='\Users\ericmannel\Library\Containers\com.microsoft.Excel\Data\Documents\Users\isourikova\AppData\Local\Microsoft\Windows\INetCache\Content.Outlook\PEMHR5UC\[Infrastructure_Risk_Registry.xlsx]SelectionCriteria'!#REF!</xm:f>
            <x14:dxf>
              <fill>
                <patternFill>
                  <bgColor rgb="FF00B050"/>
                </patternFill>
              </fill>
            </x14:dxf>
          </x14:cfRule>
          <x14:cfRule type="expression" priority="1081" id="{A791AB44-41EC-4DB3-83CE-A3376D7FB0D3}">
            <xm:f>$M84&lt;='\Users\ericmannel\Library\Containers\com.microsoft.Excel\Data\Documents\Users\isourikova\AppData\Local\Microsoft\Windows\INetCache\Content.Outlook\PEMHR5UC\[Infrastructure_Risk_Registry.xlsx]SelectionCriteria'!#REF!</xm:f>
            <x14:dxf>
              <fill>
                <patternFill>
                  <bgColor rgb="FFFFFF00"/>
                </patternFill>
              </fill>
            </x14:dxf>
          </x14:cfRule>
          <x14:cfRule type="expression" priority="1082" id="{E22B844E-09EE-4307-A2FA-00CE702D5265}">
            <xm:f>$M84&lt;='\Users\ericmannel\Library\Containers\com.microsoft.Excel\Data\Documents\Users\isourikova\AppData\Local\Microsoft\Windows\INetCache\Content.Outlook\PEMHR5UC\[Infrastructure_Risk_Registry.xlsx]SelectionCriteria'!#REF!</xm:f>
            <x14:dxf>
              <fill>
                <patternFill>
                  <bgColor rgb="FFFFC000"/>
                </patternFill>
              </fill>
            </x14:dxf>
          </x14:cfRule>
          <x14:cfRule type="expression" priority="1083" id="{04D354E3-C5D9-4836-A577-E2130DD17086}">
            <xm:f>$M84&gt;'\Users\ericmannel\Library\Containers\com.microsoft.Excel\Data\Documents\Users\isourikova\AppData\Local\Microsoft\Windows\INetCache\Content.Outlook\PEMHR5UC\[Infrastructure_Risk_Registry.xlsx]SelectionCriteria'!#REF!</xm:f>
            <x14:dxf>
              <font>
                <color theme="0"/>
              </font>
              <fill>
                <patternFill>
                  <bgColor rgb="FFFF0000"/>
                </patternFill>
              </fill>
            </x14:dxf>
          </x14:cfRule>
          <xm:sqref>M84</xm:sqref>
        </x14:conditionalFormatting>
        <x14:conditionalFormatting xmlns:xm="http://schemas.microsoft.com/office/excel/2006/main">
          <x14:cfRule type="cellIs" priority="1096" operator="equal" id="{6A831D78-F2CE-4169-9377-D58D2D9CAB08}">
            <xm:f>'\Users\ericmannel\Library\Containers\com.microsoft.Excel\Data\Documents\Users\isourikova\AppData\Local\Microsoft\Windows\INetCache\Content.Outlook\PEMHR5UC\[Infrastructure_Risk_Registry.xlsx]SelectionCriteria'!#REF!</xm:f>
            <x14:dxf>
              <fill>
                <patternFill>
                  <bgColor rgb="FF00B050"/>
                </patternFill>
              </fill>
            </x14:dxf>
          </x14:cfRule>
          <x14:cfRule type="cellIs" priority="1097" operator="equal" id="{8AAAE7AD-B68E-45B2-ADD5-96693C7E4FA5}">
            <xm:f>'\Users\ericmannel\Library\Containers\com.microsoft.Excel\Data\Documents\Users\isourikova\AppData\Local\Microsoft\Windows\INetCache\Content.Outlook\PEMHR5UC\[Infrastructure_Risk_Registry.xlsx]SelectionCriteria'!#REF!</xm:f>
            <x14:dxf>
              <fill>
                <patternFill>
                  <bgColor rgb="FFFFFF00"/>
                </patternFill>
              </fill>
            </x14:dxf>
          </x14:cfRule>
          <x14:cfRule type="cellIs" priority="1098" operator="equal" id="{18A47C31-C3EF-4954-B6CD-A324CFDD08EE}">
            <xm:f>'\Users\ericmannel\Library\Containers\com.microsoft.Excel\Data\Documents\Users\isourikova\AppData\Local\Microsoft\Windows\INetCache\Content.Outlook\PEMHR5UC\[Infrastructure_Risk_Registry.xlsx]SelectionCriteria'!#REF!</xm:f>
            <x14:dxf>
              <fill>
                <patternFill>
                  <bgColor rgb="FFFFC000"/>
                </patternFill>
              </fill>
            </x14:dxf>
          </x14:cfRule>
          <x14:cfRule type="cellIs" priority="1099" operator="equal" id="{C9809A37-3B38-4FC2-939B-244B9086DADB}">
            <xm:f>'\Users\ericmannel\Library\Containers\com.microsoft.Excel\Data\Documents\Users\isourikova\AppData\Local\Microsoft\Windows\INetCache\Content.Outlook\PEMHR5UC\[Infrastructure_Risk_Registry.xlsx]SelectionCriteria'!#REF!</xm:f>
            <x14:dxf>
              <font>
                <color theme="0"/>
              </font>
              <fill>
                <patternFill>
                  <bgColor rgb="FFFF0000"/>
                </patternFill>
              </fill>
            </x14:dxf>
          </x14:cfRule>
          <xm:sqref>AA84 K84:L84</xm:sqref>
        </x14:conditionalFormatting>
        <x14:conditionalFormatting xmlns:xm="http://schemas.microsoft.com/office/excel/2006/main">
          <x14:cfRule type="cellIs" priority="1065" operator="equal" id="{604684E8-2E9F-4C3C-8C54-091BA0DA5E12}">
            <xm:f>SelectionCriteria!$A$5</xm:f>
            <x14:dxf>
              <fill>
                <patternFill>
                  <bgColor rgb="FF00B050"/>
                </patternFill>
              </fill>
            </x14:dxf>
          </x14:cfRule>
          <x14:cfRule type="cellIs" priority="1066" operator="equal" id="{EB25AB92-0848-4027-8667-108855BD0589}">
            <xm:f>SelectionCriteria!$A$4</xm:f>
            <x14:dxf>
              <fill>
                <patternFill>
                  <bgColor rgb="FFFFFF00"/>
                </patternFill>
              </fill>
            </x14:dxf>
          </x14:cfRule>
          <x14:cfRule type="cellIs" priority="1067" operator="equal" id="{FE18F4F8-D2F5-41CD-84CA-56A314C5E755}">
            <xm:f>SelectionCriteria!$A$3</xm:f>
            <x14:dxf>
              <fill>
                <patternFill>
                  <bgColor rgb="FFFFC000"/>
                </patternFill>
              </fill>
            </x14:dxf>
          </x14:cfRule>
          <x14:cfRule type="cellIs" priority="1068" operator="equal" id="{5C57E3E6-93A5-4F41-8793-807D9C03FABA}">
            <xm:f>SelectionCriteria!$A$2</xm:f>
            <x14:dxf>
              <font>
                <color theme="0"/>
              </font>
              <fill>
                <patternFill>
                  <bgColor rgb="FFFF0000"/>
                </patternFill>
              </fill>
            </x14:dxf>
          </x14:cfRule>
          <xm:sqref>Z84</xm:sqref>
        </x14:conditionalFormatting>
        <x14:conditionalFormatting xmlns:xm="http://schemas.microsoft.com/office/excel/2006/main">
          <x14:cfRule type="cellIs" priority="1007" operator="equal" id="{B66E318B-F83F-4237-BCD0-7F6E25436D74}">
            <xm:f>SelectionCriteria!$A$5</xm:f>
            <x14:dxf>
              <fill>
                <patternFill>
                  <bgColor rgb="FF00B050"/>
                </patternFill>
              </fill>
            </x14:dxf>
          </x14:cfRule>
          <x14:cfRule type="cellIs" priority="1008" operator="equal" id="{B62338E6-B7FA-4DFD-93E9-4170C02F38A3}">
            <xm:f>SelectionCriteria!$A$4</xm:f>
            <x14:dxf>
              <fill>
                <patternFill>
                  <bgColor rgb="FFFFFF00"/>
                </patternFill>
              </fill>
            </x14:dxf>
          </x14:cfRule>
          <x14:cfRule type="cellIs" priority="1009" operator="equal" id="{20B7D8E1-F522-4F28-80EC-6D3D1A1CC911}">
            <xm:f>SelectionCriteria!$A$3</xm:f>
            <x14:dxf>
              <fill>
                <patternFill>
                  <bgColor rgb="FFFFC000"/>
                </patternFill>
              </fill>
            </x14:dxf>
          </x14:cfRule>
          <x14:cfRule type="cellIs" priority="1010" operator="equal" id="{8DC17E3A-3EC0-4382-BCBF-8BCF74174249}">
            <xm:f>SelectionCriteria!$A$2</xm:f>
            <x14:dxf>
              <font>
                <color theme="0"/>
              </font>
              <fill>
                <patternFill>
                  <bgColor rgb="FFFF0000"/>
                </patternFill>
              </fill>
            </x14:dxf>
          </x14:cfRule>
          <xm:sqref>L113</xm:sqref>
        </x14:conditionalFormatting>
        <x14:conditionalFormatting xmlns:xm="http://schemas.microsoft.com/office/excel/2006/main">
          <x14:cfRule type="cellIs" priority="1002" operator="equal" id="{F357AF59-275B-4271-8C18-268376381F79}">
            <xm:f>SelectionCriteria!$A$5</xm:f>
            <x14:dxf>
              <fill>
                <patternFill>
                  <bgColor rgb="FF00B050"/>
                </patternFill>
              </fill>
            </x14:dxf>
          </x14:cfRule>
          <x14:cfRule type="cellIs" priority="1003" operator="equal" id="{6D01F7A7-6263-4EDE-AD8C-05A33F85092E}">
            <xm:f>SelectionCriteria!$A$4</xm:f>
            <x14:dxf>
              <fill>
                <patternFill>
                  <bgColor rgb="FFFFFF00"/>
                </patternFill>
              </fill>
            </x14:dxf>
          </x14:cfRule>
          <x14:cfRule type="cellIs" priority="1004" operator="equal" id="{64126E8C-0EA2-43C4-AFFE-1B1144EC2210}">
            <xm:f>SelectionCriteria!$A$3</xm:f>
            <x14:dxf>
              <fill>
                <patternFill>
                  <bgColor rgb="FFFFC000"/>
                </patternFill>
              </fill>
            </x14:dxf>
          </x14:cfRule>
          <x14:cfRule type="cellIs" priority="1005" operator="equal" id="{7E6E486F-F71F-4BE6-B8E4-9FC8A2B7F154}">
            <xm:f>SelectionCriteria!$A$2</xm:f>
            <x14:dxf>
              <font>
                <color theme="0"/>
              </font>
              <fill>
                <patternFill>
                  <bgColor rgb="FFFF0000"/>
                </patternFill>
              </fill>
            </x14:dxf>
          </x14:cfRule>
          <xm:sqref>L99</xm:sqref>
        </x14:conditionalFormatting>
        <x14:conditionalFormatting xmlns:xm="http://schemas.microsoft.com/office/excel/2006/main">
          <x14:cfRule type="cellIs" priority="989" operator="equal" id="{CCAB9C33-FA89-4146-8B90-1F015A5278D7}">
            <xm:f>SelectionCriteria!$A$5</xm:f>
            <x14:dxf>
              <fill>
                <patternFill>
                  <bgColor rgb="FF00B050"/>
                </patternFill>
              </fill>
            </x14:dxf>
          </x14:cfRule>
          <x14:cfRule type="cellIs" priority="990" operator="equal" id="{F5B605EF-7373-45BF-B5B3-0BD9D2B42980}">
            <xm:f>SelectionCriteria!$A$4</xm:f>
            <x14:dxf>
              <fill>
                <patternFill>
                  <bgColor rgb="FFFFFF00"/>
                </patternFill>
              </fill>
            </x14:dxf>
          </x14:cfRule>
          <x14:cfRule type="cellIs" priority="991" operator="equal" id="{E77D6A52-580B-4E47-9721-425A37B2C960}">
            <xm:f>SelectionCriteria!$A$3</xm:f>
            <x14:dxf>
              <fill>
                <patternFill>
                  <bgColor rgb="FFFFC000"/>
                </patternFill>
              </fill>
            </x14:dxf>
          </x14:cfRule>
          <x14:cfRule type="cellIs" priority="992" operator="equal" id="{9E47EFC4-ABD3-41E2-8D0F-E5007766A969}">
            <xm:f>SelectionCriteria!$A$2</xm:f>
            <x14:dxf>
              <font>
                <color theme="0"/>
              </font>
              <fill>
                <patternFill>
                  <bgColor rgb="FFFF0000"/>
                </patternFill>
              </fill>
            </x14:dxf>
          </x14:cfRule>
          <xm:sqref>K114</xm:sqref>
        </x14:conditionalFormatting>
        <x14:conditionalFormatting xmlns:xm="http://schemas.microsoft.com/office/excel/2006/main">
          <x14:cfRule type="cellIs" priority="954" operator="equal" id="{4A0606F5-0650-46B9-9815-B87302B5BC4C}">
            <xm:f>'\Users\ericmannel\Library\Containers\com.microsoft.Excel\Data\Documents\Users\isourikova\AppData\Local\Packages\Microsoft.MicrosoftEdge_8wekyb3d8bbwe\TempState\Downloads\[CD-2 Risk Register Dec 15 (1).xlsx]SelectionCriteria'!#REF!</xm:f>
            <x14:dxf>
              <fill>
                <patternFill>
                  <bgColor rgb="FF00B050"/>
                </patternFill>
              </fill>
            </x14:dxf>
          </x14:cfRule>
          <x14:cfRule type="cellIs" priority="955" operator="equal" id="{14F0D5E3-5E41-478B-AC1E-701E2A33872D}">
            <xm:f>'\Users\ericmannel\Library\Containers\com.microsoft.Excel\Data\Documents\Users\isourikova\AppData\Local\Packages\Microsoft.MicrosoftEdge_8wekyb3d8bbwe\TempState\Downloads\[CD-2 Risk Register Dec 15 (1).xlsx]SelectionCriteria'!#REF!</xm:f>
            <x14:dxf>
              <fill>
                <patternFill>
                  <bgColor rgb="FFFFFF00"/>
                </patternFill>
              </fill>
            </x14:dxf>
          </x14:cfRule>
          <x14:cfRule type="cellIs" priority="956" operator="equal" id="{B34C571C-BD5E-496F-9AFE-57C436CB9D19}">
            <xm:f>'\Users\ericmannel\Library\Containers\com.microsoft.Excel\Data\Documents\Users\isourikova\AppData\Local\Packages\Microsoft.MicrosoftEdge_8wekyb3d8bbwe\TempState\Downloads\[CD-2 Risk Register Dec 15 (1).xlsx]SelectionCriteria'!#REF!</xm:f>
            <x14:dxf>
              <fill>
                <patternFill>
                  <bgColor rgb="FFFFC000"/>
                </patternFill>
              </fill>
            </x14:dxf>
          </x14:cfRule>
          <x14:cfRule type="cellIs" priority="957" operator="equal" id="{477FEBBD-A3DC-4573-BC0D-32D3DBB2FBA4}">
            <xm:f>'\Users\ericmannel\Library\Containers\com.microsoft.Excel\Data\Documents\Users\isourikova\AppData\Local\Packages\Microsoft.MicrosoftEdge_8wekyb3d8bbwe\TempState\Downloads\[CD-2 Risk Register Dec 15 (1).xlsx]SelectionCriteria'!#REF!</xm:f>
            <x14:dxf>
              <font>
                <color theme="0"/>
              </font>
              <fill>
                <patternFill>
                  <bgColor rgb="FFFF0000"/>
                </patternFill>
              </fill>
            </x14:dxf>
          </x14:cfRule>
          <xm:sqref>K80:L80</xm:sqref>
        </x14:conditionalFormatting>
        <x14:conditionalFormatting xmlns:xm="http://schemas.microsoft.com/office/excel/2006/main">
          <x14:cfRule type="cellIs" priority="950" operator="equal" id="{BB54F32B-6DE9-45B7-AE02-4E99379AFC59}">
            <xm:f>'\Users\ericmannel\Library\Containers\com.microsoft.Excel\Data\Documents\Users\isourikova\AppData\Local\Packages\Microsoft.MicrosoftEdge_8wekyb3d8bbwe\TempState\Downloads\[CD-2 Risk Register Dec 15 (1).xlsx]SelectionCriteria'!#REF!</xm:f>
            <x14:dxf>
              <fill>
                <patternFill>
                  <bgColor rgb="FF00B050"/>
                </patternFill>
              </fill>
            </x14:dxf>
          </x14:cfRule>
          <x14:cfRule type="cellIs" priority="951" operator="equal" id="{DB792F61-F399-45FA-873A-54638C4276DD}">
            <xm:f>'\Users\ericmannel\Library\Containers\com.microsoft.Excel\Data\Documents\Users\isourikova\AppData\Local\Packages\Microsoft.MicrosoftEdge_8wekyb3d8bbwe\TempState\Downloads\[CD-2 Risk Register Dec 15 (1).xlsx]SelectionCriteria'!#REF!</xm:f>
            <x14:dxf>
              <fill>
                <patternFill>
                  <bgColor rgb="FFFFFF00"/>
                </patternFill>
              </fill>
            </x14:dxf>
          </x14:cfRule>
          <x14:cfRule type="cellIs" priority="952" operator="equal" id="{76F14DE8-30B8-4F5C-831C-3D4F4B9F59FB}">
            <xm:f>'\Users\ericmannel\Library\Containers\com.microsoft.Excel\Data\Documents\Users\isourikova\AppData\Local\Packages\Microsoft.MicrosoftEdge_8wekyb3d8bbwe\TempState\Downloads\[CD-2 Risk Register Dec 15 (1).xlsx]SelectionCriteria'!#REF!</xm:f>
            <x14:dxf>
              <fill>
                <patternFill>
                  <bgColor rgb="FFFFC000"/>
                </patternFill>
              </fill>
            </x14:dxf>
          </x14:cfRule>
          <x14:cfRule type="cellIs" priority="953" operator="equal" id="{AE6FEDC4-7CC5-4D23-BE25-80D29B8274F4}">
            <xm:f>'\Users\ericmannel\Library\Containers\com.microsoft.Excel\Data\Documents\Users\isourikova\AppData\Local\Packages\Microsoft.MicrosoftEdge_8wekyb3d8bbwe\TempState\Downloads\[CD-2 Risk Register Dec 15 (1).xlsx]SelectionCriteria'!#REF!</xm:f>
            <x14:dxf>
              <font>
                <color theme="0"/>
              </font>
              <fill>
                <patternFill>
                  <bgColor rgb="FFFF0000"/>
                </patternFill>
              </fill>
            </x14:dxf>
          </x14:cfRule>
          <xm:sqref>AA80</xm:sqref>
        </x14:conditionalFormatting>
        <x14:conditionalFormatting xmlns:xm="http://schemas.microsoft.com/office/excel/2006/main">
          <x14:cfRule type="cellIs" priority="916" operator="equal" id="{F860AFB4-543E-499F-AD3B-402FC42AB2D8}">
            <xm:f>SelectionCriteria!$A$5</xm:f>
            <x14:dxf>
              <fill>
                <patternFill>
                  <bgColor rgb="FF00B050"/>
                </patternFill>
              </fill>
            </x14:dxf>
          </x14:cfRule>
          <x14:cfRule type="cellIs" priority="917" operator="equal" id="{A4192EC1-C537-46DC-9B63-7A0742997346}">
            <xm:f>SelectionCriteria!$A$4</xm:f>
            <x14:dxf>
              <fill>
                <patternFill>
                  <bgColor rgb="FFFFFF00"/>
                </patternFill>
              </fill>
            </x14:dxf>
          </x14:cfRule>
          <x14:cfRule type="cellIs" priority="918" operator="equal" id="{E894B2D5-C463-4F0E-9A8C-B8B2563C6934}">
            <xm:f>SelectionCriteria!$A$3</xm:f>
            <x14:dxf>
              <fill>
                <patternFill>
                  <bgColor rgb="FFFFC000"/>
                </patternFill>
              </fill>
            </x14:dxf>
          </x14:cfRule>
          <x14:cfRule type="cellIs" priority="919" operator="equal" id="{4C53EB9A-E680-4EFA-A18F-6395EFCFF909}">
            <xm:f>SelectionCriteria!$A$2</xm:f>
            <x14:dxf>
              <font>
                <color theme="0"/>
              </font>
              <fill>
                <patternFill>
                  <bgColor rgb="FFFF0000"/>
                </patternFill>
              </fill>
            </x14:dxf>
          </x14:cfRule>
          <xm:sqref>K82</xm:sqref>
        </x14:conditionalFormatting>
        <x14:conditionalFormatting xmlns:xm="http://schemas.microsoft.com/office/excel/2006/main">
          <x14:cfRule type="cellIs" priority="912" operator="equal" id="{A431BD6A-707A-469D-B1E4-1E26B7462F88}">
            <xm:f>SelectionCriteria!$A$5</xm:f>
            <x14:dxf>
              <fill>
                <patternFill>
                  <bgColor rgb="FF00B050"/>
                </patternFill>
              </fill>
            </x14:dxf>
          </x14:cfRule>
          <x14:cfRule type="cellIs" priority="913" operator="equal" id="{8284A520-87E9-4119-B4FA-E57F61909711}">
            <xm:f>SelectionCriteria!$A$4</xm:f>
            <x14:dxf>
              <fill>
                <patternFill>
                  <bgColor rgb="FFFFFF00"/>
                </patternFill>
              </fill>
            </x14:dxf>
          </x14:cfRule>
          <x14:cfRule type="cellIs" priority="914" operator="equal" id="{FC7702DA-3ED3-4FA4-82F1-8141C2B773E3}">
            <xm:f>SelectionCriteria!$A$3</xm:f>
            <x14:dxf>
              <fill>
                <patternFill>
                  <bgColor rgb="FFFFC000"/>
                </patternFill>
              </fill>
            </x14:dxf>
          </x14:cfRule>
          <x14:cfRule type="cellIs" priority="915" operator="equal" id="{597D4AE1-5F5A-4420-92DA-6FD9ADD9692E}">
            <xm:f>SelectionCriteria!$A$2</xm:f>
            <x14:dxf>
              <font>
                <color theme="0"/>
              </font>
              <fill>
                <patternFill>
                  <bgColor rgb="FFFF0000"/>
                </patternFill>
              </fill>
            </x14:dxf>
          </x14:cfRule>
          <xm:sqref>K83</xm:sqref>
        </x14:conditionalFormatting>
        <x14:conditionalFormatting xmlns:xm="http://schemas.microsoft.com/office/excel/2006/main">
          <x14:cfRule type="expression" priority="904" id="{E706A273-BAB9-4646-9C9C-37647113E8C1}">
            <xm:f>$M80&lt;='\Users\ericmannel\Library\Containers\com.microsoft.Excel\Data\Documents\Users\isourikova\AppData\Local\Packages\Microsoft.MicrosoftEdge_8wekyb3d8bbwe\TempState\Downloads\[CD-2 Risk Register Dec 15 (1).xlsx]SelectionCriteria'!#REF!</xm:f>
            <x14:dxf>
              <fill>
                <patternFill>
                  <bgColor rgb="FF00B050"/>
                </patternFill>
              </fill>
            </x14:dxf>
          </x14:cfRule>
          <x14:cfRule type="expression" priority="905" id="{64A8A275-B31F-4446-B13A-7DF264865B2B}">
            <xm:f>$M80&lt;='\Users\ericmannel\Library\Containers\com.microsoft.Excel\Data\Documents\Users\isourikova\AppData\Local\Packages\Microsoft.MicrosoftEdge_8wekyb3d8bbwe\TempState\Downloads\[CD-2 Risk Register Dec 15 (1).xlsx]SelectionCriteria'!#REF!</xm:f>
            <x14:dxf>
              <fill>
                <patternFill>
                  <bgColor rgb="FFFFFF00"/>
                </patternFill>
              </fill>
            </x14:dxf>
          </x14:cfRule>
          <x14:cfRule type="expression" priority="906" id="{C3F73717-E591-474A-80B8-4043A03E8471}">
            <xm:f>$M80&lt;='\Users\ericmannel\Library\Containers\com.microsoft.Excel\Data\Documents\Users\isourikova\AppData\Local\Packages\Microsoft.MicrosoftEdge_8wekyb3d8bbwe\TempState\Downloads\[CD-2 Risk Register Dec 15 (1).xlsx]SelectionCriteria'!#REF!</xm:f>
            <x14:dxf>
              <fill>
                <patternFill>
                  <bgColor rgb="FFFFC000"/>
                </patternFill>
              </fill>
            </x14:dxf>
          </x14:cfRule>
          <x14:cfRule type="expression" priority="907" id="{CCF568F1-6915-4FFE-9CF0-55E9571309A5}">
            <xm:f>$M80&gt;'\Users\ericmannel\Library\Containers\com.microsoft.Excel\Data\Documents\Users\isourikova\AppData\Local\Packages\Microsoft.MicrosoftEdge_8wekyb3d8bbwe\TempState\Downloads\[CD-2 Risk Register Dec 15 (1).xlsx]SelectionCriteria'!#REF!</xm:f>
            <x14:dxf>
              <font>
                <color theme="0"/>
              </font>
              <fill>
                <patternFill>
                  <bgColor rgb="FFFF0000"/>
                </patternFill>
              </fill>
            </x14:dxf>
          </x14:cfRule>
          <xm:sqref>M80</xm:sqref>
        </x14:conditionalFormatting>
        <x14:conditionalFormatting xmlns:xm="http://schemas.microsoft.com/office/excel/2006/main">
          <x14:cfRule type="cellIs" priority="898" operator="equal" id="{3CDA62EE-DC80-4BE5-A393-4E09585A101A}">
            <xm:f>SelectionCriteria!$A$5</xm:f>
            <x14:dxf>
              <fill>
                <patternFill>
                  <bgColor rgb="FF00B050"/>
                </patternFill>
              </fill>
            </x14:dxf>
          </x14:cfRule>
          <x14:cfRule type="cellIs" priority="899" operator="equal" id="{C7436BB8-34D7-4DEE-99BC-E3339640C777}">
            <xm:f>SelectionCriteria!$A$4</xm:f>
            <x14:dxf>
              <fill>
                <patternFill>
                  <bgColor rgb="FFFFFF00"/>
                </patternFill>
              </fill>
            </x14:dxf>
          </x14:cfRule>
          <x14:cfRule type="cellIs" priority="900" operator="equal" id="{C521E90E-0A56-4A68-88CF-4571F8550837}">
            <xm:f>SelectionCriteria!$A$3</xm:f>
            <x14:dxf>
              <fill>
                <patternFill>
                  <bgColor rgb="FFFFC000"/>
                </patternFill>
              </fill>
            </x14:dxf>
          </x14:cfRule>
          <x14:cfRule type="cellIs" priority="901" operator="equal" id="{B1650CFC-A42D-4A17-BB2B-C131DABEC33A}">
            <xm:f>SelectionCriteria!$A$2</xm:f>
            <x14:dxf>
              <font>
                <color theme="0"/>
              </font>
              <fill>
                <patternFill>
                  <bgColor rgb="FFFF0000"/>
                </patternFill>
              </fill>
            </x14:dxf>
          </x14:cfRule>
          <xm:sqref>Z80</xm:sqref>
        </x14:conditionalFormatting>
        <x14:conditionalFormatting xmlns:xm="http://schemas.microsoft.com/office/excel/2006/main">
          <x14:cfRule type="cellIs" priority="866" operator="equal" id="{2C4E4CF6-DA2E-4241-B169-01725039DEC4}">
            <xm:f>SelectionCriteria!$A$5</xm:f>
            <x14:dxf>
              <fill>
                <patternFill>
                  <bgColor rgb="FF00B050"/>
                </patternFill>
              </fill>
            </x14:dxf>
          </x14:cfRule>
          <x14:cfRule type="cellIs" priority="867" operator="equal" id="{95083CCD-8F93-430B-A385-DE82B165D021}">
            <xm:f>SelectionCriteria!$A$4</xm:f>
            <x14:dxf>
              <fill>
                <patternFill>
                  <bgColor rgb="FFFFFF00"/>
                </patternFill>
              </fill>
            </x14:dxf>
          </x14:cfRule>
          <x14:cfRule type="cellIs" priority="868" operator="equal" id="{0BBFDD3D-FD4B-4BE4-9DCF-91378247067B}">
            <xm:f>SelectionCriteria!$A$3</xm:f>
            <x14:dxf>
              <fill>
                <patternFill>
                  <bgColor rgb="FFFFC000"/>
                </patternFill>
              </fill>
            </x14:dxf>
          </x14:cfRule>
          <x14:cfRule type="cellIs" priority="869" operator="equal" id="{1BF10940-572C-4A69-B7E7-48465FB3E05B}">
            <xm:f>SelectionCriteria!$A$2</xm:f>
            <x14:dxf>
              <font>
                <color theme="0"/>
              </font>
              <fill>
                <patternFill>
                  <bgColor rgb="FFFF0000"/>
                </patternFill>
              </fill>
            </x14:dxf>
          </x14:cfRule>
          <xm:sqref>Z96:Z113</xm:sqref>
        </x14:conditionalFormatting>
        <x14:conditionalFormatting xmlns:xm="http://schemas.microsoft.com/office/excel/2006/main">
          <x14:cfRule type="cellIs" priority="846" operator="equal" id="{AC08BE75-8458-4497-B664-86A3072A9208}">
            <xm:f>SelectionCriteria!$A$5</xm:f>
            <x14:dxf>
              <fill>
                <patternFill>
                  <bgColor rgb="FF00B050"/>
                </patternFill>
              </fill>
            </x14:dxf>
          </x14:cfRule>
          <x14:cfRule type="cellIs" priority="847" operator="equal" id="{A65C3E94-A2C4-4B47-9B49-9C350D9DBD7C}">
            <xm:f>SelectionCriteria!$A$4</xm:f>
            <x14:dxf>
              <fill>
                <patternFill>
                  <bgColor rgb="FFFFFF00"/>
                </patternFill>
              </fill>
            </x14:dxf>
          </x14:cfRule>
          <x14:cfRule type="cellIs" priority="848" operator="equal" id="{FB3A486D-AF09-4643-828A-4C7F373F2CD2}">
            <xm:f>SelectionCriteria!$A$3</xm:f>
            <x14:dxf>
              <fill>
                <patternFill>
                  <bgColor rgb="FFFFC000"/>
                </patternFill>
              </fill>
            </x14:dxf>
          </x14:cfRule>
          <x14:cfRule type="cellIs" priority="849" operator="equal" id="{1C3FE045-5406-4EF7-93D1-6F6CEC526D29}">
            <xm:f>SelectionCriteria!$A$2</xm:f>
            <x14:dxf>
              <font>
                <color theme="0"/>
              </font>
              <fill>
                <patternFill>
                  <bgColor rgb="FFFF0000"/>
                </patternFill>
              </fill>
            </x14:dxf>
          </x14:cfRule>
          <xm:sqref>Z114</xm:sqref>
        </x14:conditionalFormatting>
        <x14:conditionalFormatting xmlns:xm="http://schemas.microsoft.com/office/excel/2006/main">
          <x14:cfRule type="cellIs" priority="797" operator="equal" id="{47831549-81D5-4923-ACB9-F889A8596B15}">
            <xm:f>'\Users\ericmannel\Library\Containers\com.microsoft.Excel\Data\Documents\Users\isourikova\AppData\Local\Packages\Microsoft.MicrosoftEdge_8wekyb3d8bbwe\TempState\Downloads\[CD-2 Risk Register Dec 15 (1).xlsx]SelectionCriteria'!#REF!</xm:f>
            <x14:dxf>
              <fill>
                <patternFill>
                  <bgColor rgb="FF00B050"/>
                </patternFill>
              </fill>
            </x14:dxf>
          </x14:cfRule>
          <x14:cfRule type="cellIs" priority="798" operator="equal" id="{DFFCBBA7-BC32-49B9-B575-D471174DB660}">
            <xm:f>'\Users\ericmannel\Library\Containers\com.microsoft.Excel\Data\Documents\Users\isourikova\AppData\Local\Packages\Microsoft.MicrosoftEdge_8wekyb3d8bbwe\TempState\Downloads\[CD-2 Risk Register Dec 15 (1).xlsx]SelectionCriteria'!#REF!</xm:f>
            <x14:dxf>
              <fill>
                <patternFill>
                  <bgColor rgb="FFFFFF00"/>
                </patternFill>
              </fill>
            </x14:dxf>
          </x14:cfRule>
          <x14:cfRule type="cellIs" priority="799" operator="equal" id="{E87A6B29-3208-4459-829C-F0D2FCD1866F}">
            <xm:f>'\Users\ericmannel\Library\Containers\com.microsoft.Excel\Data\Documents\Users\isourikova\AppData\Local\Packages\Microsoft.MicrosoftEdge_8wekyb3d8bbwe\TempState\Downloads\[CD-2 Risk Register Dec 15 (1).xlsx]SelectionCriteria'!#REF!</xm:f>
            <x14:dxf>
              <fill>
                <patternFill>
                  <bgColor rgb="FFFFC000"/>
                </patternFill>
              </fill>
            </x14:dxf>
          </x14:cfRule>
          <x14:cfRule type="cellIs" priority="800" operator="equal" id="{1D34E276-EC4E-490C-B3EE-0DABB7085659}">
            <xm:f>'\Users\ericmannel\Library\Containers\com.microsoft.Excel\Data\Documents\Users\isourikova\AppData\Local\Packages\Microsoft.MicrosoftEdge_8wekyb3d8bbwe\TempState\Downloads\[CD-2 Risk Register Dec 15 (1).xlsx]SelectionCriteria'!#REF!</xm:f>
            <x14:dxf>
              <font>
                <color theme="0"/>
              </font>
              <fill>
                <patternFill>
                  <bgColor rgb="FFFF0000"/>
                </patternFill>
              </fill>
            </x14:dxf>
          </x14:cfRule>
          <xm:sqref>K81:L81</xm:sqref>
        </x14:conditionalFormatting>
        <x14:conditionalFormatting xmlns:xm="http://schemas.microsoft.com/office/excel/2006/main">
          <x14:cfRule type="expression" priority="780" id="{4741FE46-1B02-43C7-AEFD-3A7CE3B5C535}">
            <xm:f>$M81&lt;='\Users\ericmannel\Library\Containers\com.microsoft.Excel\Data\Documents\Users\isourikova\AppData\Local\Packages\Microsoft.MicrosoftEdge_8wekyb3d8bbwe\TempState\Downloads\[CD-2 Risk Register Dec 15 (1).xlsx]SelectionCriteria'!#REF!</xm:f>
            <x14:dxf>
              <fill>
                <patternFill>
                  <bgColor rgb="FF00B050"/>
                </patternFill>
              </fill>
            </x14:dxf>
          </x14:cfRule>
          <x14:cfRule type="expression" priority="781" id="{F2660124-7D06-4558-944C-E2B0F4A18654}">
            <xm:f>$M81&lt;='\Users\ericmannel\Library\Containers\com.microsoft.Excel\Data\Documents\Users\isourikova\AppData\Local\Packages\Microsoft.MicrosoftEdge_8wekyb3d8bbwe\TempState\Downloads\[CD-2 Risk Register Dec 15 (1).xlsx]SelectionCriteria'!#REF!</xm:f>
            <x14:dxf>
              <fill>
                <patternFill>
                  <bgColor rgb="FFFFFF00"/>
                </patternFill>
              </fill>
            </x14:dxf>
          </x14:cfRule>
          <x14:cfRule type="expression" priority="782" id="{73858AF1-D304-4186-BEF3-F54D13719018}">
            <xm:f>$M81&lt;='\Users\ericmannel\Library\Containers\com.microsoft.Excel\Data\Documents\Users\isourikova\AppData\Local\Packages\Microsoft.MicrosoftEdge_8wekyb3d8bbwe\TempState\Downloads\[CD-2 Risk Register Dec 15 (1).xlsx]SelectionCriteria'!#REF!</xm:f>
            <x14:dxf>
              <fill>
                <patternFill>
                  <bgColor rgb="FFFFC000"/>
                </patternFill>
              </fill>
            </x14:dxf>
          </x14:cfRule>
          <x14:cfRule type="expression" priority="783" id="{9269F38B-D3DF-4EEC-9297-DD6BE2D6F2A9}">
            <xm:f>$M81&gt;'\Users\ericmannel\Library\Containers\com.microsoft.Excel\Data\Documents\Users\isourikova\AppData\Local\Packages\Microsoft.MicrosoftEdge_8wekyb3d8bbwe\TempState\Downloads\[CD-2 Risk Register Dec 15 (1).xlsx]SelectionCriteria'!#REF!</xm:f>
            <x14:dxf>
              <font>
                <color theme="0"/>
              </font>
              <fill>
                <patternFill>
                  <bgColor rgb="FFFF0000"/>
                </patternFill>
              </fill>
            </x14:dxf>
          </x14:cfRule>
          <xm:sqref>M81</xm:sqref>
        </x14:conditionalFormatting>
        <x14:conditionalFormatting xmlns:xm="http://schemas.microsoft.com/office/excel/2006/main">
          <x14:cfRule type="cellIs" priority="747" operator="equal" id="{5411F55D-2FCC-43D8-A8E0-AA2E6D0093FE}">
            <xm:f>'\Users\ericmannel\Library\Containers\com.microsoft.Excel\Data\Documents\Users\isourikova\AppData\Local\Packages\Microsoft.MicrosoftEdge_8wekyb3d8bbwe\TempState\Downloads\[CD-2 Risk Register Dec 15 (1).xlsx]SelectionCriteria'!#REF!</xm:f>
            <x14:dxf>
              <fill>
                <patternFill>
                  <bgColor rgb="FF00B050"/>
                </patternFill>
              </fill>
            </x14:dxf>
          </x14:cfRule>
          <x14:cfRule type="cellIs" priority="748" operator="equal" id="{2031E1F3-461C-48DD-B863-CF94867888D7}">
            <xm:f>'\Users\ericmannel\Library\Containers\com.microsoft.Excel\Data\Documents\Users\isourikova\AppData\Local\Packages\Microsoft.MicrosoftEdge_8wekyb3d8bbwe\TempState\Downloads\[CD-2 Risk Register Dec 15 (1).xlsx]SelectionCriteria'!#REF!</xm:f>
            <x14:dxf>
              <fill>
                <patternFill>
                  <bgColor rgb="FFFFFF00"/>
                </patternFill>
              </fill>
            </x14:dxf>
          </x14:cfRule>
          <x14:cfRule type="cellIs" priority="749" operator="equal" id="{BEE93344-4959-4BF5-84EF-25278CE1DA79}">
            <xm:f>'\Users\ericmannel\Library\Containers\com.microsoft.Excel\Data\Documents\Users\isourikova\AppData\Local\Packages\Microsoft.MicrosoftEdge_8wekyb3d8bbwe\TempState\Downloads\[CD-2 Risk Register Dec 15 (1).xlsx]SelectionCriteria'!#REF!</xm:f>
            <x14:dxf>
              <fill>
                <patternFill>
                  <bgColor rgb="FFFFC000"/>
                </patternFill>
              </fill>
            </x14:dxf>
          </x14:cfRule>
          <x14:cfRule type="cellIs" priority="750" operator="equal" id="{097958EF-4112-4F00-B09B-63EA6103320E}">
            <xm:f>'\Users\ericmannel\Library\Containers\com.microsoft.Excel\Data\Documents\Users\isourikova\AppData\Local\Packages\Microsoft.MicrosoftEdge_8wekyb3d8bbwe\TempState\Downloads\[CD-2 Risk Register Dec 15 (1).xlsx]SelectionCriteria'!#REF!</xm:f>
            <x14:dxf>
              <font>
                <color theme="0"/>
              </font>
              <fill>
                <patternFill>
                  <bgColor rgb="FFFF0000"/>
                </patternFill>
              </fill>
            </x14:dxf>
          </x14:cfRule>
          <xm:sqref>AA81</xm:sqref>
        </x14:conditionalFormatting>
        <x14:conditionalFormatting xmlns:xm="http://schemas.microsoft.com/office/excel/2006/main">
          <x14:cfRule type="cellIs" priority="742" operator="equal" id="{92AEAE7B-364F-449F-962E-BD5124899C46}">
            <xm:f>SelectionCriteria!$A$5</xm:f>
            <x14:dxf>
              <fill>
                <patternFill>
                  <bgColor rgb="FF00B050"/>
                </patternFill>
              </fill>
            </x14:dxf>
          </x14:cfRule>
          <x14:cfRule type="cellIs" priority="743" operator="equal" id="{E1DE4D3A-BEBE-46F3-B013-9B1F2F5FE270}">
            <xm:f>SelectionCriteria!$A$4</xm:f>
            <x14:dxf>
              <fill>
                <patternFill>
                  <bgColor rgb="FFFFFF00"/>
                </patternFill>
              </fill>
            </x14:dxf>
          </x14:cfRule>
          <x14:cfRule type="cellIs" priority="744" operator="equal" id="{D9B415AD-954E-4679-BE06-43BDCF924D47}">
            <xm:f>SelectionCriteria!$A$3</xm:f>
            <x14:dxf>
              <fill>
                <patternFill>
                  <bgColor rgb="FFFFC000"/>
                </patternFill>
              </fill>
            </x14:dxf>
          </x14:cfRule>
          <x14:cfRule type="cellIs" priority="745" operator="equal" id="{79779CF4-1237-4295-AE63-CFB67E75047B}">
            <xm:f>SelectionCriteria!$A$2</xm:f>
            <x14:dxf>
              <font>
                <color theme="0"/>
              </font>
              <fill>
                <patternFill>
                  <bgColor rgb="FFFF0000"/>
                </patternFill>
              </fill>
            </x14:dxf>
          </x14:cfRule>
          <xm:sqref>Z81</xm:sqref>
        </x14:conditionalFormatting>
        <x14:conditionalFormatting xmlns:xm="http://schemas.microsoft.com/office/excel/2006/main">
          <x14:cfRule type="expression" priority="716" id="{36505FCC-31AD-41E8-A258-00BAA7F3FF63}">
            <xm:f>$M93&lt;=SelectionCriteria!$G$5</xm:f>
            <x14:dxf>
              <fill>
                <patternFill>
                  <bgColor rgb="FF00B050"/>
                </patternFill>
              </fill>
            </x14:dxf>
          </x14:cfRule>
          <x14:cfRule type="expression" priority="717" id="{DD2232A1-24AA-413D-850F-8FB5BE732F36}">
            <xm:f>$M93&lt;=SelectionCriteria!$G$4</xm:f>
            <x14:dxf>
              <fill>
                <patternFill>
                  <bgColor rgb="FFFFFF00"/>
                </patternFill>
              </fill>
            </x14:dxf>
          </x14:cfRule>
          <x14:cfRule type="expression" priority="718" id="{6034AB3E-0CD5-4A0A-A11F-C33493F1EB15}">
            <xm:f>$M93&lt;=SelectionCriteria!$G$3</xm:f>
            <x14:dxf>
              <fill>
                <patternFill>
                  <bgColor rgb="FFFFC000"/>
                </patternFill>
              </fill>
            </x14:dxf>
          </x14:cfRule>
          <x14:cfRule type="expression" priority="719" id="{0551C032-B99E-48CC-BB90-B42CB19CECB4}">
            <xm:f>$M93&gt;SelectionCriteria!$G$3</xm:f>
            <x14:dxf>
              <font>
                <color theme="0"/>
              </font>
              <fill>
                <patternFill>
                  <bgColor rgb="FFFF0000"/>
                </patternFill>
              </fill>
            </x14:dxf>
          </x14:cfRule>
          <xm:sqref>M93</xm:sqref>
        </x14:conditionalFormatting>
        <x14:conditionalFormatting xmlns:xm="http://schemas.microsoft.com/office/excel/2006/main">
          <x14:cfRule type="cellIs" priority="720" operator="equal" id="{C58256A9-65AD-4476-821C-70DFE4188DB0}">
            <xm:f>SelectionCriteria!$A$5</xm:f>
            <x14:dxf>
              <fill>
                <patternFill>
                  <bgColor rgb="FF00B050"/>
                </patternFill>
              </fill>
            </x14:dxf>
          </x14:cfRule>
          <x14:cfRule type="cellIs" priority="721" operator="equal" id="{1706B3A6-6D98-4C7E-9ADC-B3D61C35CA68}">
            <xm:f>SelectionCriteria!$A$4</xm:f>
            <x14:dxf>
              <fill>
                <patternFill>
                  <bgColor rgb="FFFFFF00"/>
                </patternFill>
              </fill>
            </x14:dxf>
          </x14:cfRule>
          <x14:cfRule type="cellIs" priority="722" operator="equal" id="{D99D085E-4CD6-43DA-AB55-885F44792AD4}">
            <xm:f>SelectionCriteria!$A$3</xm:f>
            <x14:dxf>
              <fill>
                <patternFill>
                  <bgColor rgb="FFFFC000"/>
                </patternFill>
              </fill>
            </x14:dxf>
          </x14:cfRule>
          <x14:cfRule type="cellIs" priority="723" operator="equal" id="{A35CA4DA-FF6D-4EA1-A040-23FB14356B7B}">
            <xm:f>SelectionCriteria!$A$2</xm:f>
            <x14:dxf>
              <font>
                <color theme="0"/>
              </font>
              <fill>
                <patternFill>
                  <bgColor rgb="FFFF0000"/>
                </patternFill>
              </fill>
            </x14:dxf>
          </x14:cfRule>
          <xm:sqref>Z93:AA93 K93:L93</xm:sqref>
        </x14:conditionalFormatting>
        <x14:conditionalFormatting xmlns:xm="http://schemas.microsoft.com/office/excel/2006/main">
          <x14:cfRule type="cellIs" priority="678" operator="equal" id="{DAD33CA7-6518-4B0F-BA2A-A859C3633BC5}">
            <xm:f>SelectionCriteria!$A$5</xm:f>
            <x14:dxf>
              <fill>
                <patternFill>
                  <bgColor rgb="FF00B050"/>
                </patternFill>
              </fill>
            </x14:dxf>
          </x14:cfRule>
          <x14:cfRule type="cellIs" priority="679" operator="equal" id="{520386D9-2C1F-4BC4-B329-BEEADADCEF38}">
            <xm:f>SelectionCriteria!$A$4</xm:f>
            <x14:dxf>
              <fill>
                <patternFill>
                  <bgColor rgb="FFFFFF00"/>
                </patternFill>
              </fill>
            </x14:dxf>
          </x14:cfRule>
          <x14:cfRule type="cellIs" priority="680" operator="equal" id="{84F8E5CF-481B-4965-9C85-7C55337A02FB}">
            <xm:f>SelectionCriteria!$A$3</xm:f>
            <x14:dxf>
              <fill>
                <patternFill>
                  <bgColor rgb="FFFFC000"/>
                </patternFill>
              </fill>
            </x14:dxf>
          </x14:cfRule>
          <x14:cfRule type="cellIs" priority="681" operator="equal" id="{F30E5F4B-D952-49D6-9EBE-C90FF7681AC3}">
            <xm:f>SelectionCriteria!$A$2</xm:f>
            <x14:dxf>
              <font>
                <color theme="0"/>
              </font>
              <fill>
                <patternFill>
                  <bgColor rgb="FFFF0000"/>
                </patternFill>
              </fill>
            </x14:dxf>
          </x14:cfRule>
          <xm:sqref>Z10:AA10</xm:sqref>
        </x14:conditionalFormatting>
        <x14:conditionalFormatting xmlns:xm="http://schemas.microsoft.com/office/excel/2006/main">
          <x14:cfRule type="cellIs" priority="619" operator="equal" id="{A7096ECA-BC60-495F-A2D5-858C97502024}">
            <xm:f>SelectionCriteria!$A$5</xm:f>
            <x14:dxf>
              <fill>
                <patternFill>
                  <bgColor rgb="FF00B050"/>
                </patternFill>
              </fill>
            </x14:dxf>
          </x14:cfRule>
          <x14:cfRule type="cellIs" priority="620" operator="equal" id="{BA9DB081-720F-4281-A053-5413D3FC4EA6}">
            <xm:f>SelectionCriteria!$A$4</xm:f>
            <x14:dxf>
              <fill>
                <patternFill>
                  <bgColor rgb="FFFFFF00"/>
                </patternFill>
              </fill>
            </x14:dxf>
          </x14:cfRule>
          <x14:cfRule type="cellIs" priority="621" operator="equal" id="{2F4EFC0A-C344-4A6A-8054-10D5CA047AE0}">
            <xm:f>SelectionCriteria!$A$3</xm:f>
            <x14:dxf>
              <fill>
                <patternFill>
                  <bgColor rgb="FFFFC000"/>
                </patternFill>
              </fill>
            </x14:dxf>
          </x14:cfRule>
          <x14:cfRule type="cellIs" priority="622" operator="equal" id="{FAD5E9F2-A426-4DDA-B41B-75A3CC3B03D6}">
            <xm:f>SelectionCriteria!$A$2</xm:f>
            <x14:dxf>
              <font>
                <color theme="0"/>
              </font>
              <fill>
                <patternFill>
                  <bgColor rgb="FFFF0000"/>
                </patternFill>
              </fill>
            </x14:dxf>
          </x14:cfRule>
          <xm:sqref>L21:L26</xm:sqref>
        </x14:conditionalFormatting>
        <x14:conditionalFormatting xmlns:xm="http://schemas.microsoft.com/office/excel/2006/main">
          <x14:cfRule type="cellIs" priority="590" operator="equal" id="{6525E7D5-8659-480E-A7BF-45C513C5C37F}">
            <xm:f>SelectionCriteria!$A$5</xm:f>
            <x14:dxf>
              <fill>
                <patternFill>
                  <bgColor rgb="FF00B050"/>
                </patternFill>
              </fill>
            </x14:dxf>
          </x14:cfRule>
          <x14:cfRule type="cellIs" priority="591" operator="equal" id="{418FFC73-FE52-43B0-AE37-8412E7FC4AAE}">
            <xm:f>SelectionCriteria!$A$4</xm:f>
            <x14:dxf>
              <fill>
                <patternFill>
                  <bgColor rgb="FFFFFF00"/>
                </patternFill>
              </fill>
            </x14:dxf>
          </x14:cfRule>
          <x14:cfRule type="cellIs" priority="592" operator="equal" id="{0B79DBE4-FB06-472E-99F0-23125226AE2C}">
            <xm:f>SelectionCriteria!$A$3</xm:f>
            <x14:dxf>
              <fill>
                <patternFill>
                  <bgColor rgb="FFFFC000"/>
                </patternFill>
              </fill>
            </x14:dxf>
          </x14:cfRule>
          <x14:cfRule type="cellIs" priority="593" operator="equal" id="{3267AD76-8546-4A18-A477-FB31F5F5ECA3}">
            <xm:f>SelectionCriteria!$A$2</xm:f>
            <x14:dxf>
              <font>
                <color theme="0"/>
              </font>
              <fill>
                <patternFill>
                  <bgColor rgb="FFFF0000"/>
                </patternFill>
              </fill>
            </x14:dxf>
          </x14:cfRule>
          <xm:sqref>AA21</xm:sqref>
        </x14:conditionalFormatting>
        <x14:conditionalFormatting xmlns:xm="http://schemas.microsoft.com/office/excel/2006/main">
          <x14:cfRule type="cellIs" priority="579" operator="equal" id="{3762E507-2B76-4344-8C55-732F22C30C93}">
            <xm:f>SelectionCriteria!$A$5</xm:f>
            <x14:dxf>
              <fill>
                <patternFill>
                  <bgColor rgb="FF00B050"/>
                </patternFill>
              </fill>
            </x14:dxf>
          </x14:cfRule>
          <x14:cfRule type="cellIs" priority="580" operator="equal" id="{D2F78196-B261-41EA-BAA9-08BC16EC6565}">
            <xm:f>SelectionCriteria!$A$4</xm:f>
            <x14:dxf>
              <fill>
                <patternFill>
                  <bgColor rgb="FFFFFF00"/>
                </patternFill>
              </fill>
            </x14:dxf>
          </x14:cfRule>
          <x14:cfRule type="cellIs" priority="581" operator="equal" id="{62B36E95-28E2-494A-9566-7426972CEC4B}">
            <xm:f>SelectionCriteria!$A$3</xm:f>
            <x14:dxf>
              <fill>
                <patternFill>
                  <bgColor rgb="FFFFC000"/>
                </patternFill>
              </fill>
            </x14:dxf>
          </x14:cfRule>
          <x14:cfRule type="cellIs" priority="582" operator="equal" id="{BFB47163-7F2E-4557-92B2-FB5966F02B03}">
            <xm:f>SelectionCriteria!$A$2</xm:f>
            <x14:dxf>
              <font>
                <color theme="0"/>
              </font>
              <fill>
                <patternFill>
                  <bgColor rgb="FFFF0000"/>
                </patternFill>
              </fill>
            </x14:dxf>
          </x14:cfRule>
          <xm:sqref>AA22:AA23</xm:sqref>
        </x14:conditionalFormatting>
        <x14:conditionalFormatting xmlns:xm="http://schemas.microsoft.com/office/excel/2006/main">
          <x14:cfRule type="cellIs" priority="572" operator="equal" id="{15B80B62-6805-4D51-B2CB-ABDF9D882C7D}">
            <xm:f>SelectionCriteria!$A$5</xm:f>
            <x14:dxf>
              <fill>
                <patternFill>
                  <bgColor rgb="FF00B050"/>
                </patternFill>
              </fill>
            </x14:dxf>
          </x14:cfRule>
          <x14:cfRule type="cellIs" priority="573" operator="equal" id="{C69DA5D5-A90C-4061-971D-618FEC7A7EF5}">
            <xm:f>SelectionCriteria!$A$4</xm:f>
            <x14:dxf>
              <fill>
                <patternFill>
                  <bgColor rgb="FFFFFF00"/>
                </patternFill>
              </fill>
            </x14:dxf>
          </x14:cfRule>
          <x14:cfRule type="cellIs" priority="574" operator="equal" id="{67D1D241-A9C6-426E-B857-190B275B90E1}">
            <xm:f>SelectionCriteria!$A$3</xm:f>
            <x14:dxf>
              <fill>
                <patternFill>
                  <bgColor rgb="FFFFC000"/>
                </patternFill>
              </fill>
            </x14:dxf>
          </x14:cfRule>
          <x14:cfRule type="cellIs" priority="575" operator="equal" id="{F163445F-BDFE-438E-8314-05F40DCC7530}">
            <xm:f>SelectionCriteria!$A$2</xm:f>
            <x14:dxf>
              <font>
                <color theme="0"/>
              </font>
              <fill>
                <patternFill>
                  <bgColor rgb="FFFF0000"/>
                </patternFill>
              </fill>
            </x14:dxf>
          </x14:cfRule>
          <xm:sqref>K21:K26</xm:sqref>
        </x14:conditionalFormatting>
        <x14:conditionalFormatting xmlns:xm="http://schemas.microsoft.com/office/excel/2006/main">
          <x14:cfRule type="cellIs" priority="568" operator="equal" id="{FF4BB443-0CEB-4E2F-8555-B39122A87E5F}">
            <xm:f>SelectionCriteria!$A$5</xm:f>
            <x14:dxf>
              <fill>
                <patternFill>
                  <bgColor rgb="FF00B050"/>
                </patternFill>
              </fill>
            </x14:dxf>
          </x14:cfRule>
          <x14:cfRule type="cellIs" priority="569" operator="equal" id="{5E8D14C2-E820-47F7-87F9-49AA37C39DB1}">
            <xm:f>SelectionCriteria!$A$4</xm:f>
            <x14:dxf>
              <fill>
                <patternFill>
                  <bgColor rgb="FFFFFF00"/>
                </patternFill>
              </fill>
            </x14:dxf>
          </x14:cfRule>
          <x14:cfRule type="cellIs" priority="570" operator="equal" id="{8C9BB48B-6632-4400-92D1-EE7CD8FF2F66}">
            <xm:f>SelectionCriteria!$A$3</xm:f>
            <x14:dxf>
              <fill>
                <patternFill>
                  <bgColor rgb="FFFFC000"/>
                </patternFill>
              </fill>
            </x14:dxf>
          </x14:cfRule>
          <x14:cfRule type="cellIs" priority="571" operator="equal" id="{F72A99D5-96D4-4D2A-96DD-65B5AEB5A745}">
            <xm:f>SelectionCriteria!$A$2</xm:f>
            <x14:dxf>
              <font>
                <color theme="0"/>
              </font>
              <fill>
                <patternFill>
                  <bgColor rgb="FFFF0000"/>
                </patternFill>
              </fill>
            </x14:dxf>
          </x14:cfRule>
          <xm:sqref>Z21</xm:sqref>
        </x14:conditionalFormatting>
        <x14:conditionalFormatting xmlns:xm="http://schemas.microsoft.com/office/excel/2006/main">
          <x14:cfRule type="cellIs" priority="564" operator="equal" id="{1EADDE81-6334-4016-B30F-EFEE5B18C8C2}">
            <xm:f>SelectionCriteria!$A$5</xm:f>
            <x14:dxf>
              <fill>
                <patternFill>
                  <bgColor rgb="FF00B050"/>
                </patternFill>
              </fill>
            </x14:dxf>
          </x14:cfRule>
          <x14:cfRule type="cellIs" priority="565" operator="equal" id="{119CD6CE-E385-446C-BB7D-AA857EA69666}">
            <xm:f>SelectionCriteria!$A$4</xm:f>
            <x14:dxf>
              <fill>
                <patternFill>
                  <bgColor rgb="FFFFFF00"/>
                </patternFill>
              </fill>
            </x14:dxf>
          </x14:cfRule>
          <x14:cfRule type="cellIs" priority="566" operator="equal" id="{ED8810E9-0BF2-45B0-B1C4-7302AFF3E067}">
            <xm:f>SelectionCriteria!$A$3</xm:f>
            <x14:dxf>
              <fill>
                <patternFill>
                  <bgColor rgb="FFFFC000"/>
                </patternFill>
              </fill>
            </x14:dxf>
          </x14:cfRule>
          <x14:cfRule type="cellIs" priority="567" operator="equal" id="{AA825D94-C1AE-4FCC-89B3-9B959ED711C3}">
            <xm:f>SelectionCriteria!$A$2</xm:f>
            <x14:dxf>
              <font>
                <color theme="0"/>
              </font>
              <fill>
                <patternFill>
                  <bgColor rgb="FFFF0000"/>
                </patternFill>
              </fill>
            </x14:dxf>
          </x14:cfRule>
          <xm:sqref>Z22:Z23</xm:sqref>
        </x14:conditionalFormatting>
        <x14:conditionalFormatting xmlns:xm="http://schemas.microsoft.com/office/excel/2006/main">
          <x14:cfRule type="cellIs" priority="528" operator="equal" id="{800FF0E9-E580-43DB-B442-B6A600A97493}">
            <xm:f>SelectionCriteria!$A$5</xm:f>
            <x14:dxf>
              <fill>
                <patternFill>
                  <bgColor rgb="FF00B050"/>
                </patternFill>
              </fill>
            </x14:dxf>
          </x14:cfRule>
          <x14:cfRule type="cellIs" priority="529" operator="equal" id="{BAB12BDB-4096-40C2-A93B-DF25F14D8A54}">
            <xm:f>SelectionCriteria!$A$4</xm:f>
            <x14:dxf>
              <fill>
                <patternFill>
                  <bgColor rgb="FFFFFF00"/>
                </patternFill>
              </fill>
            </x14:dxf>
          </x14:cfRule>
          <x14:cfRule type="cellIs" priority="530" operator="equal" id="{8FCB4FAE-790E-44F6-998E-6ECC20173FC4}">
            <xm:f>SelectionCriteria!$A$3</xm:f>
            <x14:dxf>
              <fill>
                <patternFill>
                  <bgColor rgb="FFFFC000"/>
                </patternFill>
              </fill>
            </x14:dxf>
          </x14:cfRule>
          <x14:cfRule type="cellIs" priority="531" operator="equal" id="{CC214904-40A9-4108-A803-F159F8A381B7}">
            <xm:f>SelectionCriteria!$A$2</xm:f>
            <x14:dxf>
              <font>
                <color theme="0"/>
              </font>
              <fill>
                <patternFill>
                  <bgColor rgb="FFFF0000"/>
                </patternFill>
              </fill>
            </x14:dxf>
          </x14:cfRule>
          <xm:sqref>K60:L61 Z60:AA60</xm:sqref>
        </x14:conditionalFormatting>
        <x14:conditionalFormatting xmlns:xm="http://schemas.microsoft.com/office/excel/2006/main">
          <x14:cfRule type="cellIs" priority="509" operator="equal" id="{928A8C27-0BE5-42A7-BCB8-AFC4B42AAA4C}">
            <xm:f>SelectionCriteria!$A$5</xm:f>
            <x14:dxf>
              <fill>
                <patternFill>
                  <bgColor rgb="FF00B050"/>
                </patternFill>
              </fill>
            </x14:dxf>
          </x14:cfRule>
          <x14:cfRule type="cellIs" priority="510" operator="equal" id="{A7C1C040-30D6-433E-8427-F89015FEC812}">
            <xm:f>SelectionCriteria!$A$4</xm:f>
            <x14:dxf>
              <fill>
                <patternFill>
                  <bgColor rgb="FFFFFF00"/>
                </patternFill>
              </fill>
            </x14:dxf>
          </x14:cfRule>
          <x14:cfRule type="cellIs" priority="511" operator="equal" id="{F7CFC3F0-5383-4166-B85A-A90071D2848A}">
            <xm:f>SelectionCriteria!$A$3</xm:f>
            <x14:dxf>
              <fill>
                <patternFill>
                  <bgColor rgb="FFFFC000"/>
                </patternFill>
              </fill>
            </x14:dxf>
          </x14:cfRule>
          <x14:cfRule type="cellIs" priority="512" operator="equal" id="{16405FBC-8420-449C-AEED-6B1055D87296}">
            <xm:f>SelectionCriteria!$A$2</xm:f>
            <x14:dxf>
              <font>
                <color theme="0"/>
              </font>
              <fill>
                <patternFill>
                  <bgColor rgb="FFFF0000"/>
                </patternFill>
              </fill>
            </x14:dxf>
          </x14:cfRule>
          <xm:sqref>J60:J61</xm:sqref>
        </x14:conditionalFormatting>
        <x14:conditionalFormatting xmlns:xm="http://schemas.microsoft.com/office/excel/2006/main">
          <x14:cfRule type="cellIs" priority="504" operator="equal" id="{E4198582-60A2-403C-93F0-D1549F85331F}">
            <xm:f>SelectionCriteria!$A$5</xm:f>
            <x14:dxf>
              <fill>
                <patternFill>
                  <bgColor rgb="FF00B050"/>
                </patternFill>
              </fill>
            </x14:dxf>
          </x14:cfRule>
          <x14:cfRule type="cellIs" priority="505" operator="equal" id="{D9AB09FB-5657-42AB-913E-7F3A3E2DA818}">
            <xm:f>SelectionCriteria!$A$4</xm:f>
            <x14:dxf>
              <fill>
                <patternFill>
                  <bgColor rgb="FFFFFF00"/>
                </patternFill>
              </fill>
            </x14:dxf>
          </x14:cfRule>
          <x14:cfRule type="cellIs" priority="506" operator="equal" id="{A9D4D021-8433-4DD3-965B-FE21570FC99D}">
            <xm:f>SelectionCriteria!$A$3</xm:f>
            <x14:dxf>
              <fill>
                <patternFill>
                  <bgColor rgb="FFFFC000"/>
                </patternFill>
              </fill>
            </x14:dxf>
          </x14:cfRule>
          <x14:cfRule type="cellIs" priority="507" operator="equal" id="{C4C43DE1-8258-4BBE-8BAD-44F05F9B1408}">
            <xm:f>SelectionCriteria!$A$2</xm:f>
            <x14:dxf>
              <font>
                <color theme="0"/>
              </font>
              <fill>
                <patternFill>
                  <bgColor rgb="FFFF0000"/>
                </patternFill>
              </fill>
            </x14:dxf>
          </x14:cfRule>
          <xm:sqref>M60:M61</xm:sqref>
        </x14:conditionalFormatting>
        <x14:conditionalFormatting xmlns:xm="http://schemas.microsoft.com/office/excel/2006/main">
          <x14:cfRule type="cellIs" priority="499" operator="equal" id="{54621990-149E-4093-9F09-9B4CF4A8ACE1}">
            <xm:f>SelectionCriteria!$A$5</xm:f>
            <x14:dxf>
              <fill>
                <patternFill>
                  <bgColor rgb="FF00B050"/>
                </patternFill>
              </fill>
            </x14:dxf>
          </x14:cfRule>
          <x14:cfRule type="cellIs" priority="500" operator="equal" id="{651C2A4A-47EB-4BC7-AE8F-F346982D4DE5}">
            <xm:f>SelectionCriteria!$A$4</xm:f>
            <x14:dxf>
              <fill>
                <patternFill>
                  <bgColor rgb="FFFFFF00"/>
                </patternFill>
              </fill>
            </x14:dxf>
          </x14:cfRule>
          <x14:cfRule type="cellIs" priority="501" operator="equal" id="{0C6FA213-7DE3-46B9-B893-ABBD56163D84}">
            <xm:f>SelectionCriteria!$A$3</xm:f>
            <x14:dxf>
              <fill>
                <patternFill>
                  <bgColor rgb="FFFFC000"/>
                </patternFill>
              </fill>
            </x14:dxf>
          </x14:cfRule>
          <x14:cfRule type="cellIs" priority="502" operator="equal" id="{D64A5658-7B89-4381-A8B7-D9467A6740F4}">
            <xm:f>SelectionCriteria!$A$2</xm:f>
            <x14:dxf>
              <font>
                <color theme="0"/>
              </font>
              <fill>
                <patternFill>
                  <bgColor rgb="FFFF0000"/>
                </patternFill>
              </fill>
            </x14:dxf>
          </x14:cfRule>
          <xm:sqref>N60:N61</xm:sqref>
        </x14:conditionalFormatting>
        <x14:conditionalFormatting xmlns:xm="http://schemas.microsoft.com/office/excel/2006/main">
          <x14:cfRule type="cellIs" priority="494" operator="equal" id="{1EB2AD12-AF83-45E1-89AA-30ED57E72DC8}">
            <xm:f>SelectionCriteria!$A$5</xm:f>
            <x14:dxf>
              <fill>
                <patternFill>
                  <bgColor rgb="FF00B050"/>
                </patternFill>
              </fill>
            </x14:dxf>
          </x14:cfRule>
          <x14:cfRule type="cellIs" priority="495" operator="equal" id="{5D98B517-D554-4585-926F-936C9A33A95F}">
            <xm:f>SelectionCriteria!$A$4</xm:f>
            <x14:dxf>
              <fill>
                <patternFill>
                  <bgColor rgb="FFFFFF00"/>
                </patternFill>
              </fill>
            </x14:dxf>
          </x14:cfRule>
          <x14:cfRule type="cellIs" priority="496" operator="equal" id="{4F16C571-8917-4533-A577-99D4B5B18577}">
            <xm:f>SelectionCriteria!$A$3</xm:f>
            <x14:dxf>
              <fill>
                <patternFill>
                  <bgColor rgb="FFFFC000"/>
                </patternFill>
              </fill>
            </x14:dxf>
          </x14:cfRule>
          <x14:cfRule type="cellIs" priority="497" operator="equal" id="{D15093AB-AE12-4A2B-9C2D-8122A484C29B}">
            <xm:f>SelectionCriteria!$A$2</xm:f>
            <x14:dxf>
              <font>
                <color theme="0"/>
              </font>
              <fill>
                <patternFill>
                  <bgColor rgb="FFFF0000"/>
                </patternFill>
              </fill>
            </x14:dxf>
          </x14:cfRule>
          <xm:sqref>O60:O61</xm:sqref>
        </x14:conditionalFormatting>
        <x14:conditionalFormatting xmlns:xm="http://schemas.microsoft.com/office/excel/2006/main">
          <x14:cfRule type="cellIs" priority="489" operator="equal" id="{35237602-1D81-42E0-812B-D549E9943297}">
            <xm:f>SelectionCriteria!$A$5</xm:f>
            <x14:dxf>
              <fill>
                <patternFill>
                  <bgColor rgb="FF00B050"/>
                </patternFill>
              </fill>
            </x14:dxf>
          </x14:cfRule>
          <x14:cfRule type="cellIs" priority="490" operator="equal" id="{6DEB6F86-0704-40EF-89EF-CE5CCCC424F1}">
            <xm:f>SelectionCriteria!$A$4</xm:f>
            <x14:dxf>
              <fill>
                <patternFill>
                  <bgColor rgb="FFFFFF00"/>
                </patternFill>
              </fill>
            </x14:dxf>
          </x14:cfRule>
          <x14:cfRule type="cellIs" priority="491" operator="equal" id="{BF45D2CC-964A-4C4D-9AB4-625CB8C29F1B}">
            <xm:f>SelectionCriteria!$A$3</xm:f>
            <x14:dxf>
              <fill>
                <patternFill>
                  <bgColor rgb="FFFFC000"/>
                </patternFill>
              </fill>
            </x14:dxf>
          </x14:cfRule>
          <x14:cfRule type="cellIs" priority="492" operator="equal" id="{FAB42516-F82E-4317-B810-DE8565534756}">
            <xm:f>SelectionCriteria!$A$2</xm:f>
            <x14:dxf>
              <font>
                <color theme="0"/>
              </font>
              <fill>
                <patternFill>
                  <bgColor rgb="FFFF0000"/>
                </patternFill>
              </fill>
            </x14:dxf>
          </x14:cfRule>
          <xm:sqref>P60:Q61</xm:sqref>
        </x14:conditionalFormatting>
        <x14:conditionalFormatting xmlns:xm="http://schemas.microsoft.com/office/excel/2006/main">
          <x14:cfRule type="cellIs" priority="469" operator="equal" id="{36007E0B-2073-4C83-BA94-06C8D90CBF2C}">
            <xm:f>SelectionCriteria!$A$5</xm:f>
            <x14:dxf>
              <fill>
                <patternFill>
                  <bgColor rgb="FF00B050"/>
                </patternFill>
              </fill>
            </x14:dxf>
          </x14:cfRule>
          <x14:cfRule type="cellIs" priority="470" operator="equal" id="{1F80DC53-BEB3-4965-8690-4FDCD2025BB8}">
            <xm:f>SelectionCriteria!$A$4</xm:f>
            <x14:dxf>
              <fill>
                <patternFill>
                  <bgColor rgb="FFFFFF00"/>
                </patternFill>
              </fill>
            </x14:dxf>
          </x14:cfRule>
          <x14:cfRule type="cellIs" priority="471" operator="equal" id="{908112E4-7F4F-4F7D-AEA2-642DF05F976F}">
            <xm:f>SelectionCriteria!$A$3</xm:f>
            <x14:dxf>
              <fill>
                <patternFill>
                  <bgColor rgb="FFFFC000"/>
                </patternFill>
              </fill>
            </x14:dxf>
          </x14:cfRule>
          <x14:cfRule type="cellIs" priority="472" operator="equal" id="{4DA076FE-F55B-4ED1-9AD9-67A3DB244820}">
            <xm:f>SelectionCriteria!$A$2</xm:f>
            <x14:dxf>
              <font>
                <color theme="0"/>
              </font>
              <fill>
                <patternFill>
                  <bgColor rgb="FFFF0000"/>
                </patternFill>
              </fill>
            </x14:dxf>
          </x14:cfRule>
          <xm:sqref>Z39:AA40</xm:sqref>
        </x14:conditionalFormatting>
        <x14:conditionalFormatting xmlns:xm="http://schemas.microsoft.com/office/excel/2006/main">
          <x14:cfRule type="cellIs" priority="428" operator="equal" id="{82211135-4CFB-4DA4-B4FD-464ED7E4FE97}">
            <xm:f>'\Users\ericmannel\Library\Containers\com.microsoft.Excel\Data\Documents\Users\isourikova\AppData\Local\Packages\Microsoft.MicrosoftEdge_8wekyb3d8bbwe\TempState\Downloads\[CD-2 Risk Register Dec 15 (1).xlsx]SelectionCriteria'!#REF!</xm:f>
            <x14:dxf>
              <fill>
                <patternFill>
                  <bgColor rgb="FF00B050"/>
                </patternFill>
              </fill>
            </x14:dxf>
          </x14:cfRule>
          <x14:cfRule type="cellIs" priority="429" operator="equal" id="{68E22E97-5599-4056-A7B4-41F82D8EF3CC}">
            <xm:f>'\Users\ericmannel\Library\Containers\com.microsoft.Excel\Data\Documents\Users\isourikova\AppData\Local\Packages\Microsoft.MicrosoftEdge_8wekyb3d8bbwe\TempState\Downloads\[CD-2 Risk Register Dec 15 (1).xlsx]SelectionCriteria'!#REF!</xm:f>
            <x14:dxf>
              <fill>
                <patternFill>
                  <bgColor rgb="FFFFFF00"/>
                </patternFill>
              </fill>
            </x14:dxf>
          </x14:cfRule>
          <x14:cfRule type="cellIs" priority="430" operator="equal" id="{8D8D8A67-B21E-4C98-A949-6B2474E5A830}">
            <xm:f>'\Users\ericmannel\Library\Containers\com.microsoft.Excel\Data\Documents\Users\isourikova\AppData\Local\Packages\Microsoft.MicrosoftEdge_8wekyb3d8bbwe\TempState\Downloads\[CD-2 Risk Register Dec 15 (1).xlsx]SelectionCriteria'!#REF!</xm:f>
            <x14:dxf>
              <fill>
                <patternFill>
                  <bgColor rgb="FFFFC000"/>
                </patternFill>
              </fill>
            </x14:dxf>
          </x14:cfRule>
          <x14:cfRule type="cellIs" priority="431" operator="equal" id="{1199203D-817A-4872-B209-723AB24273F5}">
            <xm:f>'\Users\ericmannel\Library\Containers\com.microsoft.Excel\Data\Documents\Users\isourikova\AppData\Local\Packages\Microsoft.MicrosoftEdge_8wekyb3d8bbwe\TempState\Downloads\[CD-2 Risk Register Dec 15 (1).xlsx]SelectionCriteria'!#REF!</xm:f>
            <x14:dxf>
              <font>
                <color theme="0"/>
              </font>
              <fill>
                <patternFill>
                  <bgColor rgb="FFFF0000"/>
                </patternFill>
              </fill>
            </x14:dxf>
          </x14:cfRule>
          <xm:sqref>K79:L79</xm:sqref>
        </x14:conditionalFormatting>
        <x14:conditionalFormatting xmlns:xm="http://schemas.microsoft.com/office/excel/2006/main">
          <x14:cfRule type="cellIs" priority="424" operator="equal" id="{89A9774C-D416-4410-A6E7-960B7B3EF632}">
            <xm:f>'\Users\ericmannel\Library\Containers\com.microsoft.Excel\Data\Documents\Users\isourikova\AppData\Local\Packages\Microsoft.MicrosoftEdge_8wekyb3d8bbwe\TempState\Downloads\[CD-2 Risk Register Dec 15 (1).xlsx]SelectionCriteria'!#REF!</xm:f>
            <x14:dxf>
              <fill>
                <patternFill>
                  <bgColor rgb="FF00B050"/>
                </patternFill>
              </fill>
            </x14:dxf>
          </x14:cfRule>
          <x14:cfRule type="cellIs" priority="425" operator="equal" id="{DCF1FAED-3295-4111-A729-B4E64C6F3B97}">
            <xm:f>'\Users\ericmannel\Library\Containers\com.microsoft.Excel\Data\Documents\Users\isourikova\AppData\Local\Packages\Microsoft.MicrosoftEdge_8wekyb3d8bbwe\TempState\Downloads\[CD-2 Risk Register Dec 15 (1).xlsx]SelectionCriteria'!#REF!</xm:f>
            <x14:dxf>
              <fill>
                <patternFill>
                  <bgColor rgb="FFFFFF00"/>
                </patternFill>
              </fill>
            </x14:dxf>
          </x14:cfRule>
          <x14:cfRule type="cellIs" priority="426" operator="equal" id="{6C68FC9A-2532-41A4-9B8D-A295C36B7135}">
            <xm:f>'\Users\ericmannel\Library\Containers\com.microsoft.Excel\Data\Documents\Users\isourikova\AppData\Local\Packages\Microsoft.MicrosoftEdge_8wekyb3d8bbwe\TempState\Downloads\[CD-2 Risk Register Dec 15 (1).xlsx]SelectionCriteria'!#REF!</xm:f>
            <x14:dxf>
              <fill>
                <patternFill>
                  <bgColor rgb="FFFFC000"/>
                </patternFill>
              </fill>
            </x14:dxf>
          </x14:cfRule>
          <x14:cfRule type="cellIs" priority="427" operator="equal" id="{B93D8304-214C-4F49-92D1-C67CC0BA006C}">
            <xm:f>'\Users\ericmannel\Library\Containers\com.microsoft.Excel\Data\Documents\Users\isourikova\AppData\Local\Packages\Microsoft.MicrosoftEdge_8wekyb3d8bbwe\TempState\Downloads\[CD-2 Risk Register Dec 15 (1).xlsx]SelectionCriteria'!#REF!</xm:f>
            <x14:dxf>
              <font>
                <color theme="0"/>
              </font>
              <fill>
                <patternFill>
                  <bgColor rgb="FFFF0000"/>
                </patternFill>
              </fill>
            </x14:dxf>
          </x14:cfRule>
          <xm:sqref>AA79</xm:sqref>
        </x14:conditionalFormatting>
        <x14:conditionalFormatting xmlns:xm="http://schemas.microsoft.com/office/excel/2006/main">
          <x14:cfRule type="expression" priority="411" id="{D02E307F-7316-4EAD-89AB-A3478012DBB8}">
            <xm:f>$M79&lt;='\Users\ericmannel\Library\Containers\com.microsoft.Excel\Data\Documents\Users\isourikova\AppData\Local\Packages\Microsoft.MicrosoftEdge_8wekyb3d8bbwe\TempState\Downloads\[CD-2 Risk Register Dec 15 (1).xlsx]SelectionCriteria'!#REF!</xm:f>
            <x14:dxf>
              <fill>
                <patternFill>
                  <bgColor rgb="FF00B050"/>
                </patternFill>
              </fill>
            </x14:dxf>
          </x14:cfRule>
          <x14:cfRule type="expression" priority="412" id="{0FEFA2E1-C30B-483F-B7B5-A11A626C7F99}">
            <xm:f>$M79&lt;='\Users\ericmannel\Library\Containers\com.microsoft.Excel\Data\Documents\Users\isourikova\AppData\Local\Packages\Microsoft.MicrosoftEdge_8wekyb3d8bbwe\TempState\Downloads\[CD-2 Risk Register Dec 15 (1).xlsx]SelectionCriteria'!#REF!</xm:f>
            <x14:dxf>
              <fill>
                <patternFill>
                  <bgColor rgb="FFFFFF00"/>
                </patternFill>
              </fill>
            </x14:dxf>
          </x14:cfRule>
          <x14:cfRule type="expression" priority="413" id="{7E9A916E-76E7-4B23-A511-2C5C87E0BD93}">
            <xm:f>$M79&lt;='\Users\ericmannel\Library\Containers\com.microsoft.Excel\Data\Documents\Users\isourikova\AppData\Local\Packages\Microsoft.MicrosoftEdge_8wekyb3d8bbwe\TempState\Downloads\[CD-2 Risk Register Dec 15 (1).xlsx]SelectionCriteria'!#REF!</xm:f>
            <x14:dxf>
              <fill>
                <patternFill>
                  <bgColor rgb="FFFFC000"/>
                </patternFill>
              </fill>
            </x14:dxf>
          </x14:cfRule>
          <x14:cfRule type="expression" priority="414" id="{4EEBC131-9655-4C1F-B281-368D03012603}">
            <xm:f>$M79&gt;'\Users\ericmannel\Library\Containers\com.microsoft.Excel\Data\Documents\Users\isourikova\AppData\Local\Packages\Microsoft.MicrosoftEdge_8wekyb3d8bbwe\TempState\Downloads\[CD-2 Risk Register Dec 15 (1).xlsx]SelectionCriteria'!#REF!</xm:f>
            <x14:dxf>
              <font>
                <color theme="0"/>
              </font>
              <fill>
                <patternFill>
                  <bgColor rgb="FFFF0000"/>
                </patternFill>
              </fill>
            </x14:dxf>
          </x14:cfRule>
          <xm:sqref>M79</xm:sqref>
        </x14:conditionalFormatting>
        <x14:conditionalFormatting xmlns:xm="http://schemas.microsoft.com/office/excel/2006/main">
          <x14:cfRule type="cellIs" priority="405" operator="equal" id="{403D18EC-71AB-4973-B2B4-628ECB8DEAD3}">
            <xm:f>SelectionCriteria!$A$5</xm:f>
            <x14:dxf>
              <fill>
                <patternFill>
                  <bgColor rgb="FF00B050"/>
                </patternFill>
              </fill>
            </x14:dxf>
          </x14:cfRule>
          <x14:cfRule type="cellIs" priority="406" operator="equal" id="{E7C16CC7-FCFC-472A-806E-8F5D165540DE}">
            <xm:f>SelectionCriteria!$A$4</xm:f>
            <x14:dxf>
              <fill>
                <patternFill>
                  <bgColor rgb="FFFFFF00"/>
                </patternFill>
              </fill>
            </x14:dxf>
          </x14:cfRule>
          <x14:cfRule type="cellIs" priority="407" operator="equal" id="{C788D8DE-6DB6-438E-B3D5-E99775CAA975}">
            <xm:f>SelectionCriteria!$A$3</xm:f>
            <x14:dxf>
              <fill>
                <patternFill>
                  <bgColor rgb="FFFFC000"/>
                </patternFill>
              </fill>
            </x14:dxf>
          </x14:cfRule>
          <x14:cfRule type="cellIs" priority="408" operator="equal" id="{CF733F82-0C95-408F-AD26-FC35CE76AB5F}">
            <xm:f>SelectionCriteria!$A$2</xm:f>
            <x14:dxf>
              <font>
                <color theme="0"/>
              </font>
              <fill>
                <patternFill>
                  <bgColor rgb="FFFF0000"/>
                </patternFill>
              </fill>
            </x14:dxf>
          </x14:cfRule>
          <xm:sqref>Z79</xm:sqref>
        </x14:conditionalFormatting>
        <x14:conditionalFormatting xmlns:xm="http://schemas.microsoft.com/office/excel/2006/main">
          <x14:cfRule type="cellIs" priority="212" operator="equal" id="{DE1DDA99-8785-4A4F-9BC0-F0A317B9D814}">
            <xm:f>SelectionCriteria!$A$5</xm:f>
            <x14:dxf>
              <fill>
                <patternFill>
                  <bgColor rgb="FF00B050"/>
                </patternFill>
              </fill>
            </x14:dxf>
          </x14:cfRule>
          <x14:cfRule type="cellIs" priority="213" operator="equal" id="{F8A6A088-8FF3-D04C-915E-794682229BA4}">
            <xm:f>SelectionCriteria!$A$4</xm:f>
            <x14:dxf>
              <fill>
                <patternFill>
                  <bgColor rgb="FFFFFF00"/>
                </patternFill>
              </fill>
            </x14:dxf>
          </x14:cfRule>
          <x14:cfRule type="cellIs" priority="214" operator="equal" id="{6BD06739-0288-D04B-A0F8-18905C77851E}">
            <xm:f>SelectionCriteria!$A$3</xm:f>
            <x14:dxf>
              <fill>
                <patternFill>
                  <bgColor rgb="FFFFC000"/>
                </patternFill>
              </fill>
            </x14:dxf>
          </x14:cfRule>
          <x14:cfRule type="cellIs" priority="215" operator="equal" id="{056C7E39-5AAE-F34A-A73B-953A3CCD3B3F}">
            <xm:f>SelectionCriteria!$A$2</xm:f>
            <x14:dxf>
              <font>
                <color theme="0"/>
              </font>
              <fill>
                <patternFill>
                  <bgColor rgb="FFFF0000"/>
                </patternFill>
              </fill>
            </x14:dxf>
          </x14:cfRule>
          <xm:sqref>Z61:AA61</xm:sqref>
        </x14:conditionalFormatting>
        <x14:conditionalFormatting xmlns:xm="http://schemas.microsoft.com/office/excel/2006/main">
          <x14:cfRule type="cellIs" priority="133" operator="equal" id="{8EE39377-2CE3-4B74-9D64-F14B6C26C718}">
            <xm:f>SelectionCriteria!$A$5</xm:f>
            <x14:dxf>
              <fill>
                <patternFill>
                  <bgColor rgb="FF00B050"/>
                </patternFill>
              </fill>
            </x14:dxf>
          </x14:cfRule>
          <x14:cfRule type="cellIs" priority="134" operator="equal" id="{254C562A-8C1F-4DA0-AAE2-DE8E857CEF36}">
            <xm:f>SelectionCriteria!$A$4</xm:f>
            <x14:dxf>
              <fill>
                <patternFill>
                  <bgColor rgb="FFFFFF00"/>
                </patternFill>
              </fill>
            </x14:dxf>
          </x14:cfRule>
          <x14:cfRule type="cellIs" priority="135" operator="equal" id="{4B07CFDB-1A7E-4F24-8FE3-24120DD7322D}">
            <xm:f>SelectionCriteria!$A$3</xm:f>
            <x14:dxf>
              <fill>
                <patternFill>
                  <bgColor rgb="FFFFC000"/>
                </patternFill>
              </fill>
            </x14:dxf>
          </x14:cfRule>
          <x14:cfRule type="cellIs" priority="136" operator="equal" id="{C52407E5-46F4-4CEA-9778-5FD4F429DF07}">
            <xm:f>SelectionCriteria!$A$2</xm:f>
            <x14:dxf>
              <font>
                <color theme="0"/>
              </font>
              <fill>
                <patternFill>
                  <bgColor rgb="FFFF0000"/>
                </patternFill>
              </fill>
            </x14:dxf>
          </x14:cfRule>
          <xm:sqref>AA24:AA26</xm:sqref>
        </x14:conditionalFormatting>
        <x14:conditionalFormatting xmlns:xm="http://schemas.microsoft.com/office/excel/2006/main">
          <x14:cfRule type="cellIs" priority="129" operator="equal" id="{9C74F9B1-4D13-4DA6-94D7-174330FA9A6A}">
            <xm:f>SelectionCriteria!$A$5</xm:f>
            <x14:dxf>
              <fill>
                <patternFill>
                  <bgColor rgb="FF00B050"/>
                </patternFill>
              </fill>
            </x14:dxf>
          </x14:cfRule>
          <x14:cfRule type="cellIs" priority="130" operator="equal" id="{0CCD9F73-8012-4B9C-A7C9-AC395E400C57}">
            <xm:f>SelectionCriteria!$A$4</xm:f>
            <x14:dxf>
              <fill>
                <patternFill>
                  <bgColor rgb="FFFFFF00"/>
                </patternFill>
              </fill>
            </x14:dxf>
          </x14:cfRule>
          <x14:cfRule type="cellIs" priority="131" operator="equal" id="{38F9C8BA-EDAC-4F3F-BC77-09B51B64A59E}">
            <xm:f>SelectionCriteria!$A$3</xm:f>
            <x14:dxf>
              <fill>
                <patternFill>
                  <bgColor rgb="FFFFC000"/>
                </patternFill>
              </fill>
            </x14:dxf>
          </x14:cfRule>
          <x14:cfRule type="cellIs" priority="132" operator="equal" id="{6B5C51D8-5249-4190-A3B9-878D3A693DDB}">
            <xm:f>SelectionCriteria!$A$2</xm:f>
            <x14:dxf>
              <font>
                <color theme="0"/>
              </font>
              <fill>
                <patternFill>
                  <bgColor rgb="FFFF0000"/>
                </patternFill>
              </fill>
            </x14:dxf>
          </x14:cfRule>
          <xm:sqref>Z24:Z26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SelectionCriteria!$A$2:$A$5</xm:f>
          </x14:formula1>
          <xm:sqref>AB11:AG11 M54:Q61 AN3:AN44 AB13:AG13 AB29:AG29 L113 AN85:AN95 K82:K83 K96:K114 L99 Z96:Z114 Z85:AA95 K85:L95 K3:L9 Z62:Z70 J54:J61 Z75:Z84 K11:L38 Z46:AA61 AA62:AA68 K46:L68 Z3:AA44 K41:L44 AN46:AN67 AN69:AN70</xm:sqref>
        </x14:dataValidation>
        <x14:dataValidation type="list" allowBlank="1" showInputMessage="1" showErrorMessage="1" xr:uid="{00000000-0002-0000-0000-000001000000}">
          <x14:formula1>
            <xm:f>SelectionCriteria!$A$8:$A$11</xm:f>
          </x14:formula1>
          <xm:sqref>W85:W95 W46:W68 W3:W44 J39:T40 V39:V40 U39</xm:sqref>
        </x14:dataValidation>
        <x14:dataValidation type="list" allowBlank="1" showInputMessage="1" showErrorMessage="1" xr:uid="{00000000-0002-0000-0000-000002000000}">
          <x14:formula1>
            <xm:f>'\Users\ericmannel\Library\Containers\com.microsoft.Excel\Data\Documents\C:\Users\isourikova\CD-2\RISK ANALYSIS\[CD-2 Risk Register Mar 1 2019.xlsx]SelectionCriteria'!#REF!</xm:f>
          </x14:formula1>
          <xm:sqref>W69:W70 AA69:AA70 K69:L70</xm:sqref>
        </x14:dataValidation>
        <x14:dataValidation type="list" allowBlank="1" showInputMessage="1" showErrorMessage="1" xr:uid="{00000000-0002-0000-0000-000003000000}">
          <x14:formula1>
            <xm:f>'\Users\ericmannel\Library\Containers\com.microsoft.Excel\Data\Documents\C:\Users\isourikova\AppData\Local\Packages\Microsoft.MicrosoftEdge_8wekyb3d8bbwe\TempState\Downloads\[CD-2 Risk Register Dec 15 (1).xlsx]SelectionCriteria'!#REF!</xm:f>
          </x14:formula1>
          <xm:sqref>L82:L83 AA75:AA83 AN75:AN83 W75:W83 K75:L81</xm:sqref>
        </x14:dataValidation>
        <x14:dataValidation type="list" allowBlank="1" showInputMessage="1" showErrorMessage="1" xr:uid="{00000000-0002-0000-0000-000005000000}">
          <x14:formula1>
            <xm:f>'\Users\ericmannel\Library\Containers\com.microsoft.Excel\Data\Documents\C:\Users\isourikova\AppData\Local\Microsoft\Windows\INetCache\Content.Outlook\PEMHR5UC\[Infrastructure_Risk_Registry.xlsx]SelectionCriteria'!#REF!</xm:f>
          </x14:formula1>
          <xm:sqref>W84 K84:L84 AN84 AA84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5F55B-B74F-42A5-93A9-A9EE37B07E33}">
  <sheetPr>
    <outlinePr summaryBelow="0"/>
  </sheetPr>
  <dimension ref="A1:C53"/>
  <sheetViews>
    <sheetView topLeftCell="B1" workbookViewId="0">
      <pane xSplit="1" ySplit="10" topLeftCell="C27" activePane="bottomRight" state="frozen"/>
      <selection activeCell="B1" sqref="B1"/>
      <selection pane="topRight" activeCell="C1" sqref="C1"/>
      <selection pane="bottomLeft" activeCell="B11" sqref="B11"/>
      <selection pane="bottomRight" activeCell="C2" sqref="C2"/>
    </sheetView>
  </sheetViews>
  <sheetFormatPr defaultColWidth="8.85546875" defaultRowHeight="15" outlineLevelRow="1" x14ac:dyDescent="0.25"/>
  <cols>
    <col min="1" max="1" width="4.28515625" customWidth="1"/>
    <col min="2" max="2" width="37.28515625" style="150" customWidth="1"/>
    <col min="3" max="3" width="120.28515625" customWidth="1"/>
  </cols>
  <sheetData>
    <row r="1" spans="1:3" x14ac:dyDescent="0.25">
      <c r="A1" s="150" t="s">
        <v>449</v>
      </c>
      <c r="B1" s="158" t="s">
        <v>450</v>
      </c>
      <c r="C1" s="170">
        <v>83</v>
      </c>
    </row>
    <row r="2" spans="1:3" x14ac:dyDescent="0.25">
      <c r="A2" t="s">
        <v>447</v>
      </c>
      <c r="B2" s="150" t="s">
        <v>448</v>
      </c>
      <c r="C2" s="165" t="str">
        <f ca="1">C10</f>
        <v>CA-D engineers are not available for timely design efforts</v>
      </c>
    </row>
    <row r="3" spans="1:3" ht="15.75" thickBot="1" x14ac:dyDescent="0.3">
      <c r="B3" s="168" t="s">
        <v>14</v>
      </c>
      <c r="C3" s="169" t="str">
        <f ca="1">C11</f>
        <v>If CA-D engineers are not available for timely design efforts, then there would be cascading delays to production, assembly and installation</v>
      </c>
    </row>
    <row r="4" spans="1:3" ht="15.75" outlineLevel="1" thickBot="1" x14ac:dyDescent="0.3">
      <c r="A4" t="s">
        <v>399</v>
      </c>
      <c r="B4" s="151" t="s">
        <v>20</v>
      </c>
      <c r="C4" s="157" t="str">
        <f ca="1">INDIRECT(CONCATENATE($A$1,$A4,$C$1+2))</f>
        <v>sPH_Infrastructure_01</v>
      </c>
    </row>
    <row r="5" spans="1:3" ht="15.75" outlineLevel="1" thickBot="1" x14ac:dyDescent="0.3">
      <c r="A5" t="s">
        <v>400</v>
      </c>
      <c r="B5" s="152" t="s">
        <v>161</v>
      </c>
      <c r="C5" s="157">
        <f ca="1">INDIRECT(CONCATENATE($A$1,$A5,$C$1+2))</f>
        <v>2.04</v>
      </c>
    </row>
    <row r="6" spans="1:3" ht="15.75" outlineLevel="1" thickBot="1" x14ac:dyDescent="0.3">
      <c r="A6" t="s">
        <v>410</v>
      </c>
      <c r="B6" s="141" t="s">
        <v>15</v>
      </c>
      <c r="C6" s="157" t="str">
        <f t="shared" ref="C6:C53" ca="1" si="0">INDIRECT(CONCATENATE($A$1,$A6,$C$1+2))</f>
        <v>BNL</v>
      </c>
    </row>
    <row r="7" spans="1:3" ht="15.75" outlineLevel="1" thickBot="1" x14ac:dyDescent="0.3">
      <c r="A7" t="s">
        <v>404</v>
      </c>
      <c r="B7" s="141" t="s">
        <v>19</v>
      </c>
      <c r="C7" s="157" t="str">
        <f t="shared" ca="1" si="0"/>
        <v>Infrastructure</v>
      </c>
    </row>
    <row r="8" spans="1:3" ht="15.75" outlineLevel="1" thickBot="1" x14ac:dyDescent="0.3">
      <c r="A8" t="s">
        <v>411</v>
      </c>
      <c r="B8" s="153" t="s">
        <v>16</v>
      </c>
      <c r="C8" s="157">
        <f t="shared" ca="1" si="0"/>
        <v>0</v>
      </c>
    </row>
    <row r="9" spans="1:3" ht="15.75" outlineLevel="1" thickBot="1" x14ac:dyDescent="0.3">
      <c r="A9" t="s">
        <v>412</v>
      </c>
      <c r="B9" s="151" t="s">
        <v>21</v>
      </c>
      <c r="C9" s="157" t="str">
        <f t="shared" ca="1" si="0"/>
        <v>J. Vasquez</v>
      </c>
    </row>
    <row r="10" spans="1:3" ht="15.75" outlineLevel="1" thickBot="1" x14ac:dyDescent="0.3">
      <c r="A10" t="s">
        <v>409</v>
      </c>
      <c r="B10" s="151" t="s">
        <v>0</v>
      </c>
      <c r="C10" s="157" t="str">
        <f t="shared" ca="1" si="0"/>
        <v>CA-D engineers are not available for timely design efforts</v>
      </c>
    </row>
    <row r="11" spans="1:3" ht="15.75" outlineLevel="1" thickBot="1" x14ac:dyDescent="0.3">
      <c r="A11" t="s">
        <v>405</v>
      </c>
      <c r="B11" s="159" t="s">
        <v>37</v>
      </c>
      <c r="C11" s="157" t="str">
        <f t="shared" ca="1" si="0"/>
        <v>If CA-D engineers are not available for timely design efforts, then there would be cascading delays to production, assembly and installation</v>
      </c>
    </row>
    <row r="12" spans="1:3" ht="15.75" thickBot="1" x14ac:dyDescent="0.3">
      <c r="B12" s="161" t="s">
        <v>9</v>
      </c>
      <c r="C12" s="166">
        <f ca="1">C22</f>
        <v>0</v>
      </c>
    </row>
    <row r="13" spans="1:3" ht="15.75" outlineLevel="1" thickBot="1" x14ac:dyDescent="0.3">
      <c r="A13" t="s">
        <v>413</v>
      </c>
      <c r="B13" s="160" t="s">
        <v>45</v>
      </c>
      <c r="C13" s="157">
        <f t="shared" ca="1" si="0"/>
        <v>0.3</v>
      </c>
    </row>
    <row r="14" spans="1:3" ht="15.75" outlineLevel="1" thickBot="1" x14ac:dyDescent="0.3">
      <c r="A14" t="s">
        <v>414</v>
      </c>
      <c r="B14" s="138" t="s">
        <v>41</v>
      </c>
      <c r="C14" s="157" t="str">
        <f t="shared" ca="1" si="0"/>
        <v>Negligible</v>
      </c>
    </row>
    <row r="15" spans="1:3" ht="15.75" outlineLevel="1" thickBot="1" x14ac:dyDescent="0.3">
      <c r="A15" t="s">
        <v>408</v>
      </c>
      <c r="B15" s="138" t="s">
        <v>42</v>
      </c>
      <c r="C15" s="157">
        <f t="shared" ca="1" si="0"/>
        <v>0</v>
      </c>
    </row>
    <row r="16" spans="1:3" ht="15.75" outlineLevel="1" thickBot="1" x14ac:dyDescent="0.3">
      <c r="A16" t="s">
        <v>401</v>
      </c>
      <c r="B16" s="138" t="s">
        <v>23</v>
      </c>
      <c r="C16" s="157">
        <f t="shared" ca="1" si="0"/>
        <v>0</v>
      </c>
    </row>
    <row r="17" spans="1:3" ht="15.75" outlineLevel="1" thickBot="1" x14ac:dyDescent="0.3">
      <c r="A17" t="s">
        <v>402</v>
      </c>
      <c r="B17" s="139" t="s">
        <v>31</v>
      </c>
      <c r="C17" s="157">
        <f t="shared" ca="1" si="0"/>
        <v>3</v>
      </c>
    </row>
    <row r="18" spans="1:3" ht="15.75" outlineLevel="1" thickBot="1" x14ac:dyDescent="0.3">
      <c r="A18" t="s">
        <v>415</v>
      </c>
      <c r="B18" s="139" t="s">
        <v>32</v>
      </c>
      <c r="C18" s="157">
        <f t="shared" ca="1" si="0"/>
        <v>1</v>
      </c>
    </row>
    <row r="19" spans="1:3" ht="15.75" outlineLevel="1" thickBot="1" x14ac:dyDescent="0.3">
      <c r="A19" t="s">
        <v>416</v>
      </c>
      <c r="B19" s="139" t="s">
        <v>33</v>
      </c>
      <c r="C19" s="157">
        <f t="shared" ca="1" si="0"/>
        <v>1</v>
      </c>
    </row>
    <row r="20" spans="1:3" ht="15.75" outlineLevel="1" thickBot="1" x14ac:dyDescent="0.3">
      <c r="A20" t="s">
        <v>417</v>
      </c>
      <c r="B20" s="139" t="s">
        <v>34</v>
      </c>
      <c r="C20" s="157">
        <f t="shared" ca="1" si="0"/>
        <v>0</v>
      </c>
    </row>
    <row r="21" spans="1:3" ht="15.75" outlineLevel="1" thickBot="1" x14ac:dyDescent="0.3">
      <c r="A21" t="s">
        <v>418</v>
      </c>
      <c r="B21" s="139" t="s">
        <v>17</v>
      </c>
      <c r="C21" s="157">
        <f t="shared" ca="1" si="0"/>
        <v>2</v>
      </c>
    </row>
    <row r="22" spans="1:3" ht="15.75" outlineLevel="1" thickBot="1" x14ac:dyDescent="0.3">
      <c r="A22" t="s">
        <v>407</v>
      </c>
      <c r="B22" s="140" t="s">
        <v>17</v>
      </c>
      <c r="C22" s="157">
        <f t="shared" ca="1" si="0"/>
        <v>0</v>
      </c>
    </row>
    <row r="23" spans="1:3" ht="15.75" outlineLevel="1" thickBot="1" x14ac:dyDescent="0.3">
      <c r="A23" t="s">
        <v>403</v>
      </c>
      <c r="B23" s="141" t="s">
        <v>6</v>
      </c>
      <c r="C23" s="157" t="str">
        <f t="shared" ca="1" si="0"/>
        <v>Low</v>
      </c>
    </row>
    <row r="24" spans="1:3" ht="30.75" outlineLevel="1" thickBot="1" x14ac:dyDescent="0.3">
      <c r="A24" t="s">
        <v>406</v>
      </c>
      <c r="B24" s="142" t="s">
        <v>30</v>
      </c>
      <c r="C24" s="157" t="str">
        <f t="shared" ca="1" si="0"/>
        <v>Sign MOU with CAD.</v>
      </c>
    </row>
    <row r="25" spans="1:3" ht="15.75" outlineLevel="1" thickBot="1" x14ac:dyDescent="0.3">
      <c r="A25" t="s">
        <v>419</v>
      </c>
      <c r="B25" s="143" t="s">
        <v>73</v>
      </c>
      <c r="C25" s="157">
        <f t="shared" ca="1" si="0"/>
        <v>0</v>
      </c>
    </row>
    <row r="26" spans="1:3" ht="15.75" outlineLevel="1" thickBot="1" x14ac:dyDescent="0.3">
      <c r="A26" t="s">
        <v>445</v>
      </c>
      <c r="B26" s="162" t="s">
        <v>39</v>
      </c>
      <c r="C26" s="157">
        <f t="shared" ca="1" si="0"/>
        <v>0</v>
      </c>
    </row>
    <row r="27" spans="1:3" ht="15.75" thickBot="1" x14ac:dyDescent="0.3">
      <c r="B27" s="164" t="s">
        <v>7</v>
      </c>
      <c r="C27" s="167">
        <f ca="1">C42</f>
        <v>0</v>
      </c>
    </row>
    <row r="28" spans="1:3" ht="15.75" outlineLevel="1" thickBot="1" x14ac:dyDescent="0.3">
      <c r="A28" t="s">
        <v>420</v>
      </c>
      <c r="B28" s="163" t="s">
        <v>40</v>
      </c>
      <c r="C28" s="157">
        <f t="shared" ca="1" si="0"/>
        <v>0</v>
      </c>
    </row>
    <row r="29" spans="1:3" ht="15.75" outlineLevel="1" thickBot="1" x14ac:dyDescent="0.3">
      <c r="A29" t="s">
        <v>421</v>
      </c>
      <c r="B29" s="154" t="s">
        <v>8</v>
      </c>
      <c r="C29" s="157">
        <f t="shared" ca="1" si="0"/>
        <v>0</v>
      </c>
    </row>
    <row r="30" spans="1:3" ht="15.75" outlineLevel="1" thickBot="1" x14ac:dyDescent="0.3">
      <c r="A30" t="s">
        <v>422</v>
      </c>
      <c r="B30" s="144" t="s">
        <v>4</v>
      </c>
      <c r="C30" s="157">
        <f t="shared" ca="1" si="0"/>
        <v>0</v>
      </c>
    </row>
    <row r="31" spans="1:3" ht="15.75" outlineLevel="1" thickBot="1" x14ac:dyDescent="0.3">
      <c r="A31" t="s">
        <v>423</v>
      </c>
      <c r="B31" s="155" t="s">
        <v>27</v>
      </c>
      <c r="C31" s="157">
        <f t="shared" ca="1" si="0"/>
        <v>0</v>
      </c>
    </row>
    <row r="32" spans="1:3" ht="15.75" outlineLevel="1" thickBot="1" x14ac:dyDescent="0.3">
      <c r="A32" t="s">
        <v>424</v>
      </c>
      <c r="B32" s="155" t="s">
        <v>28</v>
      </c>
      <c r="C32" s="157">
        <f t="shared" ca="1" si="0"/>
        <v>0</v>
      </c>
    </row>
    <row r="33" spans="1:3" ht="15.75" outlineLevel="1" thickBot="1" x14ac:dyDescent="0.3">
      <c r="A33" t="s">
        <v>425</v>
      </c>
      <c r="B33" s="155" t="s">
        <v>29</v>
      </c>
      <c r="C33" s="157">
        <f t="shared" ca="1" si="0"/>
        <v>0</v>
      </c>
    </row>
    <row r="34" spans="1:3" ht="15.75" outlineLevel="1" thickBot="1" x14ac:dyDescent="0.3">
      <c r="A34" t="s">
        <v>426</v>
      </c>
      <c r="B34" s="155" t="s">
        <v>24</v>
      </c>
      <c r="C34" s="157">
        <f t="shared" ca="1" si="0"/>
        <v>0</v>
      </c>
    </row>
    <row r="35" spans="1:3" ht="15.75" outlineLevel="1" thickBot="1" x14ac:dyDescent="0.3">
      <c r="A35" t="s">
        <v>427</v>
      </c>
      <c r="B35" s="155" t="s">
        <v>25</v>
      </c>
      <c r="C35" s="157">
        <f t="shared" ca="1" si="0"/>
        <v>0</v>
      </c>
    </row>
    <row r="36" spans="1:3" ht="15.75" outlineLevel="1" thickBot="1" x14ac:dyDescent="0.3">
      <c r="A36" t="s">
        <v>428</v>
      </c>
      <c r="B36" s="155" t="s">
        <v>26</v>
      </c>
      <c r="C36" s="157">
        <f t="shared" ca="1" si="0"/>
        <v>0</v>
      </c>
    </row>
    <row r="37" spans="1:3" ht="15.75" outlineLevel="1" thickBot="1" x14ac:dyDescent="0.3">
      <c r="A37" t="s">
        <v>429</v>
      </c>
      <c r="B37" s="145" t="s">
        <v>31</v>
      </c>
      <c r="C37" s="157">
        <f t="shared" ca="1" si="0"/>
        <v>0</v>
      </c>
    </row>
    <row r="38" spans="1:3" ht="15.75" outlineLevel="1" thickBot="1" x14ac:dyDescent="0.3">
      <c r="A38" t="s">
        <v>430</v>
      </c>
      <c r="B38" s="145" t="s">
        <v>32</v>
      </c>
      <c r="C38" s="157">
        <f t="shared" ca="1" si="0"/>
        <v>0</v>
      </c>
    </row>
    <row r="39" spans="1:3" ht="15.75" outlineLevel="1" thickBot="1" x14ac:dyDescent="0.3">
      <c r="A39" t="s">
        <v>431</v>
      </c>
      <c r="B39" s="145" t="s">
        <v>33</v>
      </c>
      <c r="C39" s="157">
        <f t="shared" ca="1" si="0"/>
        <v>0</v>
      </c>
    </row>
    <row r="40" spans="1:3" ht="15.75" outlineLevel="1" thickBot="1" x14ac:dyDescent="0.3">
      <c r="A40" t="s">
        <v>432</v>
      </c>
      <c r="B40" s="145" t="s">
        <v>34</v>
      </c>
      <c r="C40" s="157">
        <f t="shared" ca="1" si="0"/>
        <v>0</v>
      </c>
    </row>
    <row r="41" spans="1:3" ht="15.75" outlineLevel="1" thickBot="1" x14ac:dyDescent="0.3">
      <c r="A41" t="s">
        <v>433</v>
      </c>
      <c r="B41" s="146" t="s">
        <v>35</v>
      </c>
      <c r="C41" s="157">
        <f t="shared" ca="1" si="0"/>
        <v>0</v>
      </c>
    </row>
    <row r="42" spans="1:3" ht="30.75" outlineLevel="1" thickBot="1" x14ac:dyDescent="0.3">
      <c r="A42" t="s">
        <v>434</v>
      </c>
      <c r="B42" s="156" t="s">
        <v>36</v>
      </c>
      <c r="C42" s="157">
        <f t="shared" ca="1" si="0"/>
        <v>0</v>
      </c>
    </row>
    <row r="43" spans="1:3" ht="45.75" outlineLevel="1" thickBot="1" x14ac:dyDescent="0.3">
      <c r="A43" t="s">
        <v>435</v>
      </c>
      <c r="B43" s="147" t="s">
        <v>96</v>
      </c>
      <c r="C43" s="157" t="str">
        <f t="shared" ca="1" si="0"/>
        <v>Not Residual</v>
      </c>
    </row>
    <row r="44" spans="1:3" ht="30.75" outlineLevel="1" thickBot="1" x14ac:dyDescent="0.3">
      <c r="A44" t="s">
        <v>436</v>
      </c>
      <c r="B44" s="148" t="s">
        <v>91</v>
      </c>
      <c r="C44" s="157">
        <f t="shared" ca="1" si="0"/>
        <v>0</v>
      </c>
    </row>
    <row r="45" spans="1:3" ht="30.75" outlineLevel="1" thickBot="1" x14ac:dyDescent="0.3">
      <c r="A45" t="s">
        <v>437</v>
      </c>
      <c r="B45" s="148" t="s">
        <v>92</v>
      </c>
      <c r="C45" s="157">
        <f t="shared" ca="1" si="0"/>
        <v>0</v>
      </c>
    </row>
    <row r="46" spans="1:3" ht="45.75" outlineLevel="1" thickBot="1" x14ac:dyDescent="0.3">
      <c r="A46" t="s">
        <v>438</v>
      </c>
      <c r="B46" s="147" t="s">
        <v>84</v>
      </c>
      <c r="C46" s="157">
        <f t="shared" ca="1" si="0"/>
        <v>0</v>
      </c>
    </row>
    <row r="47" spans="1:3" ht="30.75" outlineLevel="1" thickBot="1" x14ac:dyDescent="0.3">
      <c r="A47" t="s">
        <v>439</v>
      </c>
      <c r="B47" s="148" t="s">
        <v>97</v>
      </c>
      <c r="C47" s="157">
        <f t="shared" ca="1" si="0"/>
        <v>0</v>
      </c>
    </row>
    <row r="48" spans="1:3" ht="30.75" outlineLevel="1" thickBot="1" x14ac:dyDescent="0.3">
      <c r="A48" t="s">
        <v>440</v>
      </c>
      <c r="B48" s="148" t="s">
        <v>98</v>
      </c>
      <c r="C48" s="157" t="str">
        <f t="shared" ca="1" si="0"/>
        <v>Not Residual</v>
      </c>
    </row>
    <row r="49" spans="1:3" ht="15.75" outlineLevel="1" thickBot="1" x14ac:dyDescent="0.3">
      <c r="A49" t="s">
        <v>442</v>
      </c>
      <c r="B49" s="149" t="s">
        <v>93</v>
      </c>
      <c r="C49" s="157" t="str">
        <f t="shared" ca="1" si="0"/>
        <v>Not Residual</v>
      </c>
    </row>
    <row r="50" spans="1:3" ht="15.75" outlineLevel="1" thickBot="1" x14ac:dyDescent="0.3">
      <c r="A50" t="s">
        <v>441</v>
      </c>
      <c r="B50" s="149" t="s">
        <v>86</v>
      </c>
      <c r="C50" s="157">
        <f t="shared" ca="1" si="0"/>
        <v>0</v>
      </c>
    </row>
    <row r="51" spans="1:3" ht="15.75" outlineLevel="1" thickBot="1" x14ac:dyDescent="0.3">
      <c r="A51" t="s">
        <v>443</v>
      </c>
      <c r="B51" s="149" t="s">
        <v>85</v>
      </c>
      <c r="C51" s="157">
        <f t="shared" ca="1" si="0"/>
        <v>0</v>
      </c>
    </row>
    <row r="52" spans="1:3" ht="30.75" outlineLevel="1" thickBot="1" x14ac:dyDescent="0.3">
      <c r="A52" t="s">
        <v>444</v>
      </c>
      <c r="B52" s="149" t="s">
        <v>87</v>
      </c>
      <c r="C52" s="157">
        <f t="shared" ca="1" si="0"/>
        <v>0</v>
      </c>
    </row>
    <row r="53" spans="1:3" ht="15.75" outlineLevel="1" thickBot="1" x14ac:dyDescent="0.3">
      <c r="A53" t="s">
        <v>446</v>
      </c>
      <c r="B53" s="147" t="s">
        <v>22</v>
      </c>
      <c r="C53" s="157" t="str">
        <f t="shared" ca="1" si="0"/>
        <v>Retired after MOUs with CAD were signed</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P2"/>
  <sheetViews>
    <sheetView workbookViewId="0"/>
  </sheetViews>
  <sheetFormatPr defaultColWidth="8.85546875" defaultRowHeight="15" x14ac:dyDescent="0.25"/>
  <sheetData>
    <row r="2" spans="16:16" x14ac:dyDescent="0.25">
      <c r="P2" t="e">
        <f ca="1">_xll.CB.RecalcCounterFN()</f>
        <v>#NAME?</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
  <sheetViews>
    <sheetView workbookViewId="0">
      <selection activeCell="G2" sqref="G2"/>
    </sheetView>
  </sheetViews>
  <sheetFormatPr defaultColWidth="8.85546875" defaultRowHeight="15" x14ac:dyDescent="0.25"/>
  <cols>
    <col min="1" max="1" width="17.28515625" customWidth="1"/>
    <col min="2" max="2" width="14" customWidth="1"/>
    <col min="3" max="3" width="20.42578125" customWidth="1"/>
    <col min="5" max="5" width="21.42578125" customWidth="1"/>
    <col min="6" max="6" width="10" customWidth="1"/>
    <col min="7" max="7" width="9" customWidth="1"/>
  </cols>
  <sheetData>
    <row r="1" spans="1:7" ht="15.75" thickTop="1" x14ac:dyDescent="0.25">
      <c r="A1" s="31" t="s">
        <v>43</v>
      </c>
      <c r="B1" s="32" t="s">
        <v>44</v>
      </c>
      <c r="C1" s="33" t="s">
        <v>43</v>
      </c>
      <c r="D1" s="34" t="s">
        <v>44</v>
      </c>
      <c r="E1" s="31" t="s">
        <v>46</v>
      </c>
      <c r="F1" s="32" t="s">
        <v>47</v>
      </c>
      <c r="G1" s="35" t="s">
        <v>44</v>
      </c>
    </row>
    <row r="2" spans="1:7" x14ac:dyDescent="0.25">
      <c r="A2" s="27" t="s">
        <v>5</v>
      </c>
      <c r="B2" s="55">
        <v>4</v>
      </c>
      <c r="C2" s="27" t="s">
        <v>13</v>
      </c>
      <c r="D2" s="57">
        <v>4</v>
      </c>
      <c r="E2" s="29" t="s">
        <v>5</v>
      </c>
      <c r="F2" s="55" t="s">
        <v>49</v>
      </c>
      <c r="G2" s="39">
        <v>225</v>
      </c>
    </row>
    <row r="3" spans="1:7" x14ac:dyDescent="0.25">
      <c r="A3" s="27" t="s">
        <v>3</v>
      </c>
      <c r="B3" s="55">
        <v>3</v>
      </c>
      <c r="C3" s="27" t="s">
        <v>12</v>
      </c>
      <c r="D3" s="57">
        <v>3</v>
      </c>
      <c r="E3" s="29" t="s">
        <v>3</v>
      </c>
      <c r="F3" s="55" t="s">
        <v>48</v>
      </c>
      <c r="G3" s="39">
        <v>225</v>
      </c>
    </row>
    <row r="4" spans="1:7" x14ac:dyDescent="0.25">
      <c r="A4" s="27" t="s">
        <v>2</v>
      </c>
      <c r="B4" s="55">
        <v>2</v>
      </c>
      <c r="C4" s="27" t="s">
        <v>11</v>
      </c>
      <c r="D4" s="57">
        <v>2</v>
      </c>
      <c r="E4" s="29" t="s">
        <v>2</v>
      </c>
      <c r="F4" s="55" t="s">
        <v>48</v>
      </c>
      <c r="G4" s="39">
        <v>100</v>
      </c>
    </row>
    <row r="5" spans="1:7" ht="15.75" thickBot="1" x14ac:dyDescent="0.3">
      <c r="A5" s="28" t="s">
        <v>1</v>
      </c>
      <c r="B5" s="56">
        <v>1</v>
      </c>
      <c r="C5" s="28" t="s">
        <v>10</v>
      </c>
      <c r="D5" s="58">
        <v>1</v>
      </c>
      <c r="E5" s="30" t="s">
        <v>1</v>
      </c>
      <c r="F5" s="56" t="s">
        <v>48</v>
      </c>
      <c r="G5" s="40">
        <v>25</v>
      </c>
    </row>
    <row r="6" spans="1:7" ht="16.5" thickTop="1" thickBot="1" x14ac:dyDescent="0.3"/>
    <row r="7" spans="1:7" ht="15.75" thickTop="1" x14ac:dyDescent="0.25">
      <c r="A7" s="38" t="s">
        <v>50</v>
      </c>
      <c r="B7" s="59" t="s">
        <v>74</v>
      </c>
      <c r="C7" s="61"/>
      <c r="D7" s="61"/>
      <c r="E7" s="60"/>
    </row>
    <row r="8" spans="1:7" x14ac:dyDescent="0.25">
      <c r="A8" s="36" t="s">
        <v>53</v>
      </c>
      <c r="B8" s="309" t="s">
        <v>75</v>
      </c>
      <c r="C8" s="310"/>
      <c r="D8" s="310"/>
      <c r="E8" s="311"/>
    </row>
    <row r="9" spans="1:7" x14ac:dyDescent="0.25">
      <c r="A9" s="36" t="s">
        <v>52</v>
      </c>
      <c r="B9" s="312" t="s">
        <v>78</v>
      </c>
      <c r="C9" s="313"/>
      <c r="D9" s="313"/>
      <c r="E9" s="314"/>
    </row>
    <row r="10" spans="1:7" x14ac:dyDescent="0.25">
      <c r="A10" s="36" t="s">
        <v>51</v>
      </c>
      <c r="B10" s="312" t="s">
        <v>76</v>
      </c>
      <c r="C10" s="313"/>
      <c r="D10" s="313"/>
      <c r="E10" s="314"/>
    </row>
    <row r="11" spans="1:7" ht="15.75" thickBot="1" x14ac:dyDescent="0.3">
      <c r="A11" s="37" t="s">
        <v>54</v>
      </c>
      <c r="B11" s="315" t="s">
        <v>77</v>
      </c>
      <c r="C11" s="316"/>
      <c r="D11" s="316"/>
      <c r="E11" s="317"/>
    </row>
    <row r="12" spans="1:7" ht="15.75" thickTop="1" x14ac:dyDescent="0.25"/>
    <row r="32" spans="1:2" ht="30" x14ac:dyDescent="0.25">
      <c r="A32" s="102" t="s">
        <v>94</v>
      </c>
      <c r="B32" s="16">
        <v>19</v>
      </c>
    </row>
  </sheetData>
  <mergeCells count="4">
    <mergeCell ref="B8:E8"/>
    <mergeCell ref="B9:E9"/>
    <mergeCell ref="B11:E11"/>
    <mergeCell ref="B10:E10"/>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pageSetUpPr fitToPage="1"/>
  </sheetPr>
  <dimension ref="A1:EI133"/>
  <sheetViews>
    <sheetView showGridLines="0" zoomScale="80" zoomScaleNormal="80" workbookViewId="0">
      <selection activeCell="AS47" sqref="AS47"/>
    </sheetView>
  </sheetViews>
  <sheetFormatPr defaultColWidth="9.28515625" defaultRowHeight="15" x14ac:dyDescent="0.25"/>
  <cols>
    <col min="1" max="1" width="20.28515625" style="9" customWidth="1"/>
    <col min="2" max="2" width="18.7109375" style="9" hidden="1" customWidth="1"/>
    <col min="3" max="3" width="7" style="9" hidden="1" customWidth="1"/>
    <col min="4" max="4" width="15.7109375" style="9" hidden="1" customWidth="1"/>
    <col min="5" max="5" width="9.42578125" style="9" hidden="1" customWidth="1"/>
    <col min="6" max="6" width="22" style="9" customWidth="1"/>
    <col min="7" max="7" width="39.7109375" style="9" customWidth="1"/>
    <col min="8" max="8" width="51.7109375" style="9" hidden="1" customWidth="1"/>
    <col min="9" max="9" width="10.28515625" style="9" hidden="1" customWidth="1"/>
    <col min="10" max="10" width="13" style="9" hidden="1" customWidth="1"/>
    <col min="11" max="11" width="11.42578125" style="9" hidden="1" customWidth="1"/>
    <col min="12" max="12" width="15.28515625" style="9" hidden="1" customWidth="1"/>
    <col min="13" max="16" width="15.7109375" style="9" hidden="1" customWidth="1"/>
    <col min="17" max="17" width="8.7109375" style="9" hidden="1" customWidth="1"/>
    <col min="18" max="18" width="13.42578125" style="9" hidden="1" customWidth="1"/>
    <col min="19" max="19" width="68.28515625" style="9" hidden="1" customWidth="1"/>
    <col min="20" max="20" width="44.42578125" style="9" hidden="1" customWidth="1"/>
    <col min="21" max="21" width="13.42578125" style="9" hidden="1" customWidth="1"/>
    <col min="22" max="22" width="18.7109375" style="9" hidden="1" customWidth="1"/>
    <col min="23" max="23" width="13.7109375" style="9" hidden="1" customWidth="1"/>
    <col min="24" max="24" width="12.28515625" style="9" hidden="1" customWidth="1"/>
    <col min="25" max="25" width="11.42578125" style="9" hidden="1" customWidth="1"/>
    <col min="26" max="26" width="9" style="9" hidden="1" customWidth="1"/>
    <col min="27" max="27" width="9.7109375" style="9" hidden="1" customWidth="1"/>
    <col min="28" max="28" width="9" style="9" hidden="1" customWidth="1"/>
    <col min="29" max="29" width="11.28515625" style="9" hidden="1" customWidth="1"/>
    <col min="30" max="30" width="14.7109375" style="9" hidden="1" customWidth="1"/>
    <col min="31" max="31" width="11.7109375" style="9" hidden="1" customWidth="1"/>
    <col min="32" max="32" width="14.7109375" style="9" hidden="1" customWidth="1"/>
    <col min="33" max="33" width="11" style="9" hidden="1" customWidth="1"/>
    <col min="34" max="35" width="14.7109375" style="9" hidden="1" customWidth="1"/>
    <col min="36" max="36" width="7.7109375" style="9" hidden="1" customWidth="1"/>
    <col min="37" max="37" width="12" style="9" hidden="1" customWidth="1"/>
    <col min="38" max="38" width="18.7109375" style="9" hidden="1" customWidth="1"/>
    <col min="39" max="40" width="16.42578125" style="9" hidden="1" customWidth="1"/>
    <col min="41" max="44" width="41.28515625" style="9" hidden="1" customWidth="1"/>
    <col min="45" max="45" width="150.28515625" style="9" customWidth="1"/>
    <col min="46" max="46" width="35.7109375" style="9" hidden="1" customWidth="1"/>
    <col min="47" max="48" width="9.28515625" style="11" customWidth="1"/>
    <col min="49" max="49" width="14.7109375" style="11" customWidth="1"/>
    <col min="50" max="50" width="17.42578125" style="11" customWidth="1"/>
    <col min="51" max="51" width="18.7109375" style="11" customWidth="1"/>
    <col min="52" max="52" width="16" style="11" customWidth="1"/>
    <col min="53" max="59" width="9.28515625" style="11" customWidth="1"/>
    <col min="60" max="139" width="9.28515625" style="11"/>
    <col min="140" max="16384" width="9.28515625" style="9"/>
  </cols>
  <sheetData>
    <row r="1" spans="1:139" s="1" customFormat="1" ht="15" customHeight="1" thickBot="1" x14ac:dyDescent="0.3">
      <c r="A1" s="318" t="s">
        <v>95</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row>
    <row r="2" spans="1:139" s="1" customFormat="1" ht="61.5" customHeight="1" thickBot="1" x14ac:dyDescent="0.3">
      <c r="A2" s="20" t="s">
        <v>20</v>
      </c>
      <c r="B2" s="20" t="s">
        <v>71</v>
      </c>
      <c r="C2" s="20" t="s">
        <v>15</v>
      </c>
      <c r="D2" s="20" t="s">
        <v>19</v>
      </c>
      <c r="E2" s="88" t="s">
        <v>16</v>
      </c>
      <c r="F2" s="20" t="s">
        <v>21</v>
      </c>
      <c r="G2" s="20" t="s">
        <v>0</v>
      </c>
      <c r="H2" s="21" t="s">
        <v>37</v>
      </c>
      <c r="I2" s="22" t="s">
        <v>45</v>
      </c>
      <c r="J2" s="22" t="s">
        <v>41</v>
      </c>
      <c r="K2" s="22" t="s">
        <v>42</v>
      </c>
      <c r="L2" s="22" t="s">
        <v>23</v>
      </c>
      <c r="M2" s="89" t="s">
        <v>31</v>
      </c>
      <c r="N2" s="89" t="s">
        <v>32</v>
      </c>
      <c r="O2" s="89" t="s">
        <v>33</v>
      </c>
      <c r="P2" s="89" t="s">
        <v>34</v>
      </c>
      <c r="Q2" s="89" t="s">
        <v>17</v>
      </c>
      <c r="R2" s="22" t="s">
        <v>17</v>
      </c>
      <c r="S2" s="20" t="s">
        <v>6</v>
      </c>
      <c r="T2" s="101" t="s">
        <v>30</v>
      </c>
      <c r="U2" s="90" t="s">
        <v>73</v>
      </c>
      <c r="V2" s="101" t="s">
        <v>39</v>
      </c>
      <c r="W2" s="99" t="s">
        <v>40</v>
      </c>
      <c r="X2" s="23" t="s">
        <v>8</v>
      </c>
      <c r="Y2" s="100" t="s">
        <v>4</v>
      </c>
      <c r="Z2" s="100" t="s">
        <v>27</v>
      </c>
      <c r="AA2" s="100" t="s">
        <v>28</v>
      </c>
      <c r="AB2" s="100" t="s">
        <v>29</v>
      </c>
      <c r="AC2" s="100" t="s">
        <v>24</v>
      </c>
      <c r="AD2" s="100" t="s">
        <v>25</v>
      </c>
      <c r="AE2" s="100" t="s">
        <v>26</v>
      </c>
      <c r="AF2" s="91" t="s">
        <v>31</v>
      </c>
      <c r="AG2" s="91" t="s">
        <v>32</v>
      </c>
      <c r="AH2" s="91" t="s">
        <v>33</v>
      </c>
      <c r="AI2" s="91" t="s">
        <v>34</v>
      </c>
      <c r="AJ2" s="92" t="s">
        <v>35</v>
      </c>
      <c r="AK2" s="24" t="s">
        <v>36</v>
      </c>
      <c r="AL2" s="24" t="s">
        <v>18</v>
      </c>
      <c r="AM2" s="93" t="s">
        <v>91</v>
      </c>
      <c r="AN2" s="93" t="s">
        <v>92</v>
      </c>
      <c r="AO2" s="24" t="s">
        <v>84</v>
      </c>
      <c r="AP2" s="87" t="s">
        <v>93</v>
      </c>
      <c r="AQ2" s="87" t="s">
        <v>86</v>
      </c>
      <c r="AR2" s="87" t="s">
        <v>85</v>
      </c>
      <c r="AS2" s="87" t="s">
        <v>87</v>
      </c>
      <c r="AT2" s="24" t="s">
        <v>22</v>
      </c>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row>
    <row r="3" spans="1:139" s="12" customFormat="1" ht="32.1" hidden="1" customHeight="1" x14ac:dyDescent="0.25">
      <c r="A3" s="3" t="str">
        <f>Risks!B3</f>
        <v>Mgmt_001</v>
      </c>
      <c r="B3" s="25"/>
      <c r="C3" s="10"/>
      <c r="D3" s="18"/>
      <c r="E3" s="5"/>
      <c r="F3" s="14" t="str">
        <f>Risks!G3</f>
        <v>Ed O'Brien</v>
      </c>
      <c r="G3" s="15" t="str">
        <f>Risks!H3</f>
        <v>Departure of Key Personnel</v>
      </c>
      <c r="H3" s="15"/>
      <c r="I3" s="4"/>
      <c r="J3" s="19"/>
      <c r="K3" s="19"/>
      <c r="L3" s="7"/>
      <c r="M3" s="17">
        <f>IF(I3=0,0,IF(I3&lt;=0.01,1, IF(I3&lt;=0.1,2, IF(I3&lt;=0.5,3,4))))</f>
        <v>0</v>
      </c>
      <c r="N3" s="5">
        <f>IF(L3="",0,IF(L3&lt;=SelectionCriteria!$G$5,1, IF(L3&lt;=SelectionCriteria!$G$4,2, IF(L3&lt;=SelectionCriteria!$G$3,3,4))))</f>
        <v>0</v>
      </c>
      <c r="O3" s="5">
        <f>IF(J3="",0,IF(J3="Negligible",1,IF(J3="Low",2,IF(J3="Moderate",3,4))))</f>
        <v>0</v>
      </c>
      <c r="P3" s="5">
        <f>IF(K3="",0,IF(K3="Negligible",1,IF(K3="Low",2,IF(K3="Moderate",3,4))))</f>
        <v>0</v>
      </c>
      <c r="Q3" s="3">
        <f>M3*((N3+O3+P3)/3)</f>
        <v>0</v>
      </c>
      <c r="R3" s="4" t="str">
        <f>IF(Q3&lt;=3,"Negligible",IF(Q3&lt;=6,"Low",IF(Q3&lt;=9,"Moderate","High")))</f>
        <v>Negligible</v>
      </c>
      <c r="S3" s="15"/>
      <c r="T3" s="6"/>
      <c r="U3" s="18"/>
      <c r="V3" s="6"/>
      <c r="W3" s="4"/>
      <c r="X3" s="19"/>
      <c r="Y3" s="19"/>
      <c r="Z3" s="5"/>
      <c r="AA3" s="5"/>
      <c r="AB3" s="5"/>
      <c r="AC3" s="53"/>
      <c r="AD3" s="53"/>
      <c r="AE3" s="53"/>
      <c r="AF3" s="5">
        <f>IF(W3=0,0,IF(W3&lt;=0.01,1, IF(W3&lt;=0.1,2, IF(W3&lt;=0.5,3,4))))</f>
        <v>0</v>
      </c>
      <c r="AG3" s="5">
        <f>IF(AA3="",0,IF(AA3&lt;=SelectionCriteria!$G$5,1, IF(AA3&lt;=SelectionCriteria!$G$4,2, IF(AA3&lt;=SelectionCriteria!$G$3,3,4))))</f>
        <v>0</v>
      </c>
      <c r="AH3" s="5">
        <f>IF(X3="",0,IF(X3="Negligible",1,IF(X3="Low",2,IF(X3="Moderate",3,4))))</f>
        <v>0</v>
      </c>
      <c r="AI3" s="5">
        <f>IF(Y3="",0,IF(Y3="Negligible",1,IF(Y3="Low",2,IF(Y3="Moderate",3,4))))</f>
        <v>0</v>
      </c>
      <c r="AJ3" s="3">
        <f>AF3*((AG3+AH3+AI3)/3)</f>
        <v>0</v>
      </c>
      <c r="AK3" s="4" t="str">
        <f>IF(AJ3&lt;=3,"Negligible",IF(AJ3&lt;=6,"Low",IF(AJ3&lt;=9,"Moderate","High")))</f>
        <v>Negligible</v>
      </c>
      <c r="AL3" s="19"/>
      <c r="AM3" s="3">
        <f>W3*AA3</f>
        <v>0</v>
      </c>
      <c r="AN3" s="3">
        <f>W3*(SUM(Z3:AB3)/3)</f>
        <v>0</v>
      </c>
      <c r="AO3" s="86"/>
      <c r="AP3" s="86"/>
      <c r="AQ3" s="86"/>
      <c r="AR3" s="86"/>
      <c r="AS3" s="86">
        <f>Risks!AW3</f>
        <v>0</v>
      </c>
      <c r="AT3" s="6"/>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row>
    <row r="4" spans="1:139" s="12" customFormat="1" ht="32.1" hidden="1" customHeight="1" x14ac:dyDescent="0.25">
      <c r="A4" s="3" t="str">
        <f>Risks!B4</f>
        <v>Mgmt_002</v>
      </c>
      <c r="B4" s="25"/>
      <c r="C4" s="10"/>
      <c r="D4" s="18"/>
      <c r="E4" s="14"/>
      <c r="F4" s="14" t="str">
        <f>Risks!G4</f>
        <v>Ed O'Brien</v>
      </c>
      <c r="G4" s="15" t="str">
        <f>Risks!H4</f>
        <v>Safety incident</v>
      </c>
      <c r="H4" s="15"/>
      <c r="I4" s="4"/>
      <c r="J4" s="19"/>
      <c r="K4" s="19"/>
      <c r="L4" s="7"/>
      <c r="M4" s="17">
        <f t="shared" ref="M4:M11" si="0">IF(I4=0,0,IF(I4&lt;=0.01,1, IF(I4&lt;=0.1,2, IF(I4&lt;=0.5,3,4))))</f>
        <v>0</v>
      </c>
      <c r="N4" s="5">
        <f>IF(L4="",0,IF(L4&lt;=SelectionCriteria!$G$5,1, IF(L4&lt;=SelectionCriteria!$G$4,2, IF(L4&lt;=SelectionCriteria!$G$3,3,4))))</f>
        <v>0</v>
      </c>
      <c r="O4" s="5">
        <f t="shared" ref="O4:O11" si="1">IF(J4="",0,IF(J4="Negligible",1,IF(J4="Low",2,IF(J4="Moderate",3,4))))</f>
        <v>0</v>
      </c>
      <c r="P4" s="5">
        <f t="shared" ref="P4:P11" si="2">IF(K4="",0,IF(K4="Negligible",1,IF(K4="Low",2,IF(K4="Moderate",3,4))))</f>
        <v>0</v>
      </c>
      <c r="Q4" s="3">
        <f t="shared" ref="Q4:Q11" si="3">M4*((N4+O4+P4)/3)</f>
        <v>0</v>
      </c>
      <c r="R4" s="4" t="str">
        <f t="shared" ref="R4:R59" si="4">IF(Q4&lt;=3,"Negligible",IF(Q4&lt;=6,"Low",IF(Q4&lt;=9,"Moderate","High")))</f>
        <v>Negligible</v>
      </c>
      <c r="S4" s="15"/>
      <c r="T4" s="6"/>
      <c r="U4" s="18"/>
      <c r="V4" s="6"/>
      <c r="W4" s="4"/>
      <c r="X4" s="19"/>
      <c r="Y4" s="19"/>
      <c r="Z4" s="5"/>
      <c r="AA4" s="5"/>
      <c r="AB4" s="5"/>
      <c r="AC4" s="53"/>
      <c r="AD4" s="53"/>
      <c r="AE4" s="53"/>
      <c r="AF4" s="5">
        <f t="shared" ref="AF4:AF11" si="5">IF(W4=0,0,IF(W4&lt;=0.01,1, IF(W4&lt;=0.1,2, IF(W4&lt;=0.5,3,4))))</f>
        <v>0</v>
      </c>
      <c r="AG4" s="5">
        <f>IF(AA4="",0,IF(AA4&lt;=SelectionCriteria!$G$5,1, IF(AA4&lt;=SelectionCriteria!$G$4,2, IF(AA4&lt;=SelectionCriteria!$G$3,3,4))))</f>
        <v>0</v>
      </c>
      <c r="AH4" s="5">
        <f t="shared" ref="AH4:AH11" si="6">IF(X4="",0,IF(X4="Negligible",1,IF(X4="Low",2,IF(X4="Moderate",3,4))))</f>
        <v>0</v>
      </c>
      <c r="AI4" s="5">
        <f t="shared" ref="AI4:AI11" si="7">IF(Y4="",0,IF(Y4="Negligible",1,IF(Y4="Low",2,IF(Y4="Moderate",3,4))))</f>
        <v>0</v>
      </c>
      <c r="AJ4" s="3">
        <f t="shared" ref="AJ4:AJ11" si="8">AF4*((AG4+AH4+AI4)/3)</f>
        <v>0</v>
      </c>
      <c r="AK4" s="4" t="str">
        <f t="shared" ref="AK4:AK59" si="9">IF(AJ4&lt;=3,"Negligible",IF(AJ4&lt;=6,"Low",IF(AJ4&lt;=9,"Moderate","High")))</f>
        <v>Negligible</v>
      </c>
      <c r="AL4" s="19"/>
      <c r="AM4" s="3">
        <f t="shared" ref="AM4:AM11" si="10">W4*AA4</f>
        <v>0</v>
      </c>
      <c r="AN4" s="3">
        <f t="shared" ref="AN4:AN11" si="11">W4*(SUM(Z4:AB4)/3)</f>
        <v>0</v>
      </c>
      <c r="AO4" s="86"/>
      <c r="AP4" s="86"/>
      <c r="AQ4" s="86"/>
      <c r="AR4" s="86"/>
      <c r="AS4" s="86">
        <f>Risks!AW4</f>
        <v>0</v>
      </c>
      <c r="AT4" s="6"/>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row>
    <row r="5" spans="1:139" s="12" customFormat="1" ht="32.1" hidden="1" customHeight="1" x14ac:dyDescent="0.25">
      <c r="A5" s="3" t="str">
        <f>Risks!B5</f>
        <v>Mgmt_003</v>
      </c>
      <c r="B5" s="25"/>
      <c r="C5" s="10"/>
      <c r="D5" s="18"/>
      <c r="E5" s="5"/>
      <c r="F5" s="14" t="str">
        <f>Risks!G5</f>
        <v>Ed O'Brien</v>
      </c>
      <c r="G5" s="15" t="str">
        <f>Risks!H5</f>
        <v>Funding profile stretches</v>
      </c>
      <c r="H5" s="15"/>
      <c r="I5" s="4"/>
      <c r="J5" s="19"/>
      <c r="K5" s="19"/>
      <c r="L5" s="7"/>
      <c r="M5" s="17">
        <f t="shared" si="0"/>
        <v>0</v>
      </c>
      <c r="N5" s="5">
        <f>IF(L5="",0,IF(L5&lt;=SelectionCriteria!$G$5,1, IF(L5&lt;=SelectionCriteria!$G$4,2, IF(L5&lt;=SelectionCriteria!$G$3,3,4))))</f>
        <v>0</v>
      </c>
      <c r="O5" s="5">
        <f t="shared" si="1"/>
        <v>0</v>
      </c>
      <c r="P5" s="5">
        <f t="shared" si="2"/>
        <v>0</v>
      </c>
      <c r="Q5" s="3">
        <f t="shared" si="3"/>
        <v>0</v>
      </c>
      <c r="R5" s="4" t="str">
        <f t="shared" si="4"/>
        <v>Negligible</v>
      </c>
      <c r="S5" s="15"/>
      <c r="T5" s="6"/>
      <c r="U5" s="18"/>
      <c r="V5" s="6"/>
      <c r="W5" s="4"/>
      <c r="X5" s="19"/>
      <c r="Y5" s="19"/>
      <c r="Z5" s="5"/>
      <c r="AA5" s="5"/>
      <c r="AB5" s="5"/>
      <c r="AC5" s="53"/>
      <c r="AD5" s="53"/>
      <c r="AE5" s="53"/>
      <c r="AF5" s="5">
        <f t="shared" si="5"/>
        <v>0</v>
      </c>
      <c r="AG5" s="5">
        <f>IF(AA5="",0,IF(AA5&lt;=SelectionCriteria!$G$5,1, IF(AA5&lt;=SelectionCriteria!$G$4,2, IF(AA5&lt;=SelectionCriteria!$G$3,3,4))))</f>
        <v>0</v>
      </c>
      <c r="AH5" s="5">
        <f t="shared" si="6"/>
        <v>0</v>
      </c>
      <c r="AI5" s="5">
        <f t="shared" si="7"/>
        <v>0</v>
      </c>
      <c r="AJ5" s="3">
        <f t="shared" si="8"/>
        <v>0</v>
      </c>
      <c r="AK5" s="4" t="str">
        <f t="shared" si="9"/>
        <v>Negligible</v>
      </c>
      <c r="AL5" s="19"/>
      <c r="AM5" s="3">
        <f t="shared" si="10"/>
        <v>0</v>
      </c>
      <c r="AN5" s="3">
        <f t="shared" si="11"/>
        <v>0</v>
      </c>
      <c r="AO5" s="86"/>
      <c r="AP5" s="86"/>
      <c r="AQ5" s="86"/>
      <c r="AR5" s="86"/>
      <c r="AS5" s="86">
        <f>Risks!AW5</f>
        <v>0</v>
      </c>
      <c r="AT5" s="6"/>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row>
    <row r="6" spans="1:139" s="12" customFormat="1" ht="32.1" customHeight="1" x14ac:dyDescent="0.25">
      <c r="A6" s="3" t="str">
        <f>Risks!B6</f>
        <v>Mgmt_004</v>
      </c>
      <c r="B6" s="25"/>
      <c r="C6" s="10"/>
      <c r="D6" s="18"/>
      <c r="E6" s="5"/>
      <c r="F6" s="14" t="str">
        <f>Risks!G6</f>
        <v>Ed O'Brien</v>
      </c>
      <c r="G6" s="15" t="str">
        <f>Risks!H6</f>
        <v>University Contributed Labor for sPHENIX</v>
      </c>
      <c r="H6" s="15"/>
      <c r="I6" s="4"/>
      <c r="J6" s="19"/>
      <c r="K6" s="19"/>
      <c r="L6" s="7"/>
      <c r="M6" s="17">
        <f t="shared" si="0"/>
        <v>0</v>
      </c>
      <c r="N6" s="5">
        <f>IF(L6="",0,IF(L6&lt;=SelectionCriteria!$G$5,1, IF(L6&lt;=SelectionCriteria!$G$4,2, IF(L6&lt;=SelectionCriteria!$G$3,3,4))))</f>
        <v>0</v>
      </c>
      <c r="O6" s="5">
        <f t="shared" si="1"/>
        <v>0</v>
      </c>
      <c r="P6" s="5">
        <f t="shared" si="2"/>
        <v>0</v>
      </c>
      <c r="Q6" s="3">
        <f t="shared" si="3"/>
        <v>0</v>
      </c>
      <c r="R6" s="4" t="str">
        <f t="shared" si="4"/>
        <v>Negligible</v>
      </c>
      <c r="S6" s="15"/>
      <c r="T6" s="6"/>
      <c r="U6" s="18"/>
      <c r="V6" s="6"/>
      <c r="W6" s="4"/>
      <c r="X6" s="19"/>
      <c r="Y6" s="19"/>
      <c r="Z6" s="5"/>
      <c r="AA6" s="5"/>
      <c r="AB6" s="5"/>
      <c r="AC6" s="53"/>
      <c r="AD6" s="53"/>
      <c r="AE6" s="53"/>
      <c r="AF6" s="5">
        <f t="shared" si="5"/>
        <v>0</v>
      </c>
      <c r="AG6" s="5">
        <f>IF(AA6="",0,IF(AA6&lt;=SelectionCriteria!$G$5,1, IF(AA6&lt;=SelectionCriteria!$G$4,2, IF(AA6&lt;=SelectionCriteria!$G$3,3,4))))</f>
        <v>0</v>
      </c>
      <c r="AH6" s="5">
        <f t="shared" si="6"/>
        <v>0</v>
      </c>
      <c r="AI6" s="5">
        <f t="shared" si="7"/>
        <v>0</v>
      </c>
      <c r="AJ6" s="3">
        <f t="shared" si="8"/>
        <v>0</v>
      </c>
      <c r="AK6" s="4" t="str">
        <f t="shared" si="9"/>
        <v>Negligible</v>
      </c>
      <c r="AL6" s="19"/>
      <c r="AM6" s="3">
        <f t="shared" si="10"/>
        <v>0</v>
      </c>
      <c r="AN6" s="3">
        <f t="shared" si="11"/>
        <v>0</v>
      </c>
      <c r="AO6" s="86"/>
      <c r="AP6" s="86"/>
      <c r="AQ6" s="86"/>
      <c r="AR6" s="86"/>
      <c r="AS6" s="86" t="str">
        <f>Risks!AW6</f>
        <v>Retired Jan 31 2019. Nine new risks (one per each participating University) replace this one.
CAMs will own the respective University labor related risks.</v>
      </c>
      <c r="AT6" s="6"/>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row>
    <row r="7" spans="1:139" s="12" customFormat="1" ht="32.1" customHeight="1" x14ac:dyDescent="0.25">
      <c r="A7" s="3" t="str">
        <f>Risks!B7</f>
        <v>Mgmt_005</v>
      </c>
      <c r="B7" s="25"/>
      <c r="C7" s="10"/>
      <c r="D7" s="18"/>
      <c r="E7" s="5"/>
      <c r="F7" s="14" t="str">
        <f>Risks!G7</f>
        <v>Ed O'Brien</v>
      </c>
      <c r="G7" s="15" t="str">
        <f>Risks!H7</f>
        <v>Schedule Delay</v>
      </c>
      <c r="H7" s="15"/>
      <c r="I7" s="4"/>
      <c r="J7" s="19"/>
      <c r="K7" s="19"/>
      <c r="L7" s="7"/>
      <c r="M7" s="17">
        <f t="shared" si="0"/>
        <v>0</v>
      </c>
      <c r="N7" s="5">
        <f>IF(L7="",0,IF(L7&lt;=SelectionCriteria!$G$5,1, IF(L7&lt;=SelectionCriteria!$G$4,2, IF(L7&lt;=SelectionCriteria!$G$3,3,4))))</f>
        <v>0</v>
      </c>
      <c r="O7" s="5">
        <f t="shared" si="1"/>
        <v>0</v>
      </c>
      <c r="P7" s="5">
        <f t="shared" si="2"/>
        <v>0</v>
      </c>
      <c r="Q7" s="3">
        <f t="shared" si="3"/>
        <v>0</v>
      </c>
      <c r="R7" s="4" t="str">
        <f t="shared" si="4"/>
        <v>Negligible</v>
      </c>
      <c r="S7" s="15"/>
      <c r="T7" s="6"/>
      <c r="U7" s="18"/>
      <c r="V7" s="6"/>
      <c r="W7" s="4"/>
      <c r="X7" s="19"/>
      <c r="Y7" s="19"/>
      <c r="Z7" s="5"/>
      <c r="AA7" s="5"/>
      <c r="AB7" s="5"/>
      <c r="AC7" s="53"/>
      <c r="AD7" s="53"/>
      <c r="AE7" s="53"/>
      <c r="AF7" s="5">
        <f t="shared" si="5"/>
        <v>0</v>
      </c>
      <c r="AG7" s="5">
        <f>IF(AA7="",0,IF(AA7&lt;=SelectionCriteria!$G$5,1, IF(AA7&lt;=SelectionCriteria!$G$4,2, IF(AA7&lt;=SelectionCriteria!$G$3,3,4))))</f>
        <v>0</v>
      </c>
      <c r="AH7" s="5">
        <f t="shared" si="6"/>
        <v>0</v>
      </c>
      <c r="AI7" s="5">
        <f t="shared" si="7"/>
        <v>0</v>
      </c>
      <c r="AJ7" s="3">
        <f t="shared" si="8"/>
        <v>0</v>
      </c>
      <c r="AK7" s="4" t="str">
        <f t="shared" si="9"/>
        <v>Negligible</v>
      </c>
      <c r="AL7" s="19"/>
      <c r="AM7" s="3">
        <f t="shared" si="10"/>
        <v>0</v>
      </c>
      <c r="AN7" s="3">
        <f t="shared" si="11"/>
        <v>0</v>
      </c>
      <c r="AO7" s="86"/>
      <c r="AP7" s="86"/>
      <c r="AQ7" s="86"/>
      <c r="AR7" s="86"/>
      <c r="AS7" s="86" t="str">
        <f>Risks!AW7</f>
        <v>Retired. All delays are assigned to WBS 1.2-1.7</v>
      </c>
      <c r="AT7" s="6"/>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row>
    <row r="8" spans="1:139" s="12" customFormat="1" ht="32.1" customHeight="1" x14ac:dyDescent="0.25">
      <c r="A8" s="3" t="str">
        <f>Risks!B8</f>
        <v>Mgmt_006</v>
      </c>
      <c r="B8" s="25"/>
      <c r="C8" s="10"/>
      <c r="D8" s="18"/>
      <c r="E8" s="5"/>
      <c r="F8" s="14" t="str">
        <f>Risks!G8</f>
        <v>Ed O'Brien</v>
      </c>
      <c r="G8" s="15" t="str">
        <f>Risks!H8</f>
        <v>Infrastructure support delayed</v>
      </c>
      <c r="H8" s="15"/>
      <c r="I8" s="4"/>
      <c r="J8" s="19"/>
      <c r="K8" s="19"/>
      <c r="L8" s="7"/>
      <c r="M8" s="17">
        <f t="shared" si="0"/>
        <v>0</v>
      </c>
      <c r="N8" s="5">
        <f>IF(L8="",0,IF(L8&lt;=SelectionCriteria!$G$5,1, IF(L8&lt;=SelectionCriteria!$G$4,2, IF(L8&lt;=SelectionCriteria!$G$3,3,4))))</f>
        <v>0</v>
      </c>
      <c r="O8" s="5">
        <f t="shared" si="1"/>
        <v>0</v>
      </c>
      <c r="P8" s="5">
        <f t="shared" si="2"/>
        <v>0</v>
      </c>
      <c r="Q8" s="3">
        <f t="shared" si="3"/>
        <v>0</v>
      </c>
      <c r="R8" s="4" t="str">
        <f t="shared" si="4"/>
        <v>Negligible</v>
      </c>
      <c r="S8" s="15"/>
      <c r="T8" s="6"/>
      <c r="U8" s="18"/>
      <c r="V8" s="6"/>
      <c r="W8" s="4"/>
      <c r="X8" s="19"/>
      <c r="Y8" s="19"/>
      <c r="Z8" s="5"/>
      <c r="AA8" s="5"/>
      <c r="AB8" s="5"/>
      <c r="AC8" s="53"/>
      <c r="AD8" s="53"/>
      <c r="AE8" s="53"/>
      <c r="AF8" s="5">
        <f t="shared" si="5"/>
        <v>0</v>
      </c>
      <c r="AG8" s="5">
        <f>IF(AA8="",0,IF(AA8&lt;=SelectionCriteria!$G$5,1, IF(AA8&lt;=SelectionCriteria!$G$4,2, IF(AA8&lt;=SelectionCriteria!$G$3,3,4))))</f>
        <v>0</v>
      </c>
      <c r="AH8" s="5">
        <f t="shared" si="6"/>
        <v>0</v>
      </c>
      <c r="AI8" s="5">
        <f t="shared" si="7"/>
        <v>0</v>
      </c>
      <c r="AJ8" s="3">
        <f t="shared" si="8"/>
        <v>0</v>
      </c>
      <c r="AK8" s="4" t="str">
        <f t="shared" si="9"/>
        <v>Negligible</v>
      </c>
      <c r="AL8" s="19"/>
      <c r="AM8" s="3">
        <f t="shared" si="10"/>
        <v>0</v>
      </c>
      <c r="AN8" s="3">
        <f t="shared" si="11"/>
        <v>0</v>
      </c>
      <c r="AO8" s="86"/>
      <c r="AP8" s="86"/>
      <c r="AQ8" s="86"/>
      <c r="AR8" s="86"/>
      <c r="AS8" s="86" t="str">
        <f>Risks!AW8</f>
        <v>Retired Jan 31 2019. sPHENIX MIE does not include installation, so the installation-related risks will be tracked in sPHENIX Support.</v>
      </c>
      <c r="AT8" s="6"/>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row>
    <row r="9" spans="1:139" s="12" customFormat="1" ht="32.1" customHeight="1" x14ac:dyDescent="0.25">
      <c r="A9" s="3" t="str">
        <f>Risks!B11</f>
        <v>sPH_TPC_001</v>
      </c>
      <c r="B9" s="25"/>
      <c r="C9" s="10"/>
      <c r="D9" s="18"/>
      <c r="E9" s="5"/>
      <c r="F9" s="14" t="str">
        <f>Risks!G11</f>
        <v>Tom Hemmick</v>
      </c>
      <c r="G9" s="15" t="str">
        <f>Risks!H11</f>
        <v>Performance failure of v2 prototype</v>
      </c>
      <c r="H9" s="15"/>
      <c r="I9" s="4"/>
      <c r="J9" s="19"/>
      <c r="K9" s="19"/>
      <c r="L9" s="7"/>
      <c r="M9" s="17">
        <f t="shared" si="0"/>
        <v>0</v>
      </c>
      <c r="N9" s="5">
        <f>IF(L9="",0,IF(L9&lt;=SelectionCriteria!$G$5,1, IF(L9&lt;=SelectionCriteria!$G$4,2, IF(L9&lt;=SelectionCriteria!$G$3,3,4))))</f>
        <v>0</v>
      </c>
      <c r="O9" s="5">
        <f t="shared" si="1"/>
        <v>0</v>
      </c>
      <c r="P9" s="5">
        <f t="shared" si="2"/>
        <v>0</v>
      </c>
      <c r="Q9" s="3">
        <f t="shared" si="3"/>
        <v>0</v>
      </c>
      <c r="R9" s="4" t="str">
        <f t="shared" si="4"/>
        <v>Negligible</v>
      </c>
      <c r="S9" s="15"/>
      <c r="T9" s="6"/>
      <c r="U9" s="18"/>
      <c r="V9" s="6"/>
      <c r="W9" s="4"/>
      <c r="X9" s="19"/>
      <c r="Y9" s="19"/>
      <c r="Z9" s="5"/>
      <c r="AA9" s="5"/>
      <c r="AB9" s="5"/>
      <c r="AC9" s="53"/>
      <c r="AD9" s="53"/>
      <c r="AE9" s="53"/>
      <c r="AF9" s="5">
        <f t="shared" si="5"/>
        <v>0</v>
      </c>
      <c r="AG9" s="5">
        <f>IF(AA9="",0,IF(AA9&lt;=SelectionCriteria!$G$5,1, IF(AA9&lt;=SelectionCriteria!$G$4,2, IF(AA9&lt;=SelectionCriteria!$G$3,3,4))))</f>
        <v>0</v>
      </c>
      <c r="AH9" s="5">
        <f t="shared" si="6"/>
        <v>0</v>
      </c>
      <c r="AI9" s="5">
        <f t="shared" si="7"/>
        <v>0</v>
      </c>
      <c r="AJ9" s="3">
        <f t="shared" si="8"/>
        <v>0</v>
      </c>
      <c r="AK9" s="4" t="str">
        <f t="shared" si="9"/>
        <v>Negligible</v>
      </c>
      <c r="AL9" s="19"/>
      <c r="AM9" s="3">
        <f t="shared" si="10"/>
        <v>0</v>
      </c>
      <c r="AN9" s="3">
        <f t="shared" si="11"/>
        <v>0</v>
      </c>
      <c r="AO9" s="86"/>
      <c r="AP9" s="86"/>
      <c r="AQ9" s="86"/>
      <c r="AR9" s="86"/>
      <c r="AS9" s="86" t="str">
        <f>Risks!AW11</f>
        <v xml:space="preserve">Retired Jan 31 2019. This risk is retired since Field Cage v2 prototype production is in the RLS. </v>
      </c>
      <c r="AT9" s="6"/>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row>
    <row r="10" spans="1:139" s="12" customFormat="1" ht="32.1" hidden="1" customHeight="1" x14ac:dyDescent="0.25">
      <c r="A10" s="3" t="str">
        <f>Risks!B12</f>
        <v>sPH_TPC_002</v>
      </c>
      <c r="B10" s="25"/>
      <c r="C10" s="10"/>
      <c r="D10" s="18"/>
      <c r="E10" s="5"/>
      <c r="F10" s="14" t="str">
        <f>Risks!G12</f>
        <v>Tom Hemmick</v>
      </c>
      <c r="G10" s="15" t="str">
        <f>Risks!H12</f>
        <v>Success of v1 field cage prototype</v>
      </c>
      <c r="H10" s="15"/>
      <c r="I10" s="4"/>
      <c r="J10" s="19"/>
      <c r="K10" s="19"/>
      <c r="L10" s="7"/>
      <c r="M10" s="17">
        <f t="shared" si="0"/>
        <v>0</v>
      </c>
      <c r="N10" s="5">
        <f>IF(L10="",0,IF(L10&lt;=SelectionCriteria!$G$5,1, IF(L10&lt;=SelectionCriteria!$G$4,2, IF(L10&lt;=SelectionCriteria!$G$3,3,4))))</f>
        <v>0</v>
      </c>
      <c r="O10" s="5">
        <f t="shared" si="1"/>
        <v>0</v>
      </c>
      <c r="P10" s="5">
        <f t="shared" si="2"/>
        <v>0</v>
      </c>
      <c r="Q10" s="3">
        <f t="shared" si="3"/>
        <v>0</v>
      </c>
      <c r="R10" s="4" t="str">
        <f t="shared" si="4"/>
        <v>Negligible</v>
      </c>
      <c r="S10" s="15"/>
      <c r="T10" s="6"/>
      <c r="U10" s="18"/>
      <c r="V10" s="6"/>
      <c r="W10" s="4"/>
      <c r="X10" s="19"/>
      <c r="Y10" s="19"/>
      <c r="Z10" s="5"/>
      <c r="AA10" s="5"/>
      <c r="AB10" s="5"/>
      <c r="AC10" s="53"/>
      <c r="AD10" s="53"/>
      <c r="AE10" s="53"/>
      <c r="AF10" s="5">
        <f t="shared" si="5"/>
        <v>0</v>
      </c>
      <c r="AG10" s="5">
        <f>IF(AA10="",0,IF(AA10&lt;=SelectionCriteria!$G$5,1, IF(AA10&lt;=SelectionCriteria!$G$4,2, IF(AA10&lt;=SelectionCriteria!$G$3,3,4))))</f>
        <v>0</v>
      </c>
      <c r="AH10" s="5">
        <f t="shared" si="6"/>
        <v>0</v>
      </c>
      <c r="AI10" s="5">
        <f t="shared" si="7"/>
        <v>0</v>
      </c>
      <c r="AJ10" s="3">
        <f t="shared" si="8"/>
        <v>0</v>
      </c>
      <c r="AK10" s="4" t="str">
        <f t="shared" si="9"/>
        <v>Negligible</v>
      </c>
      <c r="AL10" s="19"/>
      <c r="AM10" s="3">
        <f t="shared" si="10"/>
        <v>0</v>
      </c>
      <c r="AN10" s="3">
        <f t="shared" si="11"/>
        <v>0</v>
      </c>
      <c r="AO10" s="86"/>
      <c r="AP10" s="86"/>
      <c r="AQ10" s="86"/>
      <c r="AR10" s="86"/>
      <c r="AS10" s="86" t="str">
        <f>Risks!AW12</f>
        <v>Opportunity realized. Retired December 2020.</v>
      </c>
      <c r="AT10" s="6"/>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row>
    <row r="11" spans="1:139" s="12" customFormat="1" ht="32.1" customHeight="1" x14ac:dyDescent="0.25">
      <c r="A11" s="3" t="str">
        <f>Risks!B13</f>
        <v>sPH_TPC_003</v>
      </c>
      <c r="B11" s="25"/>
      <c r="C11" s="10"/>
      <c r="D11" s="18"/>
      <c r="E11" s="5"/>
      <c r="F11" s="14" t="str">
        <f>Risks!G13</f>
        <v>Tom Hemmick</v>
      </c>
      <c r="G11" s="15" t="str">
        <f>Risks!H13</f>
        <v>Failure or delay of CERN production</v>
      </c>
      <c r="H11" s="15"/>
      <c r="I11" s="4"/>
      <c r="J11" s="19"/>
      <c r="K11" s="19"/>
      <c r="L11" s="7"/>
      <c r="M11" s="17">
        <f t="shared" si="0"/>
        <v>0</v>
      </c>
      <c r="N11" s="5">
        <f>IF(L11="",0,IF(L11&lt;=SelectionCriteria!$G$5,1, IF(L11&lt;=SelectionCriteria!$G$4,2, IF(L11&lt;=SelectionCriteria!$G$3,3,4))))</f>
        <v>0</v>
      </c>
      <c r="O11" s="5">
        <f t="shared" si="1"/>
        <v>0</v>
      </c>
      <c r="P11" s="5">
        <f t="shared" si="2"/>
        <v>0</v>
      </c>
      <c r="Q11" s="3">
        <f t="shared" si="3"/>
        <v>0</v>
      </c>
      <c r="R11" s="4" t="str">
        <f t="shared" si="4"/>
        <v>Negligible</v>
      </c>
      <c r="S11" s="15"/>
      <c r="T11" s="6"/>
      <c r="U11" s="18"/>
      <c r="V11" s="6"/>
      <c r="W11" s="4"/>
      <c r="X11" s="19"/>
      <c r="Y11" s="19"/>
      <c r="Z11" s="5"/>
      <c r="AA11" s="5"/>
      <c r="AB11" s="5"/>
      <c r="AC11" s="53"/>
      <c r="AD11" s="53"/>
      <c r="AE11" s="53"/>
      <c r="AF11" s="5">
        <f t="shared" si="5"/>
        <v>0</v>
      </c>
      <c r="AG11" s="5">
        <f>IF(AA11="",0,IF(AA11&lt;=SelectionCriteria!$G$5,1, IF(AA11&lt;=SelectionCriteria!$G$4,2, IF(AA11&lt;=SelectionCriteria!$G$3,3,4))))</f>
        <v>0</v>
      </c>
      <c r="AH11" s="5">
        <f t="shared" si="6"/>
        <v>0</v>
      </c>
      <c r="AI11" s="5">
        <f t="shared" si="7"/>
        <v>0</v>
      </c>
      <c r="AJ11" s="3">
        <f t="shared" si="8"/>
        <v>0</v>
      </c>
      <c r="AK11" s="4" t="str">
        <f t="shared" si="9"/>
        <v>Negligible</v>
      </c>
      <c r="AL11" s="19"/>
      <c r="AM11" s="3">
        <f t="shared" si="10"/>
        <v>0</v>
      </c>
      <c r="AN11" s="3">
        <f t="shared" si="11"/>
        <v>0</v>
      </c>
      <c r="AO11" s="86"/>
      <c r="AP11" s="86"/>
      <c r="AQ11" s="86"/>
      <c r="AR11" s="86"/>
      <c r="AS11" s="86" t="str">
        <f>Risks!AW13</f>
        <v>Retired based on production status.</v>
      </c>
      <c r="AT11" s="6"/>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row>
    <row r="12" spans="1:139" s="12" customFormat="1" ht="32.1" customHeight="1" x14ac:dyDescent="0.25">
      <c r="A12" s="3" t="str">
        <f>Risks!B14</f>
        <v>sPH_TPC_004</v>
      </c>
      <c r="B12" s="25"/>
      <c r="C12" s="10"/>
      <c r="D12" s="18"/>
      <c r="E12" s="5"/>
      <c r="F12" s="14" t="str">
        <f>Risks!G14</f>
        <v>Tom Hemmick</v>
      </c>
      <c r="G12" s="15" t="str">
        <f>Risks!H14</f>
        <v>SAMPA Chip 80 nsec development</v>
      </c>
      <c r="H12" s="15"/>
      <c r="I12" s="4"/>
      <c r="J12" s="19"/>
      <c r="K12" s="19"/>
      <c r="L12" s="7"/>
      <c r="M12" s="17">
        <f t="shared" ref="M12:M59" si="12">IF(I12=0,0,IF(I12&lt;=0.01,1, IF(I12&lt;=0.1,2, IF(I12&lt;=0.5,3,4))))</f>
        <v>0</v>
      </c>
      <c r="N12" s="5">
        <f>IF(L12="",0,IF(L12&lt;=SelectionCriteria!$G$5,1, IF(L12&lt;=SelectionCriteria!$G$4,2, IF(L12&lt;=SelectionCriteria!$G$3,3,4))))</f>
        <v>0</v>
      </c>
      <c r="O12" s="5">
        <f t="shared" ref="O12:O59" si="13">IF(J12="",0,IF(J12="Negligible",1,IF(J12="Low",2,IF(J12="Moderate",3,4))))</f>
        <v>0</v>
      </c>
      <c r="P12" s="5">
        <f t="shared" ref="P12:P59" si="14">IF(K12="",0,IF(K12="Negligible",1,IF(K12="Low",2,IF(K12="Moderate",3,4))))</f>
        <v>0</v>
      </c>
      <c r="Q12" s="3">
        <f t="shared" ref="Q12:Q59" si="15">M12*((N12+O12+P12)/3)</f>
        <v>0</v>
      </c>
      <c r="R12" s="4" t="str">
        <f t="shared" si="4"/>
        <v>Negligible</v>
      </c>
      <c r="S12" s="15"/>
      <c r="T12" s="6"/>
      <c r="U12" s="18"/>
      <c r="V12" s="6"/>
      <c r="W12" s="4"/>
      <c r="X12" s="19"/>
      <c r="Y12" s="19"/>
      <c r="Z12" s="5"/>
      <c r="AA12" s="5"/>
      <c r="AB12" s="5"/>
      <c r="AC12" s="53"/>
      <c r="AD12" s="53"/>
      <c r="AE12" s="53"/>
      <c r="AF12" s="5">
        <f t="shared" ref="AF12:AF59" si="16">IF(W12=0,0,IF(W12&lt;=0.01,1, IF(W12&lt;=0.1,2, IF(W12&lt;=0.5,3,4))))</f>
        <v>0</v>
      </c>
      <c r="AG12" s="5">
        <f>IF(AA12="",0,IF(AA12&lt;=SelectionCriteria!$G$5,1, IF(AA12&lt;=SelectionCriteria!$G$4,2, IF(AA12&lt;=SelectionCriteria!$G$3,3,4))))</f>
        <v>0</v>
      </c>
      <c r="AH12" s="5">
        <f t="shared" ref="AH12:AH59" si="17">IF(X12="",0,IF(X12="Negligible",1,IF(X12="Low",2,IF(X12="Moderate",3,4))))</f>
        <v>0</v>
      </c>
      <c r="AI12" s="5">
        <f t="shared" ref="AI12:AI59" si="18">IF(Y12="",0,IF(Y12="Negligible",1,IF(Y12="Low",2,IF(Y12="Moderate",3,4))))</f>
        <v>0</v>
      </c>
      <c r="AJ12" s="3">
        <f t="shared" ref="AJ12:AJ59" si="19">AF12*((AG12+AH12+AI12)/3)</f>
        <v>0</v>
      </c>
      <c r="AK12" s="4" t="str">
        <f t="shared" si="9"/>
        <v>Negligible</v>
      </c>
      <c r="AL12" s="19"/>
      <c r="AM12" s="3">
        <f t="shared" ref="AM12:AM59" si="20">W12*AA12</f>
        <v>0</v>
      </c>
      <c r="AN12" s="3">
        <f t="shared" ref="AN12:AN59" si="21">W12*(SUM(Z12:AB12)/3)</f>
        <v>0</v>
      </c>
      <c r="AO12" s="86"/>
      <c r="AP12" s="86"/>
      <c r="AQ12" s="86"/>
      <c r="AR12" s="86"/>
      <c r="AS12" s="86" t="str">
        <f>Risks!AW14</f>
        <v>Retired on Apr 27 2020.  Based upon results measured over multiple chips, we have declared the chip as having met or surpassed our requirements.</v>
      </c>
      <c r="AT12" s="6"/>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row>
    <row r="13" spans="1:139" s="12" customFormat="1" ht="32.1" customHeight="1" x14ac:dyDescent="0.25">
      <c r="A13" s="3" t="str">
        <f>Risks!B15</f>
        <v>sPH_TPC_005</v>
      </c>
      <c r="B13" s="25"/>
      <c r="C13" s="10"/>
      <c r="D13" s="18"/>
      <c r="E13" s="5"/>
      <c r="F13" s="14" t="str">
        <f>Risks!G15</f>
        <v>Tom Hemmick</v>
      </c>
      <c r="G13" s="15" t="str">
        <f>Risks!H15</f>
        <v>Currency fluctuation on TPC GEMs contract with CERN</v>
      </c>
      <c r="H13" s="15"/>
      <c r="I13" s="4"/>
      <c r="J13" s="19"/>
      <c r="K13" s="19"/>
      <c r="L13" s="7"/>
      <c r="M13" s="17">
        <f t="shared" si="12"/>
        <v>0</v>
      </c>
      <c r="N13" s="5">
        <f>IF(L13="",0,IF(L13&lt;=SelectionCriteria!$G$5,1, IF(L13&lt;=SelectionCriteria!$G$4,2, IF(L13&lt;=SelectionCriteria!$G$3,3,4))))</f>
        <v>0</v>
      </c>
      <c r="O13" s="5">
        <f t="shared" si="13"/>
        <v>0</v>
      </c>
      <c r="P13" s="5">
        <f t="shared" si="14"/>
        <v>0</v>
      </c>
      <c r="Q13" s="3">
        <f t="shared" si="15"/>
        <v>0</v>
      </c>
      <c r="R13" s="4" t="str">
        <f t="shared" si="4"/>
        <v>Negligible</v>
      </c>
      <c r="S13" s="15"/>
      <c r="T13" s="6"/>
      <c r="U13" s="18"/>
      <c r="V13" s="6"/>
      <c r="W13" s="4"/>
      <c r="X13" s="19"/>
      <c r="Y13" s="19"/>
      <c r="Z13" s="5"/>
      <c r="AA13" s="5"/>
      <c r="AB13" s="5"/>
      <c r="AC13" s="53"/>
      <c r="AD13" s="53"/>
      <c r="AE13" s="53"/>
      <c r="AF13" s="5">
        <f t="shared" si="16"/>
        <v>0</v>
      </c>
      <c r="AG13" s="5">
        <f>IF(AA13="",0,IF(AA13&lt;=SelectionCriteria!$G$5,1, IF(AA13&lt;=SelectionCriteria!$G$4,2, IF(AA13&lt;=SelectionCriteria!$G$3,3,4))))</f>
        <v>0</v>
      </c>
      <c r="AH13" s="5">
        <f t="shared" si="17"/>
        <v>0</v>
      </c>
      <c r="AI13" s="5">
        <f t="shared" si="18"/>
        <v>0</v>
      </c>
      <c r="AJ13" s="3">
        <f t="shared" si="19"/>
        <v>0</v>
      </c>
      <c r="AK13" s="4" t="str">
        <f t="shared" si="9"/>
        <v>Negligible</v>
      </c>
      <c r="AL13" s="19"/>
      <c r="AM13" s="3">
        <f t="shared" si="20"/>
        <v>0</v>
      </c>
      <c r="AN13" s="3">
        <f t="shared" si="21"/>
        <v>0</v>
      </c>
      <c r="AO13" s="86"/>
      <c r="AP13" s="86"/>
      <c r="AQ13" s="86"/>
      <c r="AR13" s="86"/>
      <c r="AS13" s="86" t="str">
        <f>Risks!AW15</f>
        <v>Retired on Jan 31 2019. Currency fluctuations can go both ways and there is no reason to expect that Swiss franc will go up against the US dollar in near future.</v>
      </c>
      <c r="AT13" s="6"/>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row>
    <row r="14" spans="1:139" s="12" customFormat="1" ht="32.1" customHeight="1" x14ac:dyDescent="0.25">
      <c r="A14" s="3" t="str">
        <f>Risks!B16</f>
        <v>sPH_TPC_006</v>
      </c>
      <c r="B14" s="25"/>
      <c r="C14" s="10"/>
      <c r="D14" s="18"/>
      <c r="E14" s="5"/>
      <c r="F14" s="14" t="str">
        <f>Risks!G16</f>
        <v>Tom Hemmick</v>
      </c>
      <c r="G14" s="15" t="str">
        <f>Risks!H16</f>
        <v>Wayne State Students Unavailable (R1 Modules)</v>
      </c>
      <c r="H14" s="15"/>
      <c r="I14" s="4"/>
      <c r="J14" s="19"/>
      <c r="K14" s="19"/>
      <c r="L14" s="7"/>
      <c r="M14" s="17">
        <f t="shared" si="12"/>
        <v>0</v>
      </c>
      <c r="N14" s="5">
        <f>IF(L14="",0,IF(L14&lt;=SelectionCriteria!$G$5,1, IF(L14&lt;=SelectionCriteria!$G$4,2, IF(L14&lt;=SelectionCriteria!$G$3,3,4))))</f>
        <v>0</v>
      </c>
      <c r="O14" s="5">
        <f t="shared" si="13"/>
        <v>0</v>
      </c>
      <c r="P14" s="5">
        <f t="shared" si="14"/>
        <v>0</v>
      </c>
      <c r="Q14" s="3">
        <f t="shared" si="15"/>
        <v>0</v>
      </c>
      <c r="R14" s="4" t="str">
        <f t="shared" si="4"/>
        <v>Negligible</v>
      </c>
      <c r="S14" s="15"/>
      <c r="T14" s="6"/>
      <c r="U14" s="18"/>
      <c r="V14" s="6"/>
      <c r="W14" s="4"/>
      <c r="X14" s="19"/>
      <c r="Y14" s="19"/>
      <c r="Z14" s="5"/>
      <c r="AA14" s="5"/>
      <c r="AB14" s="5"/>
      <c r="AC14" s="53"/>
      <c r="AD14" s="53"/>
      <c r="AE14" s="53"/>
      <c r="AF14" s="5">
        <f t="shared" si="16"/>
        <v>0</v>
      </c>
      <c r="AG14" s="5">
        <f>IF(AA14="",0,IF(AA14&lt;=SelectionCriteria!$G$5,1, IF(AA14&lt;=SelectionCriteria!$G$4,2, IF(AA14&lt;=SelectionCriteria!$G$3,3,4))))</f>
        <v>0</v>
      </c>
      <c r="AH14" s="5">
        <f t="shared" si="17"/>
        <v>0</v>
      </c>
      <c r="AI14" s="5">
        <f t="shared" si="18"/>
        <v>0</v>
      </c>
      <c r="AJ14" s="3">
        <f t="shared" si="19"/>
        <v>0</v>
      </c>
      <c r="AK14" s="4" t="str">
        <f t="shared" si="9"/>
        <v>Negligible</v>
      </c>
      <c r="AL14" s="19"/>
      <c r="AM14" s="3">
        <f t="shared" si="20"/>
        <v>0</v>
      </c>
      <c r="AN14" s="3">
        <f t="shared" si="21"/>
        <v>0</v>
      </c>
      <c r="AO14" s="86"/>
      <c r="AP14" s="86"/>
      <c r="AQ14" s="86"/>
      <c r="AR14" s="86"/>
      <c r="AS14" s="86" t="str">
        <f>Risks!AW16</f>
        <v>Retired. Paid TECH labor is in the RLS.</v>
      </c>
      <c r="AT14" s="6"/>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row>
    <row r="15" spans="1:139" s="12" customFormat="1" ht="32.1" hidden="1" customHeight="1" x14ac:dyDescent="0.25">
      <c r="A15" s="3" t="str">
        <f>Risks!B17</f>
        <v>sPH_TPC_007</v>
      </c>
      <c r="B15" s="25"/>
      <c r="C15" s="10"/>
      <c r="D15" s="18"/>
      <c r="E15" s="5"/>
      <c r="F15" s="14" t="str">
        <f>Risks!G17</f>
        <v>Tom Hemmick</v>
      </c>
      <c r="G15" s="15" t="str">
        <f>Risks!H17</f>
        <v>Vanderbilt Students Unavailable (R2 Modules)</v>
      </c>
      <c r="H15" s="15"/>
      <c r="I15" s="4"/>
      <c r="J15" s="19"/>
      <c r="K15" s="19"/>
      <c r="L15" s="7"/>
      <c r="M15" s="17">
        <f t="shared" si="12"/>
        <v>0</v>
      </c>
      <c r="N15" s="5">
        <f>IF(L15="",0,IF(L15&lt;=SelectionCriteria!$G$5,1, IF(L15&lt;=SelectionCriteria!$G$4,2, IF(L15&lt;=SelectionCriteria!$G$3,3,4))))</f>
        <v>0</v>
      </c>
      <c r="O15" s="5">
        <f t="shared" si="13"/>
        <v>0</v>
      </c>
      <c r="P15" s="5">
        <f t="shared" si="14"/>
        <v>0</v>
      </c>
      <c r="Q15" s="3">
        <f t="shared" si="15"/>
        <v>0</v>
      </c>
      <c r="R15" s="4" t="str">
        <f t="shared" si="4"/>
        <v>Negligible</v>
      </c>
      <c r="S15" s="15"/>
      <c r="T15" s="6"/>
      <c r="U15" s="18"/>
      <c r="V15" s="6"/>
      <c r="W15" s="4"/>
      <c r="X15" s="19"/>
      <c r="Y15" s="19"/>
      <c r="Z15" s="5"/>
      <c r="AA15" s="5"/>
      <c r="AB15" s="5"/>
      <c r="AC15" s="53"/>
      <c r="AD15" s="53"/>
      <c r="AE15" s="53"/>
      <c r="AF15" s="5">
        <f t="shared" si="16"/>
        <v>0</v>
      </c>
      <c r="AG15" s="5">
        <f>IF(AA15="",0,IF(AA15&lt;=SelectionCriteria!$G$5,1, IF(AA15&lt;=SelectionCriteria!$G$4,2, IF(AA15&lt;=SelectionCriteria!$G$3,3,4))))</f>
        <v>0</v>
      </c>
      <c r="AH15" s="5">
        <f t="shared" si="17"/>
        <v>0</v>
      </c>
      <c r="AI15" s="5">
        <f t="shared" si="18"/>
        <v>0</v>
      </c>
      <c r="AJ15" s="3">
        <f t="shared" si="19"/>
        <v>0</v>
      </c>
      <c r="AK15" s="4" t="str">
        <f t="shared" si="9"/>
        <v>Negligible</v>
      </c>
      <c r="AL15" s="19"/>
      <c r="AM15" s="3">
        <f t="shared" si="20"/>
        <v>0</v>
      </c>
      <c r="AN15" s="3">
        <f t="shared" si="21"/>
        <v>0</v>
      </c>
      <c r="AO15" s="86"/>
      <c r="AP15" s="86"/>
      <c r="AQ15" s="86"/>
      <c r="AR15" s="86"/>
      <c r="AS15" s="86" t="str">
        <f>Risks!AW17</f>
        <v>Retired May 2021. GEM production is complete. Risk did not realize.</v>
      </c>
      <c r="AT15" s="6"/>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row>
    <row r="16" spans="1:139" s="12" customFormat="1" ht="32.1" hidden="1" customHeight="1" x14ac:dyDescent="0.25">
      <c r="A16" s="3" t="str">
        <f>Risks!B18</f>
        <v>sPH_TPC_008</v>
      </c>
      <c r="B16" s="25"/>
      <c r="C16" s="10"/>
      <c r="D16" s="18"/>
      <c r="E16" s="5"/>
      <c r="F16" s="14" t="str">
        <f>Risks!G18</f>
        <v>Tom Hemmick</v>
      </c>
      <c r="G16" s="15" t="str">
        <f>Risks!H18</f>
        <v>Temple Students Unavailable (R3a Modules)</v>
      </c>
      <c r="H16" s="15"/>
      <c r="I16" s="4"/>
      <c r="J16" s="19"/>
      <c r="K16" s="19"/>
      <c r="L16" s="7"/>
      <c r="M16" s="17">
        <f t="shared" si="12"/>
        <v>0</v>
      </c>
      <c r="N16" s="5">
        <f>IF(L16="",0,IF(L16&lt;=SelectionCriteria!$G$5,1, IF(L16&lt;=SelectionCriteria!$G$4,2, IF(L16&lt;=SelectionCriteria!$G$3,3,4))))</f>
        <v>0</v>
      </c>
      <c r="O16" s="5">
        <f t="shared" si="13"/>
        <v>0</v>
      </c>
      <c r="P16" s="5">
        <f t="shared" si="14"/>
        <v>0</v>
      </c>
      <c r="Q16" s="3">
        <f t="shared" si="15"/>
        <v>0</v>
      </c>
      <c r="R16" s="4" t="str">
        <f t="shared" si="4"/>
        <v>Negligible</v>
      </c>
      <c r="S16" s="15"/>
      <c r="T16" s="6"/>
      <c r="U16" s="18"/>
      <c r="V16" s="6"/>
      <c r="W16" s="4"/>
      <c r="X16" s="19"/>
      <c r="Y16" s="19"/>
      <c r="Z16" s="5"/>
      <c r="AA16" s="5"/>
      <c r="AB16" s="5"/>
      <c r="AC16" s="53"/>
      <c r="AD16" s="53"/>
      <c r="AE16" s="53"/>
      <c r="AF16" s="5">
        <f t="shared" si="16"/>
        <v>0</v>
      </c>
      <c r="AG16" s="5">
        <f>IF(AA16="",0,IF(AA16&lt;=SelectionCriteria!$G$5,1, IF(AA16&lt;=SelectionCriteria!$G$4,2, IF(AA16&lt;=SelectionCriteria!$G$3,3,4))))</f>
        <v>0</v>
      </c>
      <c r="AH16" s="5">
        <f t="shared" si="17"/>
        <v>0</v>
      </c>
      <c r="AI16" s="5">
        <f t="shared" si="18"/>
        <v>0</v>
      </c>
      <c r="AJ16" s="3">
        <f t="shared" si="19"/>
        <v>0</v>
      </c>
      <c r="AK16" s="4" t="str">
        <f t="shared" si="9"/>
        <v>Negligible</v>
      </c>
      <c r="AL16" s="19"/>
      <c r="AM16" s="3">
        <f t="shared" si="20"/>
        <v>0</v>
      </c>
      <c r="AN16" s="3">
        <f t="shared" si="21"/>
        <v>0</v>
      </c>
      <c r="AO16" s="86"/>
      <c r="AP16" s="86"/>
      <c r="AQ16" s="86"/>
      <c r="AR16" s="86"/>
      <c r="AS16" s="86" t="str">
        <f>Risks!AW18</f>
        <v>Retired May 2021. GEM production is complete. Risk did not realize.</v>
      </c>
      <c r="AT16" s="6"/>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row>
    <row r="17" spans="1:139" s="12" customFormat="1" ht="32.1" hidden="1" customHeight="1" x14ac:dyDescent="0.25">
      <c r="A17" s="3" t="str">
        <f>Risks!B19</f>
        <v>sPH_TPC_009</v>
      </c>
      <c r="B17" s="25"/>
      <c r="C17" s="10"/>
      <c r="D17" s="18"/>
      <c r="E17" s="5"/>
      <c r="F17" s="14" t="str">
        <f>Risks!G19</f>
        <v>Tom Hemmick</v>
      </c>
      <c r="G17" s="15" t="str">
        <f>Risks!H19</f>
        <v>Weizmann Students Unavailable (R3b Modules)</v>
      </c>
      <c r="H17" s="15"/>
      <c r="I17" s="4"/>
      <c r="J17" s="19"/>
      <c r="K17" s="19"/>
      <c r="L17" s="7"/>
      <c r="M17" s="17">
        <f t="shared" si="12"/>
        <v>0</v>
      </c>
      <c r="N17" s="5">
        <f>IF(L17="",0,IF(L17&lt;=SelectionCriteria!$G$5,1, IF(L17&lt;=SelectionCriteria!$G$4,2, IF(L17&lt;=SelectionCriteria!$G$3,3,4))))</f>
        <v>0</v>
      </c>
      <c r="O17" s="5">
        <f t="shared" si="13"/>
        <v>0</v>
      </c>
      <c r="P17" s="5">
        <f t="shared" si="14"/>
        <v>0</v>
      </c>
      <c r="Q17" s="3">
        <f t="shared" si="15"/>
        <v>0</v>
      </c>
      <c r="R17" s="4" t="str">
        <f t="shared" si="4"/>
        <v>Negligible</v>
      </c>
      <c r="S17" s="15"/>
      <c r="T17" s="6"/>
      <c r="U17" s="18"/>
      <c r="V17" s="6"/>
      <c r="W17" s="4"/>
      <c r="X17" s="19"/>
      <c r="Y17" s="19"/>
      <c r="Z17" s="5"/>
      <c r="AA17" s="5"/>
      <c r="AB17" s="5"/>
      <c r="AC17" s="53"/>
      <c r="AD17" s="53"/>
      <c r="AE17" s="53"/>
      <c r="AF17" s="5">
        <f t="shared" si="16"/>
        <v>0</v>
      </c>
      <c r="AG17" s="5">
        <f>IF(AA17="",0,IF(AA17&lt;=SelectionCriteria!$G$5,1, IF(AA17&lt;=SelectionCriteria!$G$4,2, IF(AA17&lt;=SelectionCriteria!$G$3,3,4))))</f>
        <v>0</v>
      </c>
      <c r="AH17" s="5">
        <f t="shared" si="17"/>
        <v>0</v>
      </c>
      <c r="AI17" s="5">
        <f t="shared" si="18"/>
        <v>0</v>
      </c>
      <c r="AJ17" s="3">
        <f t="shared" si="19"/>
        <v>0</v>
      </c>
      <c r="AK17" s="4" t="str">
        <f t="shared" si="9"/>
        <v>Negligible</v>
      </c>
      <c r="AL17" s="19"/>
      <c r="AM17" s="3">
        <f t="shared" si="20"/>
        <v>0</v>
      </c>
      <c r="AN17" s="3">
        <f t="shared" si="21"/>
        <v>0</v>
      </c>
      <c r="AO17" s="86"/>
      <c r="AP17" s="86"/>
      <c r="AQ17" s="86"/>
      <c r="AR17" s="86"/>
      <c r="AS17" s="86" t="str">
        <f>Risks!AW19</f>
        <v>Retired May 2021. GEM production is complete. Risk did not realize.</v>
      </c>
      <c r="AT17" s="6"/>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row>
    <row r="18" spans="1:139" s="12" customFormat="1" ht="32.1" customHeight="1" x14ac:dyDescent="0.25">
      <c r="A18" s="3" t="str">
        <f>Risks!B20</f>
        <v>sPH_TPC_010</v>
      </c>
      <c r="B18" s="25"/>
      <c r="C18" s="10"/>
      <c r="D18" s="18"/>
      <c r="E18" s="5"/>
      <c r="F18" s="14" t="str">
        <f>Risks!G20</f>
        <v>Tom Hemmick</v>
      </c>
      <c r="G18" s="15" t="str">
        <f>Risks!H20</f>
        <v>SUNY Stony Brook Staff and/or Students Not Available (TPC)</v>
      </c>
      <c r="H18" s="15"/>
      <c r="I18" s="4"/>
      <c r="J18" s="19"/>
      <c r="K18" s="19"/>
      <c r="L18" s="7"/>
      <c r="M18" s="17">
        <f t="shared" si="12"/>
        <v>0</v>
      </c>
      <c r="N18" s="5">
        <f>IF(L18="",0,IF(L18&lt;=SelectionCriteria!$G$5,1, IF(L18&lt;=SelectionCriteria!$G$4,2, IF(L18&lt;=SelectionCriteria!$G$3,3,4))))</f>
        <v>0</v>
      </c>
      <c r="O18" s="5">
        <f t="shared" si="13"/>
        <v>0</v>
      </c>
      <c r="P18" s="5">
        <f t="shared" si="14"/>
        <v>0</v>
      </c>
      <c r="Q18" s="3">
        <f t="shared" si="15"/>
        <v>0</v>
      </c>
      <c r="R18" s="4" t="str">
        <f t="shared" si="4"/>
        <v>Negligible</v>
      </c>
      <c r="S18" s="15"/>
      <c r="T18" s="6"/>
      <c r="U18" s="18"/>
      <c r="V18" s="6"/>
      <c r="W18" s="4"/>
      <c r="X18" s="19"/>
      <c r="Y18" s="19"/>
      <c r="Z18" s="5"/>
      <c r="AA18" s="5"/>
      <c r="AB18" s="5"/>
      <c r="AC18" s="53"/>
      <c r="AD18" s="53"/>
      <c r="AE18" s="53"/>
      <c r="AF18" s="5">
        <f t="shared" si="16"/>
        <v>0</v>
      </c>
      <c r="AG18" s="5">
        <f>IF(AA18="",0,IF(AA18&lt;=SelectionCriteria!$G$5,1, IF(AA18&lt;=SelectionCriteria!$G$4,2, IF(AA18&lt;=SelectionCriteria!$G$3,3,4))))</f>
        <v>0</v>
      </c>
      <c r="AH18" s="5">
        <f t="shared" si="17"/>
        <v>0</v>
      </c>
      <c r="AI18" s="5">
        <f t="shared" si="18"/>
        <v>0</v>
      </c>
      <c r="AJ18" s="3">
        <f t="shared" si="19"/>
        <v>0</v>
      </c>
      <c r="AK18" s="4" t="str">
        <f t="shared" si="9"/>
        <v>Negligible</v>
      </c>
      <c r="AL18" s="19"/>
      <c r="AM18" s="3">
        <f t="shared" si="20"/>
        <v>0</v>
      </c>
      <c r="AN18" s="3">
        <f t="shared" si="21"/>
        <v>0</v>
      </c>
      <c r="AO18" s="86"/>
      <c r="AP18" s="86"/>
      <c r="AQ18" s="86"/>
      <c r="AR18" s="86"/>
      <c r="AS18" s="86" t="str">
        <f>Risks!AW20</f>
        <v>Realized, PCR017 Nov 2020.</v>
      </c>
      <c r="AT18" s="6"/>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row>
    <row r="19" spans="1:139" s="12" customFormat="1" ht="32.1" customHeight="1" x14ac:dyDescent="0.25">
      <c r="A19" s="3" t="str">
        <f>Risks!B27</f>
        <v>sPH_EMCal_001</v>
      </c>
      <c r="B19" s="25"/>
      <c r="C19" s="10"/>
      <c r="D19" s="18"/>
      <c r="E19" s="5"/>
      <c r="F19" s="14" t="str">
        <f>Risks!G27</f>
        <v>Craig Woody</v>
      </c>
      <c r="G19" s="15" t="str">
        <f>Risks!H27</f>
        <v>Tungsten powder cost go up</v>
      </c>
      <c r="H19" s="15"/>
      <c r="I19" s="4"/>
      <c r="J19" s="19"/>
      <c r="K19" s="19"/>
      <c r="L19" s="7"/>
      <c r="M19" s="17">
        <f t="shared" si="12"/>
        <v>0</v>
      </c>
      <c r="N19" s="5">
        <f>IF(L19="",0,IF(L19&lt;=SelectionCriteria!$G$5,1, IF(L19&lt;=SelectionCriteria!$G$4,2, IF(L19&lt;=SelectionCriteria!$G$3,3,4))))</f>
        <v>0</v>
      </c>
      <c r="O19" s="5">
        <f t="shared" si="13"/>
        <v>0</v>
      </c>
      <c r="P19" s="5">
        <f t="shared" si="14"/>
        <v>0</v>
      </c>
      <c r="Q19" s="3">
        <f t="shared" si="15"/>
        <v>0</v>
      </c>
      <c r="R19" s="4" t="str">
        <f t="shared" si="4"/>
        <v>Negligible</v>
      </c>
      <c r="S19" s="15"/>
      <c r="T19" s="6"/>
      <c r="U19" s="18"/>
      <c r="V19" s="6"/>
      <c r="W19" s="4"/>
      <c r="X19" s="19"/>
      <c r="Y19" s="19"/>
      <c r="Z19" s="5"/>
      <c r="AA19" s="5"/>
      <c r="AB19" s="5"/>
      <c r="AC19" s="53"/>
      <c r="AD19" s="53"/>
      <c r="AE19" s="53"/>
      <c r="AF19" s="5">
        <f t="shared" si="16"/>
        <v>0</v>
      </c>
      <c r="AG19" s="5">
        <f>IF(AA19="",0,IF(AA19&lt;=SelectionCriteria!$G$5,1, IF(AA19&lt;=SelectionCriteria!$G$4,2, IF(AA19&lt;=SelectionCriteria!$G$3,3,4))))</f>
        <v>0</v>
      </c>
      <c r="AH19" s="5">
        <f t="shared" si="17"/>
        <v>0</v>
      </c>
      <c r="AI19" s="5">
        <f t="shared" si="18"/>
        <v>0</v>
      </c>
      <c r="AJ19" s="3">
        <f t="shared" si="19"/>
        <v>0</v>
      </c>
      <c r="AK19" s="4" t="str">
        <f t="shared" si="9"/>
        <v>Negligible</v>
      </c>
      <c r="AL19" s="19"/>
      <c r="AM19" s="3">
        <f t="shared" si="20"/>
        <v>0</v>
      </c>
      <c r="AN19" s="3">
        <f t="shared" si="21"/>
        <v>0</v>
      </c>
      <c r="AO19" s="86"/>
      <c r="AP19" s="86"/>
      <c r="AQ19" s="86"/>
      <c r="AR19" s="86"/>
      <c r="AS19" s="86" t="str">
        <f>Risks!AW27</f>
        <v>Retired on Jan 31 2019 Risk did not realize. UIUC placed 2 contracts with Starck in April 2018 and Oct 2019, got both delivered.</v>
      </c>
      <c r="AT19" s="6"/>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row>
    <row r="20" spans="1:139" s="12" customFormat="1" ht="32.1" customHeight="1" x14ac:dyDescent="0.25">
      <c r="A20" s="3" t="str">
        <f>Risks!B28</f>
        <v>sPH_EMCal_002</v>
      </c>
      <c r="B20" s="25"/>
      <c r="C20" s="10"/>
      <c r="D20" s="18"/>
      <c r="E20" s="5"/>
      <c r="F20" s="14" t="str">
        <f>Risks!G28</f>
        <v>Craig Woody</v>
      </c>
      <c r="G20" s="15" t="str">
        <f>Risks!H28</f>
        <v>Loss of SciFi supplier</v>
      </c>
      <c r="H20" s="15"/>
      <c r="I20" s="4"/>
      <c r="J20" s="19"/>
      <c r="K20" s="19"/>
      <c r="L20" s="7"/>
      <c r="M20" s="17">
        <f t="shared" si="12"/>
        <v>0</v>
      </c>
      <c r="N20" s="5">
        <f>IF(L20="",0,IF(L20&lt;=SelectionCriteria!$G$5,1, IF(L20&lt;=SelectionCriteria!$G$4,2, IF(L20&lt;=SelectionCriteria!$G$3,3,4))))</f>
        <v>0</v>
      </c>
      <c r="O20" s="5">
        <f t="shared" si="13"/>
        <v>0</v>
      </c>
      <c r="P20" s="5">
        <f t="shared" si="14"/>
        <v>0</v>
      </c>
      <c r="Q20" s="3">
        <f t="shared" si="15"/>
        <v>0</v>
      </c>
      <c r="R20" s="4" t="str">
        <f t="shared" si="4"/>
        <v>Negligible</v>
      </c>
      <c r="S20" s="15"/>
      <c r="T20" s="6"/>
      <c r="U20" s="18"/>
      <c r="V20" s="6"/>
      <c r="W20" s="4"/>
      <c r="X20" s="19"/>
      <c r="Y20" s="19"/>
      <c r="Z20" s="5"/>
      <c r="AA20" s="5"/>
      <c r="AB20" s="5"/>
      <c r="AC20" s="53"/>
      <c r="AD20" s="53"/>
      <c r="AE20" s="53"/>
      <c r="AF20" s="5">
        <f t="shared" si="16"/>
        <v>0</v>
      </c>
      <c r="AG20" s="5">
        <f>IF(AA20="",0,IF(AA20&lt;=SelectionCriteria!$G$5,1, IF(AA20&lt;=SelectionCriteria!$G$4,2, IF(AA20&lt;=SelectionCriteria!$G$3,3,4))))</f>
        <v>0</v>
      </c>
      <c r="AH20" s="5">
        <f t="shared" si="17"/>
        <v>0</v>
      </c>
      <c r="AI20" s="5">
        <f t="shared" si="18"/>
        <v>0</v>
      </c>
      <c r="AJ20" s="3">
        <f t="shared" si="19"/>
        <v>0</v>
      </c>
      <c r="AK20" s="4" t="str">
        <f t="shared" si="9"/>
        <v>Negligible</v>
      </c>
      <c r="AL20" s="19"/>
      <c r="AM20" s="3">
        <f t="shared" si="20"/>
        <v>0</v>
      </c>
      <c r="AN20" s="3">
        <f t="shared" si="21"/>
        <v>0</v>
      </c>
      <c r="AO20" s="86"/>
      <c r="AP20" s="86"/>
      <c r="AQ20" s="86"/>
      <c r="AR20" s="86"/>
      <c r="AS20" s="86" t="str">
        <f>Risks!AW28</f>
        <v>Retired on Jan 31 2019 Risk did not realize. Contract placed Jan 22 2019 (PO 359217)</v>
      </c>
      <c r="AT20" s="6"/>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row>
    <row r="21" spans="1:139" s="12" customFormat="1" ht="32.1" customHeight="1" x14ac:dyDescent="0.25">
      <c r="A21" s="3" t="str">
        <f>Risks!B29</f>
        <v>sPH_EMCal_003</v>
      </c>
      <c r="B21" s="25"/>
      <c r="C21" s="10"/>
      <c r="D21" s="18"/>
      <c r="E21" s="5"/>
      <c r="F21" s="14" t="str">
        <f>Risks!G29</f>
        <v>Craig Woody</v>
      </c>
      <c r="G21" s="15" t="str">
        <f>Risks!H29</f>
        <v>Loss of primary production site for blocks (University of Illinois Urbana Champaign)</v>
      </c>
      <c r="H21" s="15"/>
      <c r="I21" s="4"/>
      <c r="J21" s="19"/>
      <c r="K21" s="19"/>
      <c r="L21" s="7"/>
      <c r="M21" s="17">
        <f t="shared" si="12"/>
        <v>0</v>
      </c>
      <c r="N21" s="5">
        <f>IF(L21="",0,IF(L21&lt;=SelectionCriteria!$G$5,1, IF(L21&lt;=SelectionCriteria!$G$4,2, IF(L21&lt;=SelectionCriteria!$G$3,3,4))))</f>
        <v>0</v>
      </c>
      <c r="O21" s="5">
        <f t="shared" si="13"/>
        <v>0</v>
      </c>
      <c r="P21" s="5">
        <f t="shared" si="14"/>
        <v>0</v>
      </c>
      <c r="Q21" s="3">
        <f t="shared" si="15"/>
        <v>0</v>
      </c>
      <c r="R21" s="4" t="str">
        <f t="shared" si="4"/>
        <v>Negligible</v>
      </c>
      <c r="S21" s="15"/>
      <c r="T21" s="6"/>
      <c r="U21" s="18"/>
      <c r="V21" s="6"/>
      <c r="W21" s="4"/>
      <c r="X21" s="19"/>
      <c r="Y21" s="19"/>
      <c r="Z21" s="5"/>
      <c r="AA21" s="5"/>
      <c r="AB21" s="5"/>
      <c r="AC21" s="53"/>
      <c r="AD21" s="53"/>
      <c r="AE21" s="53"/>
      <c r="AF21" s="5">
        <f t="shared" si="16"/>
        <v>0</v>
      </c>
      <c r="AG21" s="5">
        <f>IF(AA21="",0,IF(AA21&lt;=SelectionCriteria!$G$5,1, IF(AA21&lt;=SelectionCriteria!$G$4,2, IF(AA21&lt;=SelectionCriteria!$G$3,3,4))))</f>
        <v>0</v>
      </c>
      <c r="AH21" s="5">
        <f t="shared" si="17"/>
        <v>0</v>
      </c>
      <c r="AI21" s="5">
        <f t="shared" si="18"/>
        <v>0</v>
      </c>
      <c r="AJ21" s="3">
        <f t="shared" si="19"/>
        <v>0</v>
      </c>
      <c r="AK21" s="4" t="str">
        <f t="shared" si="9"/>
        <v>Negligible</v>
      </c>
      <c r="AL21" s="19"/>
      <c r="AM21" s="3">
        <f t="shared" si="20"/>
        <v>0</v>
      </c>
      <c r="AN21" s="3">
        <f t="shared" si="21"/>
        <v>0</v>
      </c>
      <c r="AO21" s="86"/>
      <c r="AP21" s="86"/>
      <c r="AQ21" s="86"/>
      <c r="AR21" s="86"/>
      <c r="AS21" s="86" t="str">
        <f>Risks!AW29</f>
        <v>Retired based on production status.</v>
      </c>
      <c r="AT21" s="6"/>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row>
    <row r="22" spans="1:139" s="12" customFormat="1" ht="32.1" hidden="1" customHeight="1" x14ac:dyDescent="0.25">
      <c r="A22" s="3" t="str">
        <f>Risks!B30</f>
        <v>sPH_EMCal_004</v>
      </c>
      <c r="B22" s="25"/>
      <c r="C22" s="10"/>
      <c r="D22" s="18"/>
      <c r="E22" s="5"/>
      <c r="F22" s="14" t="str">
        <f>Risks!G30</f>
        <v>Craig Woody</v>
      </c>
      <c r="G22" s="15" t="str">
        <f>Risks!H30</f>
        <v>Delay of EMCal block production at UIUC due to component supplies or technical issues</v>
      </c>
      <c r="H22" s="15"/>
      <c r="I22" s="4"/>
      <c r="J22" s="19"/>
      <c r="K22" s="19"/>
      <c r="L22" s="7"/>
      <c r="M22" s="17">
        <f t="shared" si="12"/>
        <v>0</v>
      </c>
      <c r="N22" s="5">
        <f>IF(L22="",0,IF(L22&lt;=SelectionCriteria!$G$5,1, IF(L22&lt;=SelectionCriteria!$G$4,2, IF(L22&lt;=SelectionCriteria!$G$3,3,4))))</f>
        <v>0</v>
      </c>
      <c r="O22" s="5">
        <f t="shared" si="13"/>
        <v>0</v>
      </c>
      <c r="P22" s="5">
        <f t="shared" si="14"/>
        <v>0</v>
      </c>
      <c r="Q22" s="3">
        <f t="shared" si="15"/>
        <v>0</v>
      </c>
      <c r="R22" s="4" t="str">
        <f t="shared" si="4"/>
        <v>Negligible</v>
      </c>
      <c r="S22" s="15"/>
      <c r="T22" s="6"/>
      <c r="U22" s="18"/>
      <c r="V22" s="6"/>
      <c r="W22" s="4"/>
      <c r="X22" s="19"/>
      <c r="Y22" s="19"/>
      <c r="Z22" s="5"/>
      <c r="AA22" s="5"/>
      <c r="AB22" s="5"/>
      <c r="AC22" s="53"/>
      <c r="AD22" s="53"/>
      <c r="AE22" s="53"/>
      <c r="AF22" s="5">
        <f t="shared" si="16"/>
        <v>0</v>
      </c>
      <c r="AG22" s="5">
        <f>IF(AA22="",0,IF(AA22&lt;=SelectionCriteria!$G$5,1, IF(AA22&lt;=SelectionCriteria!$G$4,2, IF(AA22&lt;=SelectionCriteria!$G$3,3,4))))</f>
        <v>0</v>
      </c>
      <c r="AH22" s="5">
        <f t="shared" si="17"/>
        <v>0</v>
      </c>
      <c r="AI22" s="5">
        <f t="shared" si="18"/>
        <v>0</v>
      </c>
      <c r="AJ22" s="3">
        <f t="shared" si="19"/>
        <v>0</v>
      </c>
      <c r="AK22" s="4" t="str">
        <f t="shared" si="9"/>
        <v>Negligible</v>
      </c>
      <c r="AL22" s="19"/>
      <c r="AM22" s="3">
        <f t="shared" si="20"/>
        <v>0</v>
      </c>
      <c r="AN22" s="3">
        <f t="shared" si="21"/>
        <v>0</v>
      </c>
      <c r="AO22" s="86"/>
      <c r="AP22" s="86"/>
      <c r="AQ22" s="86"/>
      <c r="AR22" s="86"/>
      <c r="AS22" s="86">
        <f>Risks!AW30</f>
        <v>0</v>
      </c>
      <c r="AT22" s="6"/>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row>
    <row r="23" spans="1:139" s="12" customFormat="1" ht="32.1" hidden="1" customHeight="1" x14ac:dyDescent="0.25">
      <c r="A23" s="3" t="str">
        <f>Risks!B31</f>
        <v>sPH_EMCal_005</v>
      </c>
      <c r="B23" s="25"/>
      <c r="C23" s="10"/>
      <c r="D23" s="18"/>
      <c r="E23" s="5"/>
      <c r="F23" s="14" t="str">
        <f>Risks!G31</f>
        <v>Craig Woody</v>
      </c>
      <c r="G23" s="15" t="str">
        <f>Risks!H31</f>
        <v>Delay of EMCal module production or sector assembly rate due to component supplies or technical issues</v>
      </c>
      <c r="H23" s="15"/>
      <c r="I23" s="4"/>
      <c r="J23" s="19"/>
      <c r="K23" s="19"/>
      <c r="L23" s="7"/>
      <c r="M23" s="17">
        <f t="shared" si="12"/>
        <v>0</v>
      </c>
      <c r="N23" s="5">
        <f>IF(L23="",0,IF(L23&lt;=SelectionCriteria!$G$5,1, IF(L23&lt;=SelectionCriteria!$G$4,2, IF(L23&lt;=SelectionCriteria!$G$3,3,4))))</f>
        <v>0</v>
      </c>
      <c r="O23" s="5">
        <f t="shared" si="13"/>
        <v>0</v>
      </c>
      <c r="P23" s="5">
        <f t="shared" si="14"/>
        <v>0</v>
      </c>
      <c r="Q23" s="3">
        <f t="shared" si="15"/>
        <v>0</v>
      </c>
      <c r="R23" s="4" t="str">
        <f t="shared" si="4"/>
        <v>Negligible</v>
      </c>
      <c r="S23" s="15"/>
      <c r="T23" s="6"/>
      <c r="U23" s="18"/>
      <c r="V23" s="6"/>
      <c r="W23" s="4"/>
      <c r="X23" s="19"/>
      <c r="Y23" s="19"/>
      <c r="Z23" s="5"/>
      <c r="AA23" s="5"/>
      <c r="AB23" s="5"/>
      <c r="AC23" s="53"/>
      <c r="AD23" s="53"/>
      <c r="AE23" s="53"/>
      <c r="AF23" s="5">
        <f t="shared" si="16"/>
        <v>0</v>
      </c>
      <c r="AG23" s="5">
        <f>IF(AA23="",0,IF(AA23&lt;=SelectionCriteria!$G$5,1, IF(AA23&lt;=SelectionCriteria!$G$4,2, IF(AA23&lt;=SelectionCriteria!$G$3,3,4))))</f>
        <v>0</v>
      </c>
      <c r="AH23" s="5">
        <f t="shared" si="17"/>
        <v>0</v>
      </c>
      <c r="AI23" s="5">
        <f t="shared" si="18"/>
        <v>0</v>
      </c>
      <c r="AJ23" s="3">
        <f t="shared" si="19"/>
        <v>0</v>
      </c>
      <c r="AK23" s="4" t="str">
        <f t="shared" si="9"/>
        <v>Negligible</v>
      </c>
      <c r="AL23" s="19"/>
      <c r="AM23" s="3">
        <f t="shared" si="20"/>
        <v>0</v>
      </c>
      <c r="AN23" s="3">
        <f t="shared" si="21"/>
        <v>0</v>
      </c>
      <c r="AO23" s="86"/>
      <c r="AP23" s="86"/>
      <c r="AQ23" s="86"/>
      <c r="AR23" s="86"/>
      <c r="AS23" s="86">
        <f>Risks!AW31</f>
        <v>0</v>
      </c>
      <c r="AT23" s="6"/>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row>
    <row r="24" spans="1:139" s="12" customFormat="1" ht="32.1" customHeight="1" x14ac:dyDescent="0.25">
      <c r="A24" s="3" t="str">
        <f>Risks!B32</f>
        <v>sPH_EMCal_006</v>
      </c>
      <c r="B24" s="25"/>
      <c r="C24" s="10"/>
      <c r="D24" s="18"/>
      <c r="E24" s="5"/>
      <c r="F24" s="14" t="str">
        <f>Risks!G32</f>
        <v>Craig Woody</v>
      </c>
      <c r="G24" s="15" t="str">
        <f>Risks!H32</f>
        <v>EMCal Preproduction sectors do not meet production specs</v>
      </c>
      <c r="H24" s="15"/>
      <c r="I24" s="4"/>
      <c r="J24" s="19"/>
      <c r="K24" s="19"/>
      <c r="L24" s="7"/>
      <c r="M24" s="17">
        <f t="shared" si="12"/>
        <v>0</v>
      </c>
      <c r="N24" s="5">
        <f>IF(L24="",0,IF(L24&lt;=SelectionCriteria!$G$5,1, IF(L24&lt;=SelectionCriteria!$G$4,2, IF(L24&lt;=SelectionCriteria!$G$3,3,4))))</f>
        <v>0</v>
      </c>
      <c r="O24" s="5">
        <f t="shared" si="13"/>
        <v>0</v>
      </c>
      <c r="P24" s="5">
        <f t="shared" si="14"/>
        <v>0</v>
      </c>
      <c r="Q24" s="3">
        <f t="shared" si="15"/>
        <v>0</v>
      </c>
      <c r="R24" s="4" t="str">
        <f t="shared" si="4"/>
        <v>Negligible</v>
      </c>
      <c r="S24" s="15"/>
      <c r="T24" s="6"/>
      <c r="U24" s="18"/>
      <c r="V24" s="6"/>
      <c r="W24" s="4"/>
      <c r="X24" s="19"/>
      <c r="Y24" s="19"/>
      <c r="Z24" s="5"/>
      <c r="AA24" s="5"/>
      <c r="AB24" s="5"/>
      <c r="AC24" s="53"/>
      <c r="AD24" s="53"/>
      <c r="AE24" s="53"/>
      <c r="AF24" s="5">
        <f t="shared" si="16"/>
        <v>0</v>
      </c>
      <c r="AG24" s="5">
        <f>IF(AA24="",0,IF(AA24&lt;=SelectionCriteria!$G$5,1, IF(AA24&lt;=SelectionCriteria!$G$4,2, IF(AA24&lt;=SelectionCriteria!$G$3,3,4))))</f>
        <v>0</v>
      </c>
      <c r="AH24" s="5">
        <f t="shared" si="17"/>
        <v>0</v>
      </c>
      <c r="AI24" s="5">
        <f t="shared" si="18"/>
        <v>0</v>
      </c>
      <c r="AJ24" s="3">
        <f t="shared" si="19"/>
        <v>0</v>
      </c>
      <c r="AK24" s="4" t="str">
        <f t="shared" si="9"/>
        <v>Negligible</v>
      </c>
      <c r="AL24" s="19"/>
      <c r="AM24" s="3">
        <f t="shared" si="20"/>
        <v>0</v>
      </c>
      <c r="AN24" s="3">
        <f t="shared" si="21"/>
        <v>0</v>
      </c>
      <c r="AO24" s="86"/>
      <c r="AP24" s="86"/>
      <c r="AQ24" s="86"/>
      <c r="AR24" s="86"/>
      <c r="AS24" s="86" t="str">
        <f>Risks!AW32</f>
        <v>Retired on Mar 22 2019.</v>
      </c>
      <c r="AT24" s="6"/>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row>
    <row r="25" spans="1:139" s="12" customFormat="1" ht="32.1" customHeight="1" x14ac:dyDescent="0.25">
      <c r="A25" s="3" t="str">
        <f>Risks!B33</f>
        <v>sPH_EMCal_007</v>
      </c>
      <c r="B25" s="25"/>
      <c r="C25" s="10"/>
      <c r="D25" s="18"/>
      <c r="E25" s="5"/>
      <c r="F25" s="14" t="str">
        <f>Risks!G33</f>
        <v>Craig Woody</v>
      </c>
      <c r="G25" s="15" t="str">
        <f>Risks!H33</f>
        <v>Labor and M&amp;S estimates low and more of each is needed to stay on schedule</v>
      </c>
      <c r="H25" s="15"/>
      <c r="I25" s="4"/>
      <c r="J25" s="19"/>
      <c r="K25" s="19"/>
      <c r="L25" s="7"/>
      <c r="M25" s="17">
        <f t="shared" si="12"/>
        <v>0</v>
      </c>
      <c r="N25" s="5">
        <f>IF(L25="",0,IF(L25&lt;=SelectionCriteria!$G$5,1, IF(L25&lt;=SelectionCriteria!$G$4,2, IF(L25&lt;=SelectionCriteria!$G$3,3,4))))</f>
        <v>0</v>
      </c>
      <c r="O25" s="5">
        <f t="shared" si="13"/>
        <v>0</v>
      </c>
      <c r="P25" s="5">
        <f t="shared" si="14"/>
        <v>0</v>
      </c>
      <c r="Q25" s="3">
        <f t="shared" si="15"/>
        <v>0</v>
      </c>
      <c r="R25" s="4" t="str">
        <f t="shared" si="4"/>
        <v>Negligible</v>
      </c>
      <c r="S25" s="15"/>
      <c r="T25" s="6"/>
      <c r="U25" s="18"/>
      <c r="V25" s="6"/>
      <c r="W25" s="4"/>
      <c r="X25" s="19"/>
      <c r="Y25" s="19"/>
      <c r="Z25" s="5"/>
      <c r="AA25" s="5"/>
      <c r="AB25" s="5"/>
      <c r="AC25" s="53"/>
      <c r="AD25" s="53"/>
      <c r="AE25" s="53"/>
      <c r="AF25" s="5">
        <f t="shared" si="16"/>
        <v>0</v>
      </c>
      <c r="AG25" s="5">
        <f>IF(AA25="",0,IF(AA25&lt;=SelectionCriteria!$G$5,1, IF(AA25&lt;=SelectionCriteria!$G$4,2, IF(AA25&lt;=SelectionCriteria!$G$3,3,4))))</f>
        <v>0</v>
      </c>
      <c r="AH25" s="5">
        <f t="shared" si="17"/>
        <v>0</v>
      </c>
      <c r="AI25" s="5">
        <f t="shared" si="18"/>
        <v>0</v>
      </c>
      <c r="AJ25" s="3">
        <f t="shared" si="19"/>
        <v>0</v>
      </c>
      <c r="AK25" s="4" t="str">
        <f t="shared" si="9"/>
        <v>Negligible</v>
      </c>
      <c r="AL25" s="19"/>
      <c r="AM25" s="3">
        <f t="shared" si="20"/>
        <v>0</v>
      </c>
      <c r="AN25" s="3">
        <f t="shared" si="21"/>
        <v>0</v>
      </c>
      <c r="AO25" s="86"/>
      <c r="AP25" s="86"/>
      <c r="AQ25" s="86"/>
      <c r="AR25" s="86"/>
      <c r="AS25" s="86" t="str">
        <f>Risks!AW33</f>
        <v>Realized, PCR017 Nov 2021</v>
      </c>
      <c r="AT25" s="6"/>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row>
    <row r="26" spans="1:139" s="12" customFormat="1" ht="32.1" customHeight="1" x14ac:dyDescent="0.25">
      <c r="A26" s="3" t="str">
        <f>Risks!B34</f>
        <v>sPH_EMCal_008</v>
      </c>
      <c r="B26" s="25"/>
      <c r="C26" s="10"/>
      <c r="D26" s="18"/>
      <c r="E26" s="5"/>
      <c r="F26" s="14" t="str">
        <f>Risks!G34</f>
        <v>Craig Woody</v>
      </c>
      <c r="G26" s="15" t="str">
        <f>Risks!H34</f>
        <v>Loss of Epoxy supplier</v>
      </c>
      <c r="H26" s="15"/>
      <c r="I26" s="4"/>
      <c r="J26" s="19"/>
      <c r="K26" s="19"/>
      <c r="L26" s="7"/>
      <c r="M26" s="17">
        <f t="shared" si="12"/>
        <v>0</v>
      </c>
      <c r="N26" s="5">
        <f>IF(L26="",0,IF(L26&lt;=SelectionCriteria!$G$5,1, IF(L26&lt;=SelectionCriteria!$G$4,2, IF(L26&lt;=SelectionCriteria!$G$3,3,4))))</f>
        <v>0</v>
      </c>
      <c r="O26" s="5">
        <f t="shared" si="13"/>
        <v>0</v>
      </c>
      <c r="P26" s="5">
        <f t="shared" si="14"/>
        <v>0</v>
      </c>
      <c r="Q26" s="3">
        <f t="shared" si="15"/>
        <v>0</v>
      </c>
      <c r="R26" s="4" t="str">
        <f t="shared" si="4"/>
        <v>Negligible</v>
      </c>
      <c r="S26" s="15"/>
      <c r="T26" s="6"/>
      <c r="U26" s="18"/>
      <c r="V26" s="6"/>
      <c r="W26" s="4"/>
      <c r="X26" s="19"/>
      <c r="Y26" s="19"/>
      <c r="Z26" s="5"/>
      <c r="AA26" s="5"/>
      <c r="AB26" s="5"/>
      <c r="AC26" s="53"/>
      <c r="AD26" s="53"/>
      <c r="AE26" s="53"/>
      <c r="AF26" s="5">
        <f t="shared" si="16"/>
        <v>0</v>
      </c>
      <c r="AG26" s="5">
        <f>IF(AA26="",0,IF(AA26&lt;=SelectionCriteria!$G$5,1, IF(AA26&lt;=SelectionCriteria!$G$4,2, IF(AA26&lt;=SelectionCriteria!$G$3,3,4))))</f>
        <v>0</v>
      </c>
      <c r="AH26" s="5">
        <f t="shared" si="17"/>
        <v>0</v>
      </c>
      <c r="AI26" s="5">
        <f t="shared" si="18"/>
        <v>0</v>
      </c>
      <c r="AJ26" s="3">
        <f t="shared" si="19"/>
        <v>0</v>
      </c>
      <c r="AK26" s="4" t="str">
        <f t="shared" si="9"/>
        <v>Negligible</v>
      </c>
      <c r="AL26" s="19"/>
      <c r="AM26" s="3">
        <f t="shared" si="20"/>
        <v>0</v>
      </c>
      <c r="AN26" s="3">
        <f t="shared" si="21"/>
        <v>0</v>
      </c>
      <c r="AO26" s="86"/>
      <c r="AP26" s="86"/>
      <c r="AQ26" s="86"/>
      <c r="AR26" s="86"/>
      <c r="AS26" s="86" t="str">
        <f>Risks!AW34</f>
        <v xml:space="preserve">Retired on Feb 20 2019. Successful preproduction contract and more than one supplier identified. </v>
      </c>
      <c r="AT26" s="6"/>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row>
    <row r="27" spans="1:139" s="12" customFormat="1" ht="32.1" hidden="1" customHeight="1" x14ac:dyDescent="0.25">
      <c r="A27" s="3" t="str">
        <f>Risks!B35</f>
        <v>sPH_EMCal_009</v>
      </c>
      <c r="B27" s="25"/>
      <c r="C27" s="10"/>
      <c r="D27" s="18"/>
      <c r="E27" s="5"/>
      <c r="F27" s="14" t="str">
        <f>Risks!G35</f>
        <v>Craig Woody</v>
      </c>
      <c r="G27" s="15" t="str">
        <f>Risks!H35</f>
        <v xml:space="preserve">UIUC students not available for EMCal Fiber Assemblies
</v>
      </c>
      <c r="H27" s="15"/>
      <c r="I27" s="4"/>
      <c r="J27" s="19"/>
      <c r="K27" s="19"/>
      <c r="L27" s="7"/>
      <c r="M27" s="17">
        <f t="shared" si="12"/>
        <v>0</v>
      </c>
      <c r="N27" s="5">
        <f>IF(L27="",0,IF(L27&lt;=SelectionCriteria!$G$5,1, IF(L27&lt;=SelectionCriteria!$G$4,2, IF(L27&lt;=SelectionCriteria!$G$3,3,4))))</f>
        <v>0</v>
      </c>
      <c r="O27" s="5">
        <f t="shared" si="13"/>
        <v>0</v>
      </c>
      <c r="P27" s="5">
        <f t="shared" si="14"/>
        <v>0</v>
      </c>
      <c r="Q27" s="3">
        <f t="shared" si="15"/>
        <v>0</v>
      </c>
      <c r="R27" s="4" t="str">
        <f t="shared" si="4"/>
        <v>Negligible</v>
      </c>
      <c r="S27" s="15"/>
      <c r="T27" s="6"/>
      <c r="U27" s="18"/>
      <c r="V27" s="6"/>
      <c r="W27" s="4"/>
      <c r="X27" s="19"/>
      <c r="Y27" s="19"/>
      <c r="Z27" s="5"/>
      <c r="AA27" s="5"/>
      <c r="AB27" s="5"/>
      <c r="AC27" s="53"/>
      <c r="AD27" s="53"/>
      <c r="AE27" s="53"/>
      <c r="AF27" s="5">
        <f t="shared" si="16"/>
        <v>0</v>
      </c>
      <c r="AG27" s="5">
        <f>IF(AA27="",0,IF(AA27&lt;=SelectionCriteria!$G$5,1, IF(AA27&lt;=SelectionCriteria!$G$4,2, IF(AA27&lt;=SelectionCriteria!$G$3,3,4))))</f>
        <v>0</v>
      </c>
      <c r="AH27" s="5">
        <f t="shared" si="17"/>
        <v>0</v>
      </c>
      <c r="AI27" s="5">
        <f t="shared" si="18"/>
        <v>0</v>
      </c>
      <c r="AJ27" s="3">
        <f t="shared" si="19"/>
        <v>0</v>
      </c>
      <c r="AK27" s="4" t="str">
        <f t="shared" si="9"/>
        <v>Negligible</v>
      </c>
      <c r="AL27" s="19"/>
      <c r="AM27" s="3">
        <f t="shared" si="20"/>
        <v>0</v>
      </c>
      <c r="AN27" s="3">
        <f t="shared" si="21"/>
        <v>0</v>
      </c>
      <c r="AO27" s="86"/>
      <c r="AP27" s="86"/>
      <c r="AQ27" s="86"/>
      <c r="AR27" s="86"/>
      <c r="AS27" s="86">
        <f>Risks!AW35</f>
        <v>0</v>
      </c>
      <c r="AT27" s="6"/>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row>
    <row r="28" spans="1:139" s="12" customFormat="1" ht="32.1" hidden="1" customHeight="1" x14ac:dyDescent="0.25">
      <c r="A28" s="3" t="str">
        <f>Risks!B36</f>
        <v>sPH_EMCal_010</v>
      </c>
      <c r="B28" s="25"/>
      <c r="C28" s="10"/>
      <c r="D28" s="18"/>
      <c r="E28" s="5"/>
      <c r="F28" s="14" t="str">
        <f>Risks!G36</f>
        <v>Craig Woody</v>
      </c>
      <c r="G28" s="15" t="str">
        <f>Risks!H36</f>
        <v xml:space="preserve">UIUC students not available for EMCal Final Block Fabrication 
</v>
      </c>
      <c r="H28" s="15"/>
      <c r="I28" s="4"/>
      <c r="J28" s="19"/>
      <c r="K28" s="19"/>
      <c r="L28" s="7"/>
      <c r="M28" s="17">
        <f t="shared" si="12"/>
        <v>0</v>
      </c>
      <c r="N28" s="5">
        <f>IF(L28="",0,IF(L28&lt;=SelectionCriteria!$G$5,1, IF(L28&lt;=SelectionCriteria!$G$4,2, IF(L28&lt;=SelectionCriteria!$G$3,3,4))))</f>
        <v>0</v>
      </c>
      <c r="O28" s="5">
        <f t="shared" si="13"/>
        <v>0</v>
      </c>
      <c r="P28" s="5">
        <f t="shared" si="14"/>
        <v>0</v>
      </c>
      <c r="Q28" s="3">
        <f t="shared" si="15"/>
        <v>0</v>
      </c>
      <c r="R28" s="4" t="str">
        <f t="shared" si="4"/>
        <v>Negligible</v>
      </c>
      <c r="S28" s="15"/>
      <c r="T28" s="6"/>
      <c r="U28" s="18"/>
      <c r="V28" s="6"/>
      <c r="W28" s="4"/>
      <c r="X28" s="19"/>
      <c r="Y28" s="19"/>
      <c r="Z28" s="5"/>
      <c r="AA28" s="5"/>
      <c r="AB28" s="5"/>
      <c r="AC28" s="53"/>
      <c r="AD28" s="53"/>
      <c r="AE28" s="53"/>
      <c r="AF28" s="5">
        <f t="shared" si="16"/>
        <v>0</v>
      </c>
      <c r="AG28" s="5">
        <f>IF(AA28="",0,IF(AA28&lt;=SelectionCriteria!$G$5,1, IF(AA28&lt;=SelectionCriteria!$G$4,2, IF(AA28&lt;=SelectionCriteria!$G$3,3,4))))</f>
        <v>0</v>
      </c>
      <c r="AH28" s="5">
        <f t="shared" si="17"/>
        <v>0</v>
      </c>
      <c r="AI28" s="5">
        <f t="shared" si="18"/>
        <v>0</v>
      </c>
      <c r="AJ28" s="3">
        <f t="shared" si="19"/>
        <v>0</v>
      </c>
      <c r="AK28" s="4" t="str">
        <f t="shared" si="9"/>
        <v>Negligible</v>
      </c>
      <c r="AL28" s="19"/>
      <c r="AM28" s="3">
        <f t="shared" si="20"/>
        <v>0</v>
      </c>
      <c r="AN28" s="3">
        <f t="shared" si="21"/>
        <v>0</v>
      </c>
      <c r="AO28" s="86"/>
      <c r="AP28" s="86"/>
      <c r="AQ28" s="86"/>
      <c r="AR28" s="86"/>
      <c r="AS28" s="86">
        <f>Risks!AW36</f>
        <v>0</v>
      </c>
      <c r="AT28" s="6"/>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row>
    <row r="29" spans="1:139" s="12" customFormat="1" ht="32.1" hidden="1" customHeight="1" x14ac:dyDescent="0.25">
      <c r="A29" s="3" t="str">
        <f>Risks!B37</f>
        <v>sPH_EMCal_011</v>
      </c>
      <c r="B29" s="25"/>
      <c r="C29" s="10"/>
      <c r="D29" s="18"/>
      <c r="E29" s="5"/>
      <c r="F29" s="14" t="str">
        <f>Risks!G37</f>
        <v>Craig Woody</v>
      </c>
      <c r="G29" s="15" t="str">
        <f>Risks!H37</f>
        <v>Loss of Students for Sector testing</v>
      </c>
      <c r="H29" s="15"/>
      <c r="I29" s="4"/>
      <c r="J29" s="19"/>
      <c r="K29" s="19"/>
      <c r="L29" s="7"/>
      <c r="M29" s="17">
        <f t="shared" si="12"/>
        <v>0</v>
      </c>
      <c r="N29" s="5">
        <f>IF(L29="",0,IF(L29&lt;=SelectionCriteria!$G$5,1, IF(L29&lt;=SelectionCriteria!$G$4,2, IF(L29&lt;=SelectionCriteria!$G$3,3,4))))</f>
        <v>0</v>
      </c>
      <c r="O29" s="5">
        <f t="shared" si="13"/>
        <v>0</v>
      </c>
      <c r="P29" s="5">
        <f t="shared" si="14"/>
        <v>0</v>
      </c>
      <c r="Q29" s="3">
        <f t="shared" si="15"/>
        <v>0</v>
      </c>
      <c r="R29" s="4" t="str">
        <f t="shared" si="4"/>
        <v>Negligible</v>
      </c>
      <c r="S29" s="15"/>
      <c r="T29" s="6"/>
      <c r="U29" s="18"/>
      <c r="V29" s="6"/>
      <c r="W29" s="4"/>
      <c r="X29" s="19"/>
      <c r="Y29" s="19"/>
      <c r="Z29" s="5"/>
      <c r="AA29" s="5"/>
      <c r="AB29" s="5"/>
      <c r="AC29" s="53"/>
      <c r="AD29" s="53"/>
      <c r="AE29" s="53"/>
      <c r="AF29" s="5">
        <f t="shared" si="16"/>
        <v>0</v>
      </c>
      <c r="AG29" s="5">
        <f>IF(AA29="",0,IF(AA29&lt;=SelectionCriteria!$G$5,1, IF(AA29&lt;=SelectionCriteria!$G$4,2, IF(AA29&lt;=SelectionCriteria!$G$3,3,4))))</f>
        <v>0</v>
      </c>
      <c r="AH29" s="5">
        <f t="shared" si="17"/>
        <v>0</v>
      </c>
      <c r="AI29" s="5">
        <f t="shared" si="18"/>
        <v>0</v>
      </c>
      <c r="AJ29" s="3">
        <f t="shared" si="19"/>
        <v>0</v>
      </c>
      <c r="AK29" s="4" t="str">
        <f t="shared" si="9"/>
        <v>Negligible</v>
      </c>
      <c r="AL29" s="19"/>
      <c r="AM29" s="3">
        <f t="shared" si="20"/>
        <v>0</v>
      </c>
      <c r="AN29" s="3">
        <f t="shared" si="21"/>
        <v>0</v>
      </c>
      <c r="AO29" s="86"/>
      <c r="AP29" s="86"/>
      <c r="AQ29" s="86"/>
      <c r="AR29" s="86"/>
      <c r="AS29" s="86">
        <f>Risks!AW37</f>
        <v>0</v>
      </c>
      <c r="AT29" s="6"/>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row>
    <row r="30" spans="1:139" s="12" customFormat="1" ht="32.1" hidden="1" customHeight="1" x14ac:dyDescent="0.25">
      <c r="A30" s="3" t="str">
        <f>Risks!B41</f>
        <v>sPH_HCal_001</v>
      </c>
      <c r="B30" s="25"/>
      <c r="C30" s="10"/>
      <c r="D30" s="18"/>
      <c r="E30" s="5"/>
      <c r="F30" s="14" t="str">
        <f>Risks!G41</f>
        <v>John Lajoie</v>
      </c>
      <c r="G30" s="15" t="str">
        <f>Risks!H41</f>
        <v>Loss of scintillating tile provider (Uniplast)</v>
      </c>
      <c r="H30" s="15"/>
      <c r="I30" s="4"/>
      <c r="J30" s="19"/>
      <c r="K30" s="19"/>
      <c r="L30" s="7"/>
      <c r="M30" s="17">
        <f t="shared" si="12"/>
        <v>0</v>
      </c>
      <c r="N30" s="5">
        <f>IF(L30="",0,IF(L30&lt;=SelectionCriteria!$G$5,1, IF(L30&lt;=SelectionCriteria!$G$4,2, IF(L30&lt;=SelectionCriteria!$G$3,3,4))))</f>
        <v>0</v>
      </c>
      <c r="O30" s="5">
        <f t="shared" si="13"/>
        <v>0</v>
      </c>
      <c r="P30" s="5">
        <f t="shared" si="14"/>
        <v>0</v>
      </c>
      <c r="Q30" s="3">
        <f t="shared" si="15"/>
        <v>0</v>
      </c>
      <c r="R30" s="4" t="str">
        <f t="shared" si="4"/>
        <v>Negligible</v>
      </c>
      <c r="S30" s="15"/>
      <c r="T30" s="6"/>
      <c r="U30" s="18"/>
      <c r="V30" s="6"/>
      <c r="W30" s="4"/>
      <c r="X30" s="19"/>
      <c r="Y30" s="19"/>
      <c r="Z30" s="5"/>
      <c r="AA30" s="5"/>
      <c r="AB30" s="5"/>
      <c r="AC30" s="53"/>
      <c r="AD30" s="53"/>
      <c r="AE30" s="53"/>
      <c r="AF30" s="5">
        <f t="shared" si="16"/>
        <v>0</v>
      </c>
      <c r="AG30" s="5">
        <f>IF(AA30="",0,IF(AA30&lt;=SelectionCriteria!$G$5,1, IF(AA30&lt;=SelectionCriteria!$G$4,2, IF(AA30&lt;=SelectionCriteria!$G$3,3,4))))</f>
        <v>0</v>
      </c>
      <c r="AH30" s="5">
        <f t="shared" si="17"/>
        <v>0</v>
      </c>
      <c r="AI30" s="5">
        <f t="shared" si="18"/>
        <v>0</v>
      </c>
      <c r="AJ30" s="3">
        <f t="shared" si="19"/>
        <v>0</v>
      </c>
      <c r="AK30" s="4" t="str">
        <f t="shared" si="9"/>
        <v>Negligible</v>
      </c>
      <c r="AL30" s="19"/>
      <c r="AM30" s="3">
        <f t="shared" si="20"/>
        <v>0</v>
      </c>
      <c r="AN30" s="3">
        <f t="shared" si="21"/>
        <v>0</v>
      </c>
      <c r="AO30" s="86"/>
      <c r="AP30" s="86"/>
      <c r="AQ30" s="86"/>
      <c r="AR30" s="86"/>
      <c r="AS30" s="86" t="str">
        <f>Risks!AW41</f>
        <v>Retired December 2020.</v>
      </c>
      <c r="AT30" s="6"/>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row>
    <row r="31" spans="1:139" s="12" customFormat="1" ht="32.1" customHeight="1" x14ac:dyDescent="0.25">
      <c r="A31" s="3" t="str">
        <f>Risks!B42</f>
        <v>sPH_HCal_002</v>
      </c>
      <c r="B31" s="25"/>
      <c r="C31" s="10"/>
      <c r="D31" s="18"/>
      <c r="E31" s="5"/>
      <c r="F31" s="14" t="str">
        <f>Risks!G42</f>
        <v>John Lajoie</v>
      </c>
      <c r="G31" s="15" t="str">
        <f>Risks!H42</f>
        <v>Some pre-production scintillating tiles do not meet production specifications.</v>
      </c>
      <c r="H31" s="15"/>
      <c r="I31" s="4"/>
      <c r="J31" s="19"/>
      <c r="K31" s="19"/>
      <c r="L31" s="7"/>
      <c r="M31" s="17">
        <f t="shared" si="12"/>
        <v>0</v>
      </c>
      <c r="N31" s="5">
        <f>IF(L31="",0,IF(L31&lt;=SelectionCriteria!$G$5,1, IF(L31&lt;=SelectionCriteria!$G$4,2, IF(L31&lt;=SelectionCriteria!$G$3,3,4))))</f>
        <v>0</v>
      </c>
      <c r="O31" s="5">
        <f t="shared" si="13"/>
        <v>0</v>
      </c>
      <c r="P31" s="5">
        <f t="shared" si="14"/>
        <v>0</v>
      </c>
      <c r="Q31" s="3">
        <f t="shared" si="15"/>
        <v>0</v>
      </c>
      <c r="R31" s="4" t="str">
        <f t="shared" si="4"/>
        <v>Negligible</v>
      </c>
      <c r="S31" s="15"/>
      <c r="T31" s="6"/>
      <c r="U31" s="18"/>
      <c r="V31" s="6"/>
      <c r="W31" s="4"/>
      <c r="X31" s="19"/>
      <c r="Y31" s="19"/>
      <c r="Z31" s="5"/>
      <c r="AA31" s="5"/>
      <c r="AB31" s="5"/>
      <c r="AC31" s="53"/>
      <c r="AD31" s="53"/>
      <c r="AE31" s="53"/>
      <c r="AF31" s="5">
        <f t="shared" si="16"/>
        <v>0</v>
      </c>
      <c r="AG31" s="5">
        <f>IF(AA31="",0,IF(AA31&lt;=SelectionCriteria!$G$5,1, IF(AA31&lt;=SelectionCriteria!$G$4,2, IF(AA31&lt;=SelectionCriteria!$G$3,3,4))))</f>
        <v>0</v>
      </c>
      <c r="AH31" s="5">
        <f t="shared" si="17"/>
        <v>0</v>
      </c>
      <c r="AI31" s="5">
        <f t="shared" si="18"/>
        <v>0</v>
      </c>
      <c r="AJ31" s="3">
        <f t="shared" si="19"/>
        <v>0</v>
      </c>
      <c r="AK31" s="4" t="str">
        <f t="shared" si="9"/>
        <v>Negligible</v>
      </c>
      <c r="AL31" s="19"/>
      <c r="AM31" s="3">
        <f t="shared" si="20"/>
        <v>0</v>
      </c>
      <c r="AN31" s="3">
        <f t="shared" si="21"/>
        <v>0</v>
      </c>
      <c r="AO31" s="86"/>
      <c r="AP31" s="86"/>
      <c r="AQ31" s="86"/>
      <c r="AR31" s="86"/>
      <c r="AS31" s="86" t="str">
        <f>Risks!AW42</f>
        <v>Retired Apr 3 2019.</v>
      </c>
      <c r="AT31" s="6"/>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row>
    <row r="32" spans="1:139" s="12" customFormat="1" ht="32.1" hidden="1" customHeight="1" x14ac:dyDescent="0.25">
      <c r="A32" s="3" t="str">
        <f>Risks!B43</f>
        <v>sPH_HCal_003</v>
      </c>
      <c r="B32" s="25"/>
      <c r="C32" s="10"/>
      <c r="D32" s="18"/>
      <c r="E32" s="5"/>
      <c r="F32" s="14" t="str">
        <f>Risks!G43</f>
        <v>John Lajoie</v>
      </c>
      <c r="G32" s="15" t="str">
        <f>Risks!H43</f>
        <v>Georgia State U Staff and/or Students Not Available for HCal scin. tiles testing</v>
      </c>
      <c r="H32" s="15"/>
      <c r="I32" s="4"/>
      <c r="J32" s="19"/>
      <c r="K32" s="19"/>
      <c r="L32" s="7"/>
      <c r="M32" s="17">
        <f t="shared" si="12"/>
        <v>0</v>
      </c>
      <c r="N32" s="5">
        <f>IF(L32="",0,IF(L32&lt;=SelectionCriteria!$G$5,1, IF(L32&lt;=SelectionCriteria!$G$4,2, IF(L32&lt;=SelectionCriteria!$G$3,3,4))))</f>
        <v>0</v>
      </c>
      <c r="O32" s="5">
        <f t="shared" si="13"/>
        <v>0</v>
      </c>
      <c r="P32" s="5">
        <f t="shared" si="14"/>
        <v>0</v>
      </c>
      <c r="Q32" s="3">
        <f t="shared" si="15"/>
        <v>0</v>
      </c>
      <c r="R32" s="4" t="str">
        <f t="shared" si="4"/>
        <v>Negligible</v>
      </c>
      <c r="S32" s="15"/>
      <c r="T32" s="6"/>
      <c r="U32" s="18"/>
      <c r="V32" s="6"/>
      <c r="W32" s="4"/>
      <c r="X32" s="19"/>
      <c r="Y32" s="19"/>
      <c r="Z32" s="5"/>
      <c r="AA32" s="5"/>
      <c r="AB32" s="5"/>
      <c r="AC32" s="53"/>
      <c r="AD32" s="53"/>
      <c r="AE32" s="53"/>
      <c r="AF32" s="5">
        <f t="shared" si="16"/>
        <v>0</v>
      </c>
      <c r="AG32" s="5">
        <f>IF(AA32="",0,IF(AA32&lt;=SelectionCriteria!$G$5,1, IF(AA32&lt;=SelectionCriteria!$G$4,2, IF(AA32&lt;=SelectionCriteria!$G$3,3,4))))</f>
        <v>0</v>
      </c>
      <c r="AH32" s="5">
        <f t="shared" si="17"/>
        <v>0</v>
      </c>
      <c r="AI32" s="5">
        <f t="shared" si="18"/>
        <v>0</v>
      </c>
      <c r="AJ32" s="3">
        <f t="shared" si="19"/>
        <v>0</v>
      </c>
      <c r="AK32" s="4" t="str">
        <f t="shared" si="9"/>
        <v>Negligible</v>
      </c>
      <c r="AL32" s="19"/>
      <c r="AM32" s="3">
        <f t="shared" si="20"/>
        <v>0</v>
      </c>
      <c r="AN32" s="3">
        <f t="shared" si="21"/>
        <v>0</v>
      </c>
      <c r="AO32" s="86"/>
      <c r="AP32" s="86"/>
      <c r="AQ32" s="86"/>
      <c r="AR32" s="86"/>
      <c r="AS32" s="86" t="str">
        <f>Risks!AW43</f>
        <v>Retired December 2020.</v>
      </c>
      <c r="AT32" s="6"/>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row>
    <row r="33" spans="1:139" s="12" customFormat="1" ht="32.1" hidden="1" customHeight="1" x14ac:dyDescent="0.25">
      <c r="A33" s="3" t="str">
        <f>Risks!B44</f>
        <v>sPH_HCal_004</v>
      </c>
      <c r="B33" s="25"/>
      <c r="C33" s="10"/>
      <c r="D33" s="18"/>
      <c r="E33" s="5"/>
      <c r="F33" s="14" t="str">
        <f>Risks!G44</f>
        <v>John Lajoie</v>
      </c>
      <c r="G33" s="15" t="str">
        <f>Risks!H44</f>
        <v>Georgia State U Staff and/or Students Not Available for HCal sector assembly and testing</v>
      </c>
      <c r="H33" s="15"/>
      <c r="I33" s="4"/>
      <c r="J33" s="19"/>
      <c r="K33" s="19"/>
      <c r="L33" s="7"/>
      <c r="M33" s="17">
        <f t="shared" si="12"/>
        <v>0</v>
      </c>
      <c r="N33" s="5">
        <f>IF(L33="",0,IF(L33&lt;=SelectionCriteria!$G$5,1, IF(L33&lt;=SelectionCriteria!$G$4,2, IF(L33&lt;=SelectionCriteria!$G$3,3,4))))</f>
        <v>0</v>
      </c>
      <c r="O33" s="5">
        <f t="shared" si="13"/>
        <v>0</v>
      </c>
      <c r="P33" s="5">
        <f t="shared" si="14"/>
        <v>0</v>
      </c>
      <c r="Q33" s="3">
        <f t="shared" si="15"/>
        <v>0</v>
      </c>
      <c r="R33" s="4" t="str">
        <f t="shared" si="4"/>
        <v>Negligible</v>
      </c>
      <c r="S33" s="15"/>
      <c r="T33" s="6"/>
      <c r="U33" s="18"/>
      <c r="V33" s="6"/>
      <c r="W33" s="4"/>
      <c r="X33" s="19"/>
      <c r="Y33" s="19"/>
      <c r="Z33" s="5"/>
      <c r="AA33" s="5"/>
      <c r="AB33" s="5"/>
      <c r="AC33" s="53"/>
      <c r="AD33" s="53"/>
      <c r="AE33" s="53"/>
      <c r="AF33" s="5">
        <f t="shared" si="16"/>
        <v>0</v>
      </c>
      <c r="AG33" s="5">
        <f>IF(AA33="",0,IF(AA33&lt;=SelectionCriteria!$G$5,1, IF(AA33&lt;=SelectionCriteria!$G$4,2, IF(AA33&lt;=SelectionCriteria!$G$3,3,4))))</f>
        <v>0</v>
      </c>
      <c r="AH33" s="5">
        <f t="shared" si="17"/>
        <v>0</v>
      </c>
      <c r="AI33" s="5">
        <f t="shared" si="18"/>
        <v>0</v>
      </c>
      <c r="AJ33" s="3">
        <f t="shared" si="19"/>
        <v>0</v>
      </c>
      <c r="AK33" s="4" t="str">
        <f t="shared" si="9"/>
        <v>Negligible</v>
      </c>
      <c r="AL33" s="19"/>
      <c r="AM33" s="3">
        <f t="shared" si="20"/>
        <v>0</v>
      </c>
      <c r="AN33" s="3">
        <f t="shared" si="21"/>
        <v>0</v>
      </c>
      <c r="AO33" s="86"/>
      <c r="AP33" s="86"/>
      <c r="AQ33" s="86"/>
      <c r="AR33" s="86"/>
      <c r="AS33" s="86" t="str">
        <f>Risks!AW44</f>
        <v>Retired March 2021. Hcal Sector assembly is complete.</v>
      </c>
      <c r="AT33" s="6"/>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row>
    <row r="34" spans="1:139" s="12" customFormat="1" ht="32.1" customHeight="1" x14ac:dyDescent="0.25">
      <c r="A34" s="3" t="str">
        <f>Risks!B46</f>
        <v>sPH_CalEl_001</v>
      </c>
      <c r="B34" s="25"/>
      <c r="C34" s="10"/>
      <c r="D34" s="18"/>
      <c r="E34" s="5"/>
      <c r="F34" s="14" t="str">
        <f>Risks!G46</f>
        <v>Eric Mannel</v>
      </c>
      <c r="G34" s="15" t="str">
        <f>Risks!H46</f>
        <v>Delay in SiPM Delivery</v>
      </c>
      <c r="H34" s="15"/>
      <c r="I34" s="4"/>
      <c r="J34" s="19"/>
      <c r="K34" s="19"/>
      <c r="L34" s="7"/>
      <c r="M34" s="17">
        <f t="shared" si="12"/>
        <v>0</v>
      </c>
      <c r="N34" s="5">
        <f>IF(L34="",0,IF(L34&lt;=SelectionCriteria!$G$5,1, IF(L34&lt;=SelectionCriteria!$G$4,2, IF(L34&lt;=SelectionCriteria!$G$3,3,4))))</f>
        <v>0</v>
      </c>
      <c r="O34" s="5">
        <f t="shared" si="13"/>
        <v>0</v>
      </c>
      <c r="P34" s="5">
        <f t="shared" si="14"/>
        <v>0</v>
      </c>
      <c r="Q34" s="3">
        <f t="shared" si="15"/>
        <v>0</v>
      </c>
      <c r="R34" s="4" t="str">
        <f t="shared" si="4"/>
        <v>Negligible</v>
      </c>
      <c r="S34" s="15"/>
      <c r="T34" s="6"/>
      <c r="U34" s="18"/>
      <c r="V34" s="6"/>
      <c r="W34" s="4"/>
      <c r="X34" s="19"/>
      <c r="Y34" s="19"/>
      <c r="Z34" s="5"/>
      <c r="AA34" s="5"/>
      <c r="AB34" s="5"/>
      <c r="AC34" s="53"/>
      <c r="AD34" s="53"/>
      <c r="AE34" s="53"/>
      <c r="AF34" s="5">
        <f t="shared" si="16"/>
        <v>0</v>
      </c>
      <c r="AG34" s="5">
        <f>IF(AA34="",0,IF(AA34&lt;=SelectionCriteria!$G$5,1, IF(AA34&lt;=SelectionCriteria!$G$4,2, IF(AA34&lt;=SelectionCriteria!$G$3,3,4))))</f>
        <v>0</v>
      </c>
      <c r="AH34" s="5">
        <f t="shared" si="17"/>
        <v>0</v>
      </c>
      <c r="AI34" s="5">
        <f t="shared" si="18"/>
        <v>0</v>
      </c>
      <c r="AJ34" s="3">
        <f t="shared" si="19"/>
        <v>0</v>
      </c>
      <c r="AK34" s="4" t="str">
        <f t="shared" si="9"/>
        <v>Negligible</v>
      </c>
      <c r="AL34" s="19"/>
      <c r="AM34" s="3">
        <f t="shared" si="20"/>
        <v>0</v>
      </c>
      <c r="AN34" s="3">
        <f t="shared" si="21"/>
        <v>0</v>
      </c>
      <c r="AO34" s="86"/>
      <c r="AP34" s="86"/>
      <c r="AQ34" s="86"/>
      <c r="AR34" s="86"/>
      <c r="AS34" s="86" t="str">
        <f>Risks!AW46</f>
        <v>Retired on Jan 31 2019
Risk did not realize.
Contract placed Sep 18  2018 (PO  )</v>
      </c>
      <c r="AT34" s="6"/>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row>
    <row r="35" spans="1:139" s="12" customFormat="1" ht="32.1" customHeight="1" x14ac:dyDescent="0.25">
      <c r="A35" s="3" t="str">
        <f>Risks!B47</f>
        <v>sPH_CalEl_001_a</v>
      </c>
      <c r="B35" s="25"/>
      <c r="C35" s="10"/>
      <c r="D35" s="18"/>
      <c r="E35" s="5"/>
      <c r="F35" s="14" t="str">
        <f>Risks!G47</f>
        <v>Eric Mannel</v>
      </c>
      <c r="G35" s="15" t="str">
        <f>Risks!H47</f>
        <v>Delay in SiPM Delivery</v>
      </c>
      <c r="H35" s="15"/>
      <c r="I35" s="4"/>
      <c r="J35" s="19"/>
      <c r="K35" s="19"/>
      <c r="L35" s="7"/>
      <c r="M35" s="17">
        <f t="shared" si="12"/>
        <v>0</v>
      </c>
      <c r="N35" s="5">
        <f>IF(L35="",0,IF(L35&lt;=SelectionCriteria!$G$5,1, IF(L35&lt;=SelectionCriteria!$G$4,2, IF(L35&lt;=SelectionCriteria!$G$3,3,4))))</f>
        <v>0</v>
      </c>
      <c r="O35" s="5">
        <f t="shared" si="13"/>
        <v>0</v>
      </c>
      <c r="P35" s="5">
        <f t="shared" si="14"/>
        <v>0</v>
      </c>
      <c r="Q35" s="3">
        <f t="shared" si="15"/>
        <v>0</v>
      </c>
      <c r="R35" s="4" t="str">
        <f t="shared" si="4"/>
        <v>Negligible</v>
      </c>
      <c r="S35" s="15"/>
      <c r="T35" s="6"/>
      <c r="U35" s="18"/>
      <c r="V35" s="6"/>
      <c r="W35" s="4"/>
      <c r="X35" s="19"/>
      <c r="Y35" s="19"/>
      <c r="Z35" s="5"/>
      <c r="AA35" s="5"/>
      <c r="AB35" s="5"/>
      <c r="AC35" s="53"/>
      <c r="AD35" s="53"/>
      <c r="AE35" s="53"/>
      <c r="AF35" s="5">
        <f t="shared" si="16"/>
        <v>0</v>
      </c>
      <c r="AG35" s="5">
        <f>IF(AA35="",0,IF(AA35&lt;=SelectionCriteria!$G$5,1, IF(AA35&lt;=SelectionCriteria!$G$4,2, IF(AA35&lt;=SelectionCriteria!$G$3,3,4))))</f>
        <v>0</v>
      </c>
      <c r="AH35" s="5">
        <f t="shared" si="17"/>
        <v>0</v>
      </c>
      <c r="AI35" s="5">
        <f t="shared" si="18"/>
        <v>0</v>
      </c>
      <c r="AJ35" s="3">
        <f t="shared" si="19"/>
        <v>0</v>
      </c>
      <c r="AK35" s="4" t="str">
        <f t="shared" si="9"/>
        <v>Negligible</v>
      </c>
      <c r="AL35" s="19"/>
      <c r="AM35" s="3">
        <f t="shared" si="20"/>
        <v>0</v>
      </c>
      <c r="AN35" s="3">
        <f t="shared" si="21"/>
        <v>0</v>
      </c>
      <c r="AO35" s="86"/>
      <c r="AP35" s="86"/>
      <c r="AQ35" s="86"/>
      <c r="AR35" s="86"/>
      <c r="AS35" s="86" t="str">
        <f>Risks!AW47</f>
        <v>Retired on Jan 31 2019 Risk did not realize. Contract placed Sep 18  2018</v>
      </c>
      <c r="AT35" s="6"/>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row>
    <row r="36" spans="1:139" s="12" customFormat="1" ht="32.1" customHeight="1" x14ac:dyDescent="0.25">
      <c r="A36" s="3" t="str">
        <f>Risks!B48</f>
        <v>sPH_CalEl_002</v>
      </c>
      <c r="B36" s="25"/>
      <c r="C36" s="10"/>
      <c r="D36" s="18"/>
      <c r="E36" s="5"/>
      <c r="F36" s="14" t="str">
        <f>Risks!G48</f>
        <v>Eric Mannel</v>
      </c>
      <c r="G36" s="15" t="str">
        <f>Risks!H48</f>
        <v>Delay in testing of SiPMs</v>
      </c>
      <c r="H36" s="15"/>
      <c r="I36" s="4"/>
      <c r="J36" s="19"/>
      <c r="K36" s="19"/>
      <c r="L36" s="7"/>
      <c r="M36" s="17">
        <f t="shared" si="12"/>
        <v>0</v>
      </c>
      <c r="N36" s="5">
        <f>IF(L36="",0,IF(L36&lt;=SelectionCriteria!$G$5,1, IF(L36&lt;=SelectionCriteria!$G$4,2, IF(L36&lt;=SelectionCriteria!$G$3,3,4))))</f>
        <v>0</v>
      </c>
      <c r="O36" s="5">
        <f t="shared" si="13"/>
        <v>0</v>
      </c>
      <c r="P36" s="5">
        <f t="shared" si="14"/>
        <v>0</v>
      </c>
      <c r="Q36" s="3">
        <f t="shared" si="15"/>
        <v>0</v>
      </c>
      <c r="R36" s="4" t="str">
        <f t="shared" si="4"/>
        <v>Negligible</v>
      </c>
      <c r="S36" s="15"/>
      <c r="T36" s="6"/>
      <c r="U36" s="18"/>
      <c r="V36" s="6"/>
      <c r="W36" s="4"/>
      <c r="X36" s="19"/>
      <c r="Y36" s="19"/>
      <c r="Z36" s="5"/>
      <c r="AA36" s="5"/>
      <c r="AB36" s="5"/>
      <c r="AC36" s="53"/>
      <c r="AD36" s="53"/>
      <c r="AE36" s="53"/>
      <c r="AF36" s="5">
        <f t="shared" si="16"/>
        <v>0</v>
      </c>
      <c r="AG36" s="5">
        <f>IF(AA36="",0,IF(AA36&lt;=SelectionCriteria!$G$5,1, IF(AA36&lt;=SelectionCriteria!$G$4,2, IF(AA36&lt;=SelectionCriteria!$G$3,3,4))))</f>
        <v>0</v>
      </c>
      <c r="AH36" s="5">
        <f t="shared" si="17"/>
        <v>0</v>
      </c>
      <c r="AI36" s="5">
        <f t="shared" si="18"/>
        <v>0</v>
      </c>
      <c r="AJ36" s="3">
        <f t="shared" si="19"/>
        <v>0</v>
      </c>
      <c r="AK36" s="4" t="str">
        <f t="shared" si="9"/>
        <v>Negligible</v>
      </c>
      <c r="AL36" s="19"/>
      <c r="AM36" s="3">
        <f t="shared" si="20"/>
        <v>0</v>
      </c>
      <c r="AN36" s="3">
        <f t="shared" si="21"/>
        <v>0</v>
      </c>
      <c r="AO36" s="86"/>
      <c r="AP36" s="86"/>
      <c r="AQ36" s="86"/>
      <c r="AR36" s="86"/>
      <c r="AS36" s="86" t="str">
        <f>Risks!AW48</f>
        <v>Retired on Jan 31 2019 Risk did not realize. Contract placed Sep 18  2018</v>
      </c>
      <c r="AT36" s="6"/>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row>
    <row r="37" spans="1:139" s="12" customFormat="1" ht="32.1" customHeight="1" x14ac:dyDescent="0.25">
      <c r="A37" s="3" t="str">
        <f>Risks!B49</f>
        <v>sPH_CalEl_003</v>
      </c>
      <c r="B37" s="25"/>
      <c r="C37" s="10"/>
      <c r="D37" s="18"/>
      <c r="E37" s="5"/>
      <c r="F37" s="14" t="str">
        <f>Risks!G49</f>
        <v>Eric Mannel</v>
      </c>
      <c r="G37" s="15" t="str">
        <f>Risks!H49</f>
        <v>Delay in Assembly of HCal Daughter boards, Preamps, Interface boards, LED Drivers</v>
      </c>
      <c r="H37" s="15"/>
      <c r="I37" s="4"/>
      <c r="J37" s="19"/>
      <c r="K37" s="19"/>
      <c r="L37" s="7"/>
      <c r="M37" s="17">
        <f t="shared" si="12"/>
        <v>0</v>
      </c>
      <c r="N37" s="5">
        <f>IF(L37="",0,IF(L37&lt;=SelectionCriteria!$G$5,1, IF(L37&lt;=SelectionCriteria!$G$4,2, IF(L37&lt;=SelectionCriteria!$G$3,3,4))))</f>
        <v>0</v>
      </c>
      <c r="O37" s="5">
        <f t="shared" si="13"/>
        <v>0</v>
      </c>
      <c r="P37" s="5">
        <f t="shared" si="14"/>
        <v>0</v>
      </c>
      <c r="Q37" s="3">
        <f t="shared" si="15"/>
        <v>0</v>
      </c>
      <c r="R37" s="4" t="str">
        <f t="shared" si="4"/>
        <v>Negligible</v>
      </c>
      <c r="S37" s="15"/>
      <c r="T37" s="6"/>
      <c r="U37" s="18"/>
      <c r="V37" s="6"/>
      <c r="W37" s="4"/>
      <c r="X37" s="19"/>
      <c r="Y37" s="19"/>
      <c r="Z37" s="5"/>
      <c r="AA37" s="5"/>
      <c r="AB37" s="5"/>
      <c r="AC37" s="53"/>
      <c r="AD37" s="53"/>
      <c r="AE37" s="53"/>
      <c r="AF37" s="5">
        <f t="shared" si="16"/>
        <v>0</v>
      </c>
      <c r="AG37" s="5">
        <f>IF(AA37="",0,IF(AA37&lt;=SelectionCriteria!$G$5,1, IF(AA37&lt;=SelectionCriteria!$G$4,2, IF(AA37&lt;=SelectionCriteria!$G$3,3,4))))</f>
        <v>0</v>
      </c>
      <c r="AH37" s="5">
        <f t="shared" si="17"/>
        <v>0</v>
      </c>
      <c r="AI37" s="5">
        <f t="shared" si="18"/>
        <v>0</v>
      </c>
      <c r="AJ37" s="3">
        <f t="shared" si="19"/>
        <v>0</v>
      </c>
      <c r="AK37" s="4" t="str">
        <f t="shared" si="9"/>
        <v>Negligible</v>
      </c>
      <c r="AL37" s="19"/>
      <c r="AM37" s="3">
        <f t="shared" si="20"/>
        <v>0</v>
      </c>
      <c r="AN37" s="3">
        <f t="shared" si="21"/>
        <v>0</v>
      </c>
      <c r="AO37" s="86"/>
      <c r="AP37" s="86"/>
      <c r="AQ37" s="86"/>
      <c r="AR37" s="86"/>
      <c r="AS37" s="86" t="str">
        <f>Risks!AW49</f>
        <v>Retired on Jan 31 2019 Risk did not realize. Contract placed Sep 18  2018 (PO  )</v>
      </c>
      <c r="AT37" s="6"/>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row>
    <row r="38" spans="1:139" s="12" customFormat="1" ht="32.1" customHeight="1" x14ac:dyDescent="0.25">
      <c r="A38" s="3" t="str">
        <f>Risks!B50</f>
        <v>sPH_CalEl_004</v>
      </c>
      <c r="B38" s="25"/>
      <c r="C38" s="10"/>
      <c r="D38" s="18"/>
      <c r="E38" s="5"/>
      <c r="F38" s="14" t="str">
        <f>Risks!G50</f>
        <v>Eric Mannel</v>
      </c>
      <c r="G38" s="15" t="str">
        <f>Risks!H50</f>
        <v>Delay in assembly of EMCal Daughter boards, Preamps or Interface boards</v>
      </c>
      <c r="H38" s="15"/>
      <c r="I38" s="4"/>
      <c r="J38" s="19"/>
      <c r="K38" s="19"/>
      <c r="L38" s="7"/>
      <c r="M38" s="17">
        <f t="shared" si="12"/>
        <v>0</v>
      </c>
      <c r="N38" s="5">
        <f>IF(L38="",0,IF(L38&lt;=SelectionCriteria!$G$5,1, IF(L38&lt;=SelectionCriteria!$G$4,2, IF(L38&lt;=SelectionCriteria!$G$3,3,4))))</f>
        <v>0</v>
      </c>
      <c r="O38" s="5">
        <f t="shared" si="13"/>
        <v>0</v>
      </c>
      <c r="P38" s="5">
        <f t="shared" si="14"/>
        <v>0</v>
      </c>
      <c r="Q38" s="3">
        <f t="shared" si="15"/>
        <v>0</v>
      </c>
      <c r="R38" s="4" t="str">
        <f t="shared" si="4"/>
        <v>Negligible</v>
      </c>
      <c r="S38" s="15"/>
      <c r="T38" s="6"/>
      <c r="U38" s="18"/>
      <c r="V38" s="6"/>
      <c r="W38" s="4"/>
      <c r="X38" s="19"/>
      <c r="Y38" s="19"/>
      <c r="Z38" s="5"/>
      <c r="AA38" s="5"/>
      <c r="AB38" s="5"/>
      <c r="AC38" s="53"/>
      <c r="AD38" s="53"/>
      <c r="AE38" s="53"/>
      <c r="AF38" s="5">
        <f t="shared" si="16"/>
        <v>0</v>
      </c>
      <c r="AG38" s="5">
        <f>IF(AA38="",0,IF(AA38&lt;=SelectionCriteria!$G$5,1, IF(AA38&lt;=SelectionCriteria!$G$4,2, IF(AA38&lt;=SelectionCriteria!$G$3,3,4))))</f>
        <v>0</v>
      </c>
      <c r="AH38" s="5">
        <f t="shared" si="17"/>
        <v>0</v>
      </c>
      <c r="AI38" s="5">
        <f t="shared" si="18"/>
        <v>0</v>
      </c>
      <c r="AJ38" s="3">
        <f t="shared" si="19"/>
        <v>0</v>
      </c>
      <c r="AK38" s="4" t="str">
        <f t="shared" si="9"/>
        <v>Negligible</v>
      </c>
      <c r="AL38" s="19"/>
      <c r="AM38" s="3">
        <f t="shared" si="20"/>
        <v>0</v>
      </c>
      <c r="AN38" s="3">
        <f t="shared" si="21"/>
        <v>0</v>
      </c>
      <c r="AO38" s="86"/>
      <c r="AP38" s="86"/>
      <c r="AQ38" s="86"/>
      <c r="AR38" s="86"/>
      <c r="AS38" s="86" t="str">
        <f>Risks!AW49</f>
        <v>Retired on Jan 31 2019 Risk did not realize. Contract placed Sep 18  2018 (PO  )</v>
      </c>
      <c r="AT38" s="6"/>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row>
    <row r="39" spans="1:139" s="12" customFormat="1" ht="32.1" customHeight="1" x14ac:dyDescent="0.25">
      <c r="A39" s="3" t="str">
        <f>Risks!B51</f>
        <v>sPH_CalEl_005</v>
      </c>
      <c r="B39" s="25"/>
      <c r="C39" s="10"/>
      <c r="D39" s="18"/>
      <c r="E39" s="5"/>
      <c r="F39" s="14" t="str">
        <f>Risks!G51</f>
        <v>Eric Mannel</v>
      </c>
      <c r="G39" s="15" t="str">
        <f>Risks!H51</f>
        <v>Foreign Procurement of SiPMs</v>
      </c>
      <c r="H39" s="15"/>
      <c r="I39" s="4"/>
      <c r="J39" s="19"/>
      <c r="K39" s="19"/>
      <c r="L39" s="7"/>
      <c r="M39" s="17">
        <f t="shared" si="12"/>
        <v>0</v>
      </c>
      <c r="N39" s="5">
        <f>IF(L39="",0,IF(L39&lt;=SelectionCriteria!$G$5,1, IF(L39&lt;=SelectionCriteria!$G$4,2, IF(L39&lt;=SelectionCriteria!$G$3,3,4))))</f>
        <v>0</v>
      </c>
      <c r="O39" s="5">
        <f t="shared" si="13"/>
        <v>0</v>
      </c>
      <c r="P39" s="5">
        <f t="shared" si="14"/>
        <v>0</v>
      </c>
      <c r="Q39" s="3">
        <f t="shared" si="15"/>
        <v>0</v>
      </c>
      <c r="R39" s="4" t="str">
        <f t="shared" si="4"/>
        <v>Negligible</v>
      </c>
      <c r="S39" s="15"/>
      <c r="T39" s="6"/>
      <c r="U39" s="18"/>
      <c r="V39" s="6"/>
      <c r="W39" s="4"/>
      <c r="X39" s="19"/>
      <c r="Y39" s="19"/>
      <c r="Z39" s="5"/>
      <c r="AA39" s="5"/>
      <c r="AB39" s="5"/>
      <c r="AC39" s="53"/>
      <c r="AD39" s="53"/>
      <c r="AE39" s="53"/>
      <c r="AF39" s="5">
        <f t="shared" si="16"/>
        <v>0</v>
      </c>
      <c r="AG39" s="5">
        <f>IF(AA39="",0,IF(AA39&lt;=SelectionCriteria!$G$5,1, IF(AA39&lt;=SelectionCriteria!$G$4,2, IF(AA39&lt;=SelectionCriteria!$G$3,3,4))))</f>
        <v>0</v>
      </c>
      <c r="AH39" s="5">
        <f t="shared" si="17"/>
        <v>0</v>
      </c>
      <c r="AI39" s="5">
        <f t="shared" si="18"/>
        <v>0</v>
      </c>
      <c r="AJ39" s="3">
        <f t="shared" si="19"/>
        <v>0</v>
      </c>
      <c r="AK39" s="4" t="str">
        <f t="shared" si="9"/>
        <v>Negligible</v>
      </c>
      <c r="AL39" s="19"/>
      <c r="AM39" s="3">
        <f t="shared" si="20"/>
        <v>0</v>
      </c>
      <c r="AN39" s="3">
        <f t="shared" si="21"/>
        <v>0</v>
      </c>
      <c r="AO39" s="86"/>
      <c r="AP39" s="86"/>
      <c r="AQ39" s="86"/>
      <c r="AR39" s="86"/>
      <c r="AS39" s="86" t="str">
        <f>Risks!AW51</f>
        <v>Retired Jan 31 2019 Risk did not realize. Order with Hamamatsu has been placed, foreign vendor uncertainty no longer applies.</v>
      </c>
      <c r="AT39" s="6"/>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row>
    <row r="40" spans="1:139" s="12" customFormat="1" ht="32.1" customHeight="1" x14ac:dyDescent="0.25">
      <c r="A40" s="3" t="str">
        <f>Risks!B52</f>
        <v>sPH_CalEl_006</v>
      </c>
      <c r="B40" s="25"/>
      <c r="C40" s="10"/>
      <c r="D40" s="18"/>
      <c r="E40" s="5"/>
      <c r="F40" s="14" t="str">
        <f>Risks!G52</f>
        <v>Eric Mannel</v>
      </c>
      <c r="G40" s="15" t="str">
        <f>Risks!H52</f>
        <v>Hamamatsu declines to bid/Alternative vendor</v>
      </c>
      <c r="H40" s="15"/>
      <c r="I40" s="4"/>
      <c r="J40" s="19"/>
      <c r="K40" s="19"/>
      <c r="L40" s="7"/>
      <c r="M40" s="17">
        <f t="shared" si="12"/>
        <v>0</v>
      </c>
      <c r="N40" s="5">
        <f>IF(L40="",0,IF(L40&lt;=SelectionCriteria!$G$5,1, IF(L40&lt;=SelectionCriteria!$G$4,2, IF(L40&lt;=SelectionCriteria!$G$3,3,4))))</f>
        <v>0</v>
      </c>
      <c r="O40" s="5">
        <f t="shared" si="13"/>
        <v>0</v>
      </c>
      <c r="P40" s="5">
        <f t="shared" si="14"/>
        <v>0</v>
      </c>
      <c r="Q40" s="3">
        <f t="shared" si="15"/>
        <v>0</v>
      </c>
      <c r="R40" s="4" t="str">
        <f t="shared" si="4"/>
        <v>Negligible</v>
      </c>
      <c r="S40" s="15"/>
      <c r="T40" s="6"/>
      <c r="U40" s="18"/>
      <c r="V40" s="6"/>
      <c r="W40" s="4"/>
      <c r="X40" s="19"/>
      <c r="Y40" s="19"/>
      <c r="Z40" s="5"/>
      <c r="AA40" s="5"/>
      <c r="AB40" s="5"/>
      <c r="AC40" s="53"/>
      <c r="AD40" s="53"/>
      <c r="AE40" s="53"/>
      <c r="AF40" s="5">
        <f t="shared" si="16"/>
        <v>0</v>
      </c>
      <c r="AG40" s="5">
        <f>IF(AA40="",0,IF(AA40&lt;=SelectionCriteria!$G$5,1, IF(AA40&lt;=SelectionCriteria!$G$4,2, IF(AA40&lt;=SelectionCriteria!$G$3,3,4))))</f>
        <v>0</v>
      </c>
      <c r="AH40" s="5">
        <f t="shared" si="17"/>
        <v>0</v>
      </c>
      <c r="AI40" s="5">
        <f t="shared" si="18"/>
        <v>0</v>
      </c>
      <c r="AJ40" s="3">
        <f t="shared" si="19"/>
        <v>0</v>
      </c>
      <c r="AK40" s="4" t="str">
        <f t="shared" si="9"/>
        <v>Negligible</v>
      </c>
      <c r="AL40" s="19"/>
      <c r="AM40" s="3">
        <f t="shared" si="20"/>
        <v>0</v>
      </c>
      <c r="AN40" s="3">
        <f t="shared" si="21"/>
        <v>0</v>
      </c>
      <c r="AO40" s="86"/>
      <c r="AP40" s="86"/>
      <c r="AQ40" s="86"/>
      <c r="AR40" s="86"/>
      <c r="AS40" s="86" t="str">
        <f>Risks!AW52</f>
        <v>Retired Jan 31 2019 Risk did not realize. Order with Hamamatsu has been placed.</v>
      </c>
      <c r="AT40" s="6"/>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row>
    <row r="41" spans="1:139" s="12" customFormat="1" ht="32.1" customHeight="1" x14ac:dyDescent="0.25">
      <c r="A41" s="3" t="str">
        <f>Risks!B53</f>
        <v>sPH_CalEl_007</v>
      </c>
      <c r="B41" s="25"/>
      <c r="C41" s="10"/>
      <c r="D41" s="18"/>
      <c r="E41" s="5"/>
      <c r="F41" s="14" t="str">
        <f>Risks!G53</f>
        <v>Eric Mannel</v>
      </c>
      <c r="G41" s="15" t="str">
        <f>Risks!H53</f>
        <v>U. Michigan Staff and/or Students Unavailable (Cal FEE/SiPM)</v>
      </c>
      <c r="H41" s="15"/>
      <c r="I41" s="4"/>
      <c r="J41" s="19"/>
      <c r="K41" s="19"/>
      <c r="L41" s="7"/>
      <c r="M41" s="17">
        <f t="shared" si="12"/>
        <v>0</v>
      </c>
      <c r="N41" s="5">
        <f>IF(L41="",0,IF(L41&lt;=SelectionCriteria!$G$5,1, IF(L41&lt;=SelectionCriteria!$G$4,2, IF(L41&lt;=SelectionCriteria!$G$3,3,4))))</f>
        <v>0</v>
      </c>
      <c r="O41" s="5">
        <f t="shared" si="13"/>
        <v>0</v>
      </c>
      <c r="P41" s="5">
        <f t="shared" si="14"/>
        <v>0</v>
      </c>
      <c r="Q41" s="3">
        <f t="shared" si="15"/>
        <v>0</v>
      </c>
      <c r="R41" s="4" t="str">
        <f t="shared" si="4"/>
        <v>Negligible</v>
      </c>
      <c r="S41" s="15"/>
      <c r="T41" s="6"/>
      <c r="U41" s="18"/>
      <c r="V41" s="6"/>
      <c r="W41" s="4"/>
      <c r="X41" s="19"/>
      <c r="Y41" s="19"/>
      <c r="Z41" s="5"/>
      <c r="AA41" s="5"/>
      <c r="AB41" s="5"/>
      <c r="AC41" s="53"/>
      <c r="AD41" s="53"/>
      <c r="AE41" s="53"/>
      <c r="AF41" s="5">
        <f t="shared" si="16"/>
        <v>0</v>
      </c>
      <c r="AG41" s="5">
        <f>IF(AA41="",0,IF(AA41&lt;=SelectionCriteria!$G$5,1, IF(AA41&lt;=SelectionCriteria!$G$4,2, IF(AA41&lt;=SelectionCriteria!$G$3,3,4))))</f>
        <v>0</v>
      </c>
      <c r="AH41" s="5">
        <f t="shared" si="17"/>
        <v>0</v>
      </c>
      <c r="AI41" s="5">
        <f t="shared" si="18"/>
        <v>0</v>
      </c>
      <c r="AJ41" s="3">
        <f t="shared" si="19"/>
        <v>0</v>
      </c>
      <c r="AK41" s="4" t="str">
        <f t="shared" si="9"/>
        <v>Negligible</v>
      </c>
      <c r="AL41" s="19"/>
      <c r="AM41" s="3">
        <f t="shared" si="20"/>
        <v>0</v>
      </c>
      <c r="AN41" s="3">
        <f t="shared" si="21"/>
        <v>0</v>
      </c>
      <c r="AO41" s="86"/>
      <c r="AP41" s="86"/>
      <c r="AQ41" s="86"/>
      <c r="AR41" s="86"/>
      <c r="AS41" s="86" t="str">
        <f>Risks!AW53</f>
        <v>Retired.</v>
      </c>
      <c r="AT41" s="6"/>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row>
    <row r="42" spans="1:139" s="12" customFormat="1" ht="32.1" hidden="1" customHeight="1" x14ac:dyDescent="0.25">
      <c r="A42" s="3" t="str">
        <f>Risks!B62</f>
        <v>sPH_DAQ&amp;Tr_001</v>
      </c>
      <c r="B42" s="25"/>
      <c r="C42" s="10"/>
      <c r="D42" s="18"/>
      <c r="E42" s="5"/>
      <c r="F42" s="14" t="str">
        <f>Risks!G62</f>
        <v>Martin Purschke</v>
      </c>
      <c r="G42" s="15" t="str">
        <f>Risks!H62</f>
        <v>DAQ Prototype does not meet specifications</v>
      </c>
      <c r="H42" s="15"/>
      <c r="I42" s="4"/>
      <c r="J42" s="19"/>
      <c r="K42" s="19"/>
      <c r="L42" s="7"/>
      <c r="M42" s="17">
        <f t="shared" si="12"/>
        <v>0</v>
      </c>
      <c r="N42" s="5">
        <f>IF(L42="",0,IF(L42&lt;=SelectionCriteria!$G$5,1, IF(L42&lt;=SelectionCriteria!$G$4,2, IF(L42&lt;=SelectionCriteria!$G$3,3,4))))</f>
        <v>0</v>
      </c>
      <c r="O42" s="5">
        <f t="shared" si="13"/>
        <v>0</v>
      </c>
      <c r="P42" s="5">
        <f t="shared" si="14"/>
        <v>0</v>
      </c>
      <c r="Q42" s="3">
        <f t="shared" si="15"/>
        <v>0</v>
      </c>
      <c r="R42" s="4" t="str">
        <f t="shared" si="4"/>
        <v>Negligible</v>
      </c>
      <c r="S42" s="15"/>
      <c r="T42" s="6"/>
      <c r="U42" s="18"/>
      <c r="V42" s="6"/>
      <c r="W42" s="4"/>
      <c r="X42" s="19"/>
      <c r="Y42" s="19"/>
      <c r="Z42" s="5"/>
      <c r="AA42" s="5"/>
      <c r="AB42" s="5"/>
      <c r="AC42" s="53"/>
      <c r="AD42" s="53"/>
      <c r="AE42" s="53"/>
      <c r="AF42" s="5">
        <f t="shared" si="16"/>
        <v>0</v>
      </c>
      <c r="AG42" s="5">
        <f>IF(AA42="",0,IF(AA42&lt;=SelectionCriteria!$G$5,1, IF(AA42&lt;=SelectionCriteria!$G$4,2, IF(AA42&lt;=SelectionCriteria!$G$3,3,4))))</f>
        <v>0</v>
      </c>
      <c r="AH42" s="5">
        <f t="shared" si="17"/>
        <v>0</v>
      </c>
      <c r="AI42" s="5">
        <f t="shared" si="18"/>
        <v>0</v>
      </c>
      <c r="AJ42" s="3">
        <f t="shared" si="19"/>
        <v>0</v>
      </c>
      <c r="AK42" s="4" t="str">
        <f t="shared" si="9"/>
        <v>Negligible</v>
      </c>
      <c r="AL42" s="19"/>
      <c r="AM42" s="3">
        <f t="shared" si="20"/>
        <v>0</v>
      </c>
      <c r="AN42" s="3">
        <f t="shared" si="21"/>
        <v>0</v>
      </c>
      <c r="AO42" s="86"/>
      <c r="AP42" s="86"/>
      <c r="AQ42" s="86"/>
      <c r="AR42" s="86"/>
      <c r="AS42" s="86">
        <f>Risks!AW62</f>
        <v>0</v>
      </c>
      <c r="AT42" s="6"/>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row>
    <row r="43" spans="1:139" s="12" customFormat="1" ht="32.1" customHeight="1" x14ac:dyDescent="0.25">
      <c r="A43" s="3" t="str">
        <f>Risks!B63</f>
        <v>sPH_DAQ&amp;Tr_002</v>
      </c>
      <c r="B43" s="25"/>
      <c r="C43" s="10"/>
      <c r="D43" s="18"/>
      <c r="E43" s="5"/>
      <c r="F43" s="14" t="str">
        <f>Risks!G63</f>
        <v>Martin Purschke</v>
      </c>
      <c r="G43" s="15" t="str">
        <f>Risks!H63</f>
        <v>Global Lvl1 expert not available</v>
      </c>
      <c r="H43" s="15"/>
      <c r="I43" s="4"/>
      <c r="J43" s="19"/>
      <c r="K43" s="19"/>
      <c r="L43" s="7"/>
      <c r="M43" s="17">
        <f t="shared" si="12"/>
        <v>0</v>
      </c>
      <c r="N43" s="5">
        <f>IF(L43="",0,IF(L43&lt;=SelectionCriteria!$G$5,1, IF(L43&lt;=SelectionCriteria!$G$4,2, IF(L43&lt;=SelectionCriteria!$G$3,3,4))))</f>
        <v>0</v>
      </c>
      <c r="O43" s="5">
        <f t="shared" si="13"/>
        <v>0</v>
      </c>
      <c r="P43" s="5">
        <f t="shared" si="14"/>
        <v>0</v>
      </c>
      <c r="Q43" s="3">
        <f t="shared" si="15"/>
        <v>0</v>
      </c>
      <c r="R43" s="4" t="str">
        <f t="shared" si="4"/>
        <v>Negligible</v>
      </c>
      <c r="S43" s="15"/>
      <c r="T43" s="6"/>
      <c r="U43" s="18"/>
      <c r="V43" s="6"/>
      <c r="W43" s="4"/>
      <c r="X43" s="19"/>
      <c r="Y43" s="19"/>
      <c r="Z43" s="5"/>
      <c r="AA43" s="5"/>
      <c r="AB43" s="5"/>
      <c r="AC43" s="53"/>
      <c r="AD43" s="53"/>
      <c r="AE43" s="53"/>
      <c r="AF43" s="5">
        <f t="shared" si="16"/>
        <v>0</v>
      </c>
      <c r="AG43" s="5">
        <f>IF(AA43="",0,IF(AA43&lt;=SelectionCriteria!$G$5,1, IF(AA43&lt;=SelectionCriteria!$G$4,2, IF(AA43&lt;=SelectionCriteria!$G$3,3,4))))</f>
        <v>0</v>
      </c>
      <c r="AH43" s="5">
        <f t="shared" si="17"/>
        <v>0</v>
      </c>
      <c r="AI43" s="5">
        <f t="shared" si="18"/>
        <v>0</v>
      </c>
      <c r="AJ43" s="3">
        <f t="shared" si="19"/>
        <v>0</v>
      </c>
      <c r="AK43" s="4" t="str">
        <f t="shared" si="9"/>
        <v>Negligible</v>
      </c>
      <c r="AL43" s="19"/>
      <c r="AM43" s="3">
        <f t="shared" si="20"/>
        <v>0</v>
      </c>
      <c r="AN43" s="3">
        <f t="shared" si="21"/>
        <v>0</v>
      </c>
      <c r="AO43" s="86"/>
      <c r="AP43" s="86"/>
      <c r="AQ43" s="86"/>
      <c r="AR43" s="86"/>
      <c r="AS43" s="86" t="str">
        <f>Risks!AW63</f>
        <v>Retired Jan 31 2019. Risk did not realize. The design is ready.</v>
      </c>
      <c r="AT43" s="6"/>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row>
    <row r="44" spans="1:139" s="12" customFormat="1" ht="32.1" customHeight="1" x14ac:dyDescent="0.25">
      <c r="A44" s="3" t="str">
        <f>Risks!B64</f>
        <v>sPH_DAQ&amp;Tr_003</v>
      </c>
      <c r="B44" s="25"/>
      <c r="C44" s="10"/>
      <c r="D44" s="18"/>
      <c r="E44" s="5"/>
      <c r="F44" s="14" t="str">
        <f>Risks!G64</f>
        <v>Martin Purschke</v>
      </c>
      <c r="G44" s="15" t="str">
        <f>Risks!H64</f>
        <v>Timing System technology still not finalized</v>
      </c>
      <c r="H44" s="15"/>
      <c r="I44" s="4"/>
      <c r="J44" s="19"/>
      <c r="K44" s="19"/>
      <c r="L44" s="7"/>
      <c r="M44" s="17">
        <f t="shared" si="12"/>
        <v>0</v>
      </c>
      <c r="N44" s="5">
        <f>IF(L44="",0,IF(L44&lt;=SelectionCriteria!$G$5,1, IF(L44&lt;=SelectionCriteria!$G$4,2, IF(L44&lt;=SelectionCriteria!$G$3,3,4))))</f>
        <v>0</v>
      </c>
      <c r="O44" s="5">
        <f t="shared" si="13"/>
        <v>0</v>
      </c>
      <c r="P44" s="5">
        <f t="shared" si="14"/>
        <v>0</v>
      </c>
      <c r="Q44" s="3">
        <f t="shared" si="15"/>
        <v>0</v>
      </c>
      <c r="R44" s="4" t="str">
        <f t="shared" si="4"/>
        <v>Negligible</v>
      </c>
      <c r="S44" s="15"/>
      <c r="T44" s="6"/>
      <c r="U44" s="18"/>
      <c r="V44" s="6"/>
      <c r="W44" s="4"/>
      <c r="X44" s="19"/>
      <c r="Y44" s="19"/>
      <c r="Z44" s="5"/>
      <c r="AA44" s="5"/>
      <c r="AB44" s="5"/>
      <c r="AC44" s="53"/>
      <c r="AD44" s="53"/>
      <c r="AE44" s="53"/>
      <c r="AF44" s="5">
        <f t="shared" si="16"/>
        <v>0</v>
      </c>
      <c r="AG44" s="5">
        <f>IF(AA44="",0,IF(AA44&lt;=SelectionCriteria!$G$5,1, IF(AA44&lt;=SelectionCriteria!$G$4,2, IF(AA44&lt;=SelectionCriteria!$G$3,3,4))))</f>
        <v>0</v>
      </c>
      <c r="AH44" s="5">
        <f t="shared" si="17"/>
        <v>0</v>
      </c>
      <c r="AI44" s="5">
        <f t="shared" si="18"/>
        <v>0</v>
      </c>
      <c r="AJ44" s="3">
        <f t="shared" si="19"/>
        <v>0</v>
      </c>
      <c r="AK44" s="4" t="str">
        <f t="shared" si="9"/>
        <v>Negligible</v>
      </c>
      <c r="AL44" s="19"/>
      <c r="AM44" s="3">
        <f t="shared" si="20"/>
        <v>0</v>
      </c>
      <c r="AN44" s="3">
        <f t="shared" si="21"/>
        <v>0</v>
      </c>
      <c r="AO44" s="86"/>
      <c r="AP44" s="86"/>
      <c r="AQ44" s="86"/>
      <c r="AR44" s="86"/>
      <c r="AS44" s="86" t="str">
        <f>Risks!AW64</f>
        <v>Retired Dec 17 2018. We have already procured the GL1 and GTM units that we believe are the final ones.</v>
      </c>
      <c r="AT44" s="6"/>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row>
    <row r="45" spans="1:139" s="12" customFormat="1" ht="32.1" customHeight="1" x14ac:dyDescent="0.25">
      <c r="A45" s="3" t="str">
        <f>Risks!B65</f>
        <v>sPH_DAQ&amp;Tr_004</v>
      </c>
      <c r="B45" s="25"/>
      <c r="C45" s="10"/>
      <c r="D45" s="18"/>
      <c r="E45" s="5"/>
      <c r="F45" s="14" t="str">
        <f>Risks!G65</f>
        <v>Martin Purschke</v>
      </c>
      <c r="G45" s="15" t="str">
        <f>Risks!H65</f>
        <v>Local LVL1 implementation runs into obstacles</v>
      </c>
      <c r="H45" s="15"/>
      <c r="I45" s="4"/>
      <c r="J45" s="19"/>
      <c r="K45" s="19"/>
      <c r="L45" s="7"/>
      <c r="M45" s="17">
        <f t="shared" si="12"/>
        <v>0</v>
      </c>
      <c r="N45" s="5">
        <f>IF(L45="",0,IF(L45&lt;=SelectionCriteria!$G$5,1, IF(L45&lt;=SelectionCriteria!$G$4,2, IF(L45&lt;=SelectionCriteria!$G$3,3,4))))</f>
        <v>0</v>
      </c>
      <c r="O45" s="5">
        <f t="shared" si="13"/>
        <v>0</v>
      </c>
      <c r="P45" s="5">
        <f t="shared" si="14"/>
        <v>0</v>
      </c>
      <c r="Q45" s="3">
        <f t="shared" si="15"/>
        <v>0</v>
      </c>
      <c r="R45" s="4" t="str">
        <f t="shared" si="4"/>
        <v>Negligible</v>
      </c>
      <c r="S45" s="15"/>
      <c r="T45" s="6"/>
      <c r="U45" s="18"/>
      <c r="V45" s="6"/>
      <c r="W45" s="4"/>
      <c r="X45" s="19"/>
      <c r="Y45" s="19"/>
      <c r="Z45" s="5"/>
      <c r="AA45" s="5"/>
      <c r="AB45" s="5"/>
      <c r="AC45" s="53"/>
      <c r="AD45" s="53"/>
      <c r="AE45" s="53"/>
      <c r="AF45" s="5">
        <f t="shared" si="16"/>
        <v>0</v>
      </c>
      <c r="AG45" s="5">
        <f>IF(AA45="",0,IF(AA45&lt;=SelectionCriteria!$G$5,1, IF(AA45&lt;=SelectionCriteria!$G$4,2, IF(AA45&lt;=SelectionCriteria!$G$3,3,4))))</f>
        <v>0</v>
      </c>
      <c r="AH45" s="5">
        <f t="shared" si="17"/>
        <v>0</v>
      </c>
      <c r="AI45" s="5">
        <f t="shared" si="18"/>
        <v>0</v>
      </c>
      <c r="AJ45" s="3">
        <f t="shared" si="19"/>
        <v>0</v>
      </c>
      <c r="AK45" s="4" t="str">
        <f t="shared" si="9"/>
        <v>Negligible</v>
      </c>
      <c r="AL45" s="19"/>
      <c r="AM45" s="3">
        <f t="shared" si="20"/>
        <v>0</v>
      </c>
      <c r="AN45" s="3">
        <f t="shared" si="21"/>
        <v>0</v>
      </c>
      <c r="AO45" s="86"/>
      <c r="AP45" s="86"/>
      <c r="AQ45" s="86"/>
      <c r="AR45" s="86"/>
      <c r="AS45" s="86" t="str">
        <f>Risks!AW65</f>
        <v>Retired Dec 17 2018. Full simulations of all trigger algorithms are now complete.    Specific implementations in the firmware and latencies need to be measured.   There are two rounds of prototype modules and firmware in the P6 schedule including specifically called out reviews after each stage.    Handling any timing and algorithm issues is already accounted for in the official schedule. </v>
      </c>
      <c r="AT45" s="6"/>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row>
    <row r="46" spans="1:139" s="12" customFormat="1" ht="32.1" hidden="1" customHeight="1" x14ac:dyDescent="0.25">
      <c r="A46" s="3" t="str">
        <f>Risks!B66</f>
        <v>sPH_DAQ&amp;Tr_005</v>
      </c>
      <c r="B46" s="25"/>
      <c r="C46" s="10"/>
      <c r="D46" s="18"/>
      <c r="E46" s="5"/>
      <c r="F46" s="14" t="str">
        <f>Risks!G66</f>
        <v>Martin Purschke</v>
      </c>
      <c r="G46" s="15" t="str">
        <f>Risks!H66</f>
        <v>TPC produces higher data rate than we can store</v>
      </c>
      <c r="H46" s="15"/>
      <c r="I46" s="4"/>
      <c r="J46" s="19"/>
      <c r="K46" s="19"/>
      <c r="L46" s="7"/>
      <c r="M46" s="17">
        <f t="shared" si="12"/>
        <v>0</v>
      </c>
      <c r="N46" s="5">
        <f>IF(L46="",0,IF(L46&lt;=SelectionCriteria!$G$5,1, IF(L46&lt;=SelectionCriteria!$G$4,2, IF(L46&lt;=SelectionCriteria!$G$3,3,4))))</f>
        <v>0</v>
      </c>
      <c r="O46" s="5">
        <f t="shared" si="13"/>
        <v>0</v>
      </c>
      <c r="P46" s="5">
        <f t="shared" si="14"/>
        <v>0</v>
      </c>
      <c r="Q46" s="3">
        <f t="shared" si="15"/>
        <v>0</v>
      </c>
      <c r="R46" s="4" t="str">
        <f t="shared" si="4"/>
        <v>Negligible</v>
      </c>
      <c r="S46" s="15"/>
      <c r="T46" s="6"/>
      <c r="U46" s="18"/>
      <c r="V46" s="6"/>
      <c r="W46" s="4"/>
      <c r="X46" s="19"/>
      <c r="Y46" s="19"/>
      <c r="Z46" s="5"/>
      <c r="AA46" s="5"/>
      <c r="AB46" s="5"/>
      <c r="AC46" s="53"/>
      <c r="AD46" s="53"/>
      <c r="AE46" s="53"/>
      <c r="AF46" s="5">
        <f t="shared" si="16"/>
        <v>0</v>
      </c>
      <c r="AG46" s="5">
        <f>IF(AA46="",0,IF(AA46&lt;=SelectionCriteria!$G$5,1, IF(AA46&lt;=SelectionCriteria!$G$4,2, IF(AA46&lt;=SelectionCriteria!$G$3,3,4))))</f>
        <v>0</v>
      </c>
      <c r="AH46" s="5">
        <f t="shared" si="17"/>
        <v>0</v>
      </c>
      <c r="AI46" s="5">
        <f t="shared" si="18"/>
        <v>0</v>
      </c>
      <c r="AJ46" s="3">
        <f t="shared" si="19"/>
        <v>0</v>
      </c>
      <c r="AK46" s="4" t="str">
        <f t="shared" si="9"/>
        <v>Negligible</v>
      </c>
      <c r="AL46" s="19"/>
      <c r="AM46" s="3">
        <f t="shared" si="20"/>
        <v>0</v>
      </c>
      <c r="AN46" s="3">
        <f t="shared" si="21"/>
        <v>0</v>
      </c>
      <c r="AO46" s="86"/>
      <c r="AP46" s="86"/>
      <c r="AQ46" s="86"/>
      <c r="AR46" s="86"/>
      <c r="AS46" s="86">
        <f>Risks!AW66</f>
        <v>0</v>
      </c>
      <c r="AT46" s="6"/>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row>
    <row r="47" spans="1:139" s="12" customFormat="1" ht="32.1" customHeight="1" x14ac:dyDescent="0.25">
      <c r="A47" s="3" t="str">
        <f>Risks!B67</f>
        <v>sPH_DAQ&amp;Tr_006</v>
      </c>
      <c r="B47" s="25"/>
      <c r="C47" s="10"/>
      <c r="D47" s="18"/>
      <c r="E47" s="5"/>
      <c r="F47" s="14" t="str">
        <f>Risks!G67</f>
        <v>Martin Purschke</v>
      </c>
      <c r="G47" s="15" t="str">
        <f>Risks!H67</f>
        <v>U Colorado Staff and/or Students unavailable (LL1 Trigger)</v>
      </c>
      <c r="H47" s="15"/>
      <c r="I47" s="4"/>
      <c r="J47" s="19"/>
      <c r="K47" s="19"/>
      <c r="L47" s="7"/>
      <c r="M47" s="17">
        <f t="shared" si="12"/>
        <v>0</v>
      </c>
      <c r="N47" s="5">
        <f>IF(L47="",0,IF(L47&lt;=SelectionCriteria!$G$5,1, IF(L47&lt;=SelectionCriteria!$G$4,2, IF(L47&lt;=SelectionCriteria!$G$3,3,4))))</f>
        <v>0</v>
      </c>
      <c r="O47" s="5">
        <f t="shared" si="13"/>
        <v>0</v>
      </c>
      <c r="P47" s="5">
        <f t="shared" si="14"/>
        <v>0</v>
      </c>
      <c r="Q47" s="3">
        <f t="shared" si="15"/>
        <v>0</v>
      </c>
      <c r="R47" s="4" t="str">
        <f t="shared" si="4"/>
        <v>Negligible</v>
      </c>
      <c r="S47" s="15"/>
      <c r="T47" s="6"/>
      <c r="U47" s="18"/>
      <c r="V47" s="6"/>
      <c r="W47" s="4"/>
      <c r="X47" s="19"/>
      <c r="Y47" s="19"/>
      <c r="Z47" s="5"/>
      <c r="AA47" s="5"/>
      <c r="AB47" s="5"/>
      <c r="AC47" s="53"/>
      <c r="AD47" s="53"/>
      <c r="AE47" s="53"/>
      <c r="AF47" s="5">
        <f t="shared" si="16"/>
        <v>0</v>
      </c>
      <c r="AG47" s="5">
        <f>IF(AA47="",0,IF(AA47&lt;=SelectionCriteria!$G$5,1, IF(AA47&lt;=SelectionCriteria!$G$4,2, IF(AA47&lt;=SelectionCriteria!$G$3,3,4))))</f>
        <v>0</v>
      </c>
      <c r="AH47" s="5">
        <f t="shared" si="17"/>
        <v>0</v>
      </c>
      <c r="AI47" s="5">
        <f t="shared" si="18"/>
        <v>0</v>
      </c>
      <c r="AJ47" s="3">
        <f t="shared" si="19"/>
        <v>0</v>
      </c>
      <c r="AK47" s="4" t="str">
        <f t="shared" si="9"/>
        <v>Negligible</v>
      </c>
      <c r="AL47" s="19"/>
      <c r="AM47" s="3">
        <f t="shared" si="20"/>
        <v>0</v>
      </c>
      <c r="AN47" s="3">
        <f t="shared" si="21"/>
        <v>0</v>
      </c>
      <c r="AO47" s="86"/>
      <c r="AP47" s="86"/>
      <c r="AQ47" s="86"/>
      <c r="AR47" s="86"/>
      <c r="AS47" s="86" t="str">
        <f>Risks!AW67</f>
        <v>Retired Dec 17 2018. Engineering for board design and initial firmware is handled at Nevis Laboratories.   For longer term maintenance and algorithm updates in firmware, the U. Colorado group will have postdoctoral research scientists and graduate students for the task.    The schedule includes time for transitioning between such scientists and students, and faculty at the U. Colorado will provide necessary continuity.</v>
      </c>
      <c r="AT47" s="6"/>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row>
    <row r="48" spans="1:139" s="12" customFormat="1" ht="32.1" hidden="1" customHeight="1" x14ac:dyDescent="0.25">
      <c r="A48" s="3" t="str">
        <f>Risks!B69</f>
        <v>MinBias_001</v>
      </c>
      <c r="B48" s="25"/>
      <c r="C48" s="10"/>
      <c r="D48" s="18"/>
      <c r="E48" s="5"/>
      <c r="F48" s="14" t="str">
        <f>Risks!G69</f>
        <v>Mickey Chiu</v>
      </c>
      <c r="G48" s="15" t="str">
        <f>Risks!H69</f>
        <v>Failure of D/S Board Prototype</v>
      </c>
      <c r="H48" s="15"/>
      <c r="I48" s="4"/>
      <c r="J48" s="19"/>
      <c r="K48" s="19"/>
      <c r="L48" s="7"/>
      <c r="M48" s="17">
        <f t="shared" si="12"/>
        <v>0</v>
      </c>
      <c r="N48" s="5">
        <f>IF(L48="",0,IF(L48&lt;=SelectionCriteria!$G$5,1, IF(L48&lt;=SelectionCriteria!$G$4,2, IF(L48&lt;=SelectionCriteria!$G$3,3,4))))</f>
        <v>0</v>
      </c>
      <c r="O48" s="5">
        <f t="shared" si="13"/>
        <v>0</v>
      </c>
      <c r="P48" s="5">
        <f t="shared" si="14"/>
        <v>0</v>
      </c>
      <c r="Q48" s="3">
        <f t="shared" si="15"/>
        <v>0</v>
      </c>
      <c r="R48" s="4" t="str">
        <f t="shared" si="4"/>
        <v>Negligible</v>
      </c>
      <c r="S48" s="15"/>
      <c r="T48" s="6"/>
      <c r="U48" s="18"/>
      <c r="V48" s="6"/>
      <c r="W48" s="4"/>
      <c r="X48" s="19"/>
      <c r="Y48" s="19"/>
      <c r="Z48" s="5"/>
      <c r="AA48" s="5"/>
      <c r="AB48" s="5"/>
      <c r="AC48" s="53"/>
      <c r="AD48" s="53"/>
      <c r="AE48" s="53"/>
      <c r="AF48" s="5">
        <f t="shared" si="16"/>
        <v>0</v>
      </c>
      <c r="AG48" s="5">
        <f>IF(AA48="",0,IF(AA48&lt;=SelectionCriteria!$G$5,1, IF(AA48&lt;=SelectionCriteria!$G$4,2, IF(AA48&lt;=SelectionCriteria!$G$3,3,4))))</f>
        <v>0</v>
      </c>
      <c r="AH48" s="5">
        <f t="shared" si="17"/>
        <v>0</v>
      </c>
      <c r="AI48" s="5">
        <f t="shared" si="18"/>
        <v>0</v>
      </c>
      <c r="AJ48" s="3">
        <f t="shared" si="19"/>
        <v>0</v>
      </c>
      <c r="AK48" s="4" t="str">
        <f t="shared" si="9"/>
        <v>Negligible</v>
      </c>
      <c r="AL48" s="19"/>
      <c r="AM48" s="3">
        <f t="shared" si="20"/>
        <v>0</v>
      </c>
      <c r="AN48" s="3">
        <f t="shared" si="21"/>
        <v>0</v>
      </c>
      <c r="AO48" s="86"/>
      <c r="AP48" s="86"/>
      <c r="AQ48" s="86"/>
      <c r="AR48" s="86"/>
      <c r="AS48" s="86">
        <f>Risks!AW69</f>
        <v>0</v>
      </c>
      <c r="AT48" s="6"/>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row>
    <row r="49" spans="1:139" s="12" customFormat="1" ht="32.1" hidden="1" customHeight="1" x14ac:dyDescent="0.25">
      <c r="A49" s="3" t="str">
        <f>Risks!B70</f>
        <v>MinBias_002</v>
      </c>
      <c r="B49" s="25"/>
      <c r="C49" s="10"/>
      <c r="D49" s="18"/>
      <c r="E49" s="5"/>
      <c r="F49" s="14" t="str">
        <f>Risks!G70</f>
        <v>Mickey Chiu</v>
      </c>
      <c r="G49" s="15" t="str">
        <f>Risks!H70</f>
        <v>Nevis Labor not available</v>
      </c>
      <c r="H49" s="15"/>
      <c r="I49" s="4"/>
      <c r="J49" s="19"/>
      <c r="K49" s="19"/>
      <c r="L49" s="7"/>
      <c r="M49" s="17">
        <f t="shared" si="12"/>
        <v>0</v>
      </c>
      <c r="N49" s="5">
        <f>IF(L49="",0,IF(L49&lt;=SelectionCriteria!$G$5,1, IF(L49&lt;=SelectionCriteria!$G$4,2, IF(L49&lt;=SelectionCriteria!$G$3,3,4))))</f>
        <v>0</v>
      </c>
      <c r="O49" s="5">
        <f t="shared" si="13"/>
        <v>0</v>
      </c>
      <c r="P49" s="5">
        <f t="shared" si="14"/>
        <v>0</v>
      </c>
      <c r="Q49" s="3">
        <f t="shared" si="15"/>
        <v>0</v>
      </c>
      <c r="R49" s="4" t="str">
        <f t="shared" si="4"/>
        <v>Negligible</v>
      </c>
      <c r="S49" s="15"/>
      <c r="T49" s="6"/>
      <c r="U49" s="18"/>
      <c r="V49" s="6"/>
      <c r="W49" s="4"/>
      <c r="X49" s="19"/>
      <c r="Y49" s="19"/>
      <c r="Z49" s="5"/>
      <c r="AA49" s="5"/>
      <c r="AB49" s="5"/>
      <c r="AC49" s="53"/>
      <c r="AD49" s="53"/>
      <c r="AE49" s="53"/>
      <c r="AF49" s="5">
        <f t="shared" si="16"/>
        <v>0</v>
      </c>
      <c r="AG49" s="5">
        <f>IF(AA49="",0,IF(AA49&lt;=SelectionCriteria!$G$5,1, IF(AA49&lt;=SelectionCriteria!$G$4,2, IF(AA49&lt;=SelectionCriteria!$G$3,3,4))))</f>
        <v>0</v>
      </c>
      <c r="AH49" s="5">
        <f t="shared" si="17"/>
        <v>0</v>
      </c>
      <c r="AI49" s="5">
        <f t="shared" si="18"/>
        <v>0</v>
      </c>
      <c r="AJ49" s="3">
        <f t="shared" si="19"/>
        <v>0</v>
      </c>
      <c r="AK49" s="4" t="str">
        <f t="shared" si="9"/>
        <v>Negligible</v>
      </c>
      <c r="AL49" s="19"/>
      <c r="AM49" s="3">
        <f t="shared" si="20"/>
        <v>0</v>
      </c>
      <c r="AN49" s="3">
        <f t="shared" si="21"/>
        <v>0</v>
      </c>
      <c r="AO49" s="86"/>
      <c r="AP49" s="86"/>
      <c r="AQ49" s="86"/>
      <c r="AR49" s="86"/>
      <c r="AS49" s="86">
        <f>Risks!AW70</f>
        <v>0</v>
      </c>
      <c r="AT49" s="6"/>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row>
    <row r="50" spans="1:139" s="12" customFormat="1" ht="32.1" customHeight="1" x14ac:dyDescent="0.25">
      <c r="A50" s="3" t="str">
        <f>Risks!B75</f>
        <v>sPH_SC_Magnet_001</v>
      </c>
      <c r="B50" s="25"/>
      <c r="C50" s="10"/>
      <c r="D50" s="18"/>
      <c r="E50" s="5"/>
      <c r="F50" s="14" t="str">
        <f>Risks!G75</f>
        <v>Roberto Than</v>
      </c>
      <c r="G50" s="15" t="str">
        <f>Risks!H75</f>
        <v>Delay in sPHENIX support platform construction</v>
      </c>
      <c r="H50" s="15"/>
      <c r="I50" s="4"/>
      <c r="J50" s="19"/>
      <c r="K50" s="19"/>
      <c r="L50" s="7"/>
      <c r="M50" s="17">
        <f t="shared" si="12"/>
        <v>0</v>
      </c>
      <c r="N50" s="5">
        <f>IF(L50="",0,IF(L50&lt;=SelectionCriteria!$G$5,1, IF(L50&lt;=SelectionCriteria!$G$4,2, IF(L50&lt;=SelectionCriteria!$G$3,3,4))))</f>
        <v>0</v>
      </c>
      <c r="O50" s="5">
        <f t="shared" si="13"/>
        <v>0</v>
      </c>
      <c r="P50" s="5">
        <f t="shared" si="14"/>
        <v>0</v>
      </c>
      <c r="Q50" s="3">
        <f t="shared" si="15"/>
        <v>0</v>
      </c>
      <c r="R50" s="4" t="str">
        <f t="shared" si="4"/>
        <v>Negligible</v>
      </c>
      <c r="S50" s="15"/>
      <c r="T50" s="6"/>
      <c r="U50" s="18"/>
      <c r="V50" s="6"/>
      <c r="W50" s="4"/>
      <c r="X50" s="19"/>
      <c r="Y50" s="19"/>
      <c r="Z50" s="5"/>
      <c r="AA50" s="5"/>
      <c r="AB50" s="5"/>
      <c r="AC50" s="53"/>
      <c r="AD50" s="53"/>
      <c r="AE50" s="53"/>
      <c r="AF50" s="5">
        <f t="shared" si="16"/>
        <v>0</v>
      </c>
      <c r="AG50" s="5">
        <f>IF(AA50="",0,IF(AA50&lt;=SelectionCriteria!$G$5,1, IF(AA50&lt;=SelectionCriteria!$G$4,2, IF(AA50&lt;=SelectionCriteria!$G$3,3,4))))</f>
        <v>0</v>
      </c>
      <c r="AH50" s="5">
        <f t="shared" si="17"/>
        <v>0</v>
      </c>
      <c r="AI50" s="5">
        <f t="shared" si="18"/>
        <v>0</v>
      </c>
      <c r="AJ50" s="3">
        <f t="shared" si="19"/>
        <v>0</v>
      </c>
      <c r="AK50" s="4" t="str">
        <f t="shared" si="9"/>
        <v>Negligible</v>
      </c>
      <c r="AL50" s="19"/>
      <c r="AM50" s="3">
        <f t="shared" si="20"/>
        <v>0</v>
      </c>
      <c r="AN50" s="3">
        <f t="shared" si="21"/>
        <v>0</v>
      </c>
      <c r="AO50" s="86"/>
      <c r="AP50" s="86"/>
      <c r="AQ50" s="86"/>
      <c r="AR50" s="86"/>
      <c r="AS50" s="86" t="str">
        <f>Risks!AW75</f>
        <v>Retired Mar 28 2019. Risk did not realize. The support platform is in a different WBS and therefore the schedule will be monitored by a different L2 manager.</v>
      </c>
      <c r="AT50" s="6"/>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row>
    <row r="51" spans="1:139" s="12" customFormat="1" ht="32.1" customHeight="1" x14ac:dyDescent="0.25">
      <c r="A51" s="3" t="str">
        <f>Risks!B76</f>
        <v>sPH_SC_Magnet_002</v>
      </c>
      <c r="B51" s="25"/>
      <c r="C51" s="10"/>
      <c r="D51" s="18"/>
      <c r="E51" s="5"/>
      <c r="F51" s="14" t="str">
        <f>Risks!G76</f>
        <v>Roberto Than</v>
      </c>
      <c r="G51" s="15" t="str">
        <f>Risks!H76</f>
        <v>Magnet temperature sensors too far to read</v>
      </c>
      <c r="H51" s="15"/>
      <c r="I51" s="4"/>
      <c r="J51" s="19"/>
      <c r="K51" s="19"/>
      <c r="L51" s="7"/>
      <c r="M51" s="17">
        <f t="shared" si="12"/>
        <v>0</v>
      </c>
      <c r="N51" s="5">
        <f>IF(L51="",0,IF(L51&lt;=SelectionCriteria!$G$5,1, IF(L51&lt;=SelectionCriteria!$G$4,2, IF(L51&lt;=SelectionCriteria!$G$3,3,4))))</f>
        <v>0</v>
      </c>
      <c r="O51" s="5">
        <f t="shared" si="13"/>
        <v>0</v>
      </c>
      <c r="P51" s="5">
        <f t="shared" si="14"/>
        <v>0</v>
      </c>
      <c r="Q51" s="3">
        <f t="shared" si="15"/>
        <v>0</v>
      </c>
      <c r="R51" s="4" t="str">
        <f t="shared" si="4"/>
        <v>Negligible</v>
      </c>
      <c r="S51" s="15"/>
      <c r="T51" s="6"/>
      <c r="U51" s="18"/>
      <c r="V51" s="6"/>
      <c r="W51" s="4"/>
      <c r="X51" s="19"/>
      <c r="Y51" s="19"/>
      <c r="Z51" s="5"/>
      <c r="AA51" s="5"/>
      <c r="AB51" s="5"/>
      <c r="AC51" s="53"/>
      <c r="AD51" s="53"/>
      <c r="AE51" s="53"/>
      <c r="AF51" s="5">
        <f t="shared" si="16"/>
        <v>0</v>
      </c>
      <c r="AG51" s="5">
        <f>IF(AA51="",0,IF(AA51&lt;=SelectionCriteria!$G$5,1, IF(AA51&lt;=SelectionCriteria!$G$4,2, IF(AA51&lt;=SelectionCriteria!$G$3,3,4))))</f>
        <v>0</v>
      </c>
      <c r="AH51" s="5">
        <f t="shared" si="17"/>
        <v>0</v>
      </c>
      <c r="AI51" s="5">
        <f t="shared" si="18"/>
        <v>0</v>
      </c>
      <c r="AJ51" s="3">
        <f t="shared" si="19"/>
        <v>0</v>
      </c>
      <c r="AK51" s="4" t="str">
        <f t="shared" si="9"/>
        <v>Negligible</v>
      </c>
      <c r="AL51" s="19"/>
      <c r="AM51" s="3">
        <f t="shared" si="20"/>
        <v>0</v>
      </c>
      <c r="AN51" s="3">
        <f t="shared" si="21"/>
        <v>0</v>
      </c>
      <c r="AO51" s="86"/>
      <c r="AP51" s="86"/>
      <c r="AQ51" s="86"/>
      <c r="AR51" s="86"/>
      <c r="AS51" s="86" t="str">
        <f>Risks!AW76</f>
        <v>Retired Mar 28 2019.  Justification: We have obtained one original CLTS （Cryogenic Linear Temperature Sensor) from BaBar/Ansaldo card which changed resistance to 4 to 20 mA.  We have tested it and it worked.  We have then made copies of this card for as many channels as we need.</v>
      </c>
      <c r="AT51" s="6"/>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row>
    <row r="52" spans="1:139" s="12" customFormat="1" ht="32.1" hidden="1" customHeight="1" x14ac:dyDescent="0.25">
      <c r="A52" s="3" t="str">
        <f>Risks!B85</f>
        <v>sPH_Infrastructure_01</v>
      </c>
      <c r="B52" s="25"/>
      <c r="C52" s="10"/>
      <c r="D52" s="18"/>
      <c r="E52" s="5"/>
      <c r="F52" s="14" t="str">
        <f>Risks!G85</f>
        <v>J. Vasquez</v>
      </c>
      <c r="G52" s="15" t="str">
        <f>Risks!H85</f>
        <v>CA-D engineers are not available for timely design efforts</v>
      </c>
      <c r="H52" s="15"/>
      <c r="I52" s="4"/>
      <c r="J52" s="19"/>
      <c r="K52" s="19"/>
      <c r="L52" s="7"/>
      <c r="M52" s="17">
        <f t="shared" si="12"/>
        <v>0</v>
      </c>
      <c r="N52" s="5">
        <f>IF(L52="",0,IF(L52&lt;=SelectionCriteria!$G$5,1, IF(L52&lt;=SelectionCriteria!$G$4,2, IF(L52&lt;=SelectionCriteria!$G$3,3,4))))</f>
        <v>0</v>
      </c>
      <c r="O52" s="5">
        <f t="shared" si="13"/>
        <v>0</v>
      </c>
      <c r="P52" s="5">
        <f t="shared" si="14"/>
        <v>0</v>
      </c>
      <c r="Q52" s="3">
        <f t="shared" si="15"/>
        <v>0</v>
      </c>
      <c r="R52" s="4" t="str">
        <f t="shared" si="4"/>
        <v>Negligible</v>
      </c>
      <c r="S52" s="15"/>
      <c r="T52" s="6"/>
      <c r="U52" s="18"/>
      <c r="V52" s="6"/>
      <c r="W52" s="4"/>
      <c r="X52" s="19"/>
      <c r="Y52" s="19"/>
      <c r="Z52" s="5"/>
      <c r="AA52" s="5"/>
      <c r="AB52" s="5"/>
      <c r="AC52" s="53"/>
      <c r="AD52" s="53"/>
      <c r="AE52" s="53"/>
      <c r="AF52" s="5">
        <f t="shared" si="16"/>
        <v>0</v>
      </c>
      <c r="AG52" s="5">
        <f>IF(AA52="",0,IF(AA52&lt;=SelectionCriteria!$G$5,1, IF(AA52&lt;=SelectionCriteria!$G$4,2, IF(AA52&lt;=SelectionCriteria!$G$3,3,4))))</f>
        <v>0</v>
      </c>
      <c r="AH52" s="5">
        <f t="shared" si="17"/>
        <v>0</v>
      </c>
      <c r="AI52" s="5">
        <f t="shared" si="18"/>
        <v>0</v>
      </c>
      <c r="AJ52" s="3">
        <f t="shared" si="19"/>
        <v>0</v>
      </c>
      <c r="AK52" s="4" t="str">
        <f t="shared" si="9"/>
        <v>Negligible</v>
      </c>
      <c r="AL52" s="19"/>
      <c r="AM52" s="3">
        <f t="shared" si="20"/>
        <v>0</v>
      </c>
      <c r="AN52" s="3">
        <f t="shared" si="21"/>
        <v>0</v>
      </c>
      <c r="AO52" s="86"/>
      <c r="AP52" s="86"/>
      <c r="AQ52" s="86"/>
      <c r="AR52" s="86"/>
      <c r="AS52" s="86" t="str">
        <f>Risks!AW85</f>
        <v>Retired after MOUs with CAD were signed</v>
      </c>
      <c r="AT52" s="6"/>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row>
    <row r="53" spans="1:139" s="12" customFormat="1" ht="32.1" hidden="1" customHeight="1" x14ac:dyDescent="0.25">
      <c r="A53" s="3" t="str">
        <f>Risks!B86</f>
        <v>sPH_Infrastructure_02</v>
      </c>
      <c r="B53" s="25"/>
      <c r="C53" s="10"/>
      <c r="D53" s="18"/>
      <c r="E53" s="5"/>
      <c r="F53" s="14" t="str">
        <f>Risks!G86</f>
        <v>J. Vasquez</v>
      </c>
      <c r="G53" s="15" t="str">
        <f>Risks!H86</f>
        <v>Cradle and/or Pole Tips Fabrication delayed</v>
      </c>
      <c r="H53" s="15"/>
      <c r="I53" s="4"/>
      <c r="J53" s="19"/>
      <c r="K53" s="19"/>
      <c r="L53" s="7"/>
      <c r="M53" s="17">
        <f t="shared" si="12"/>
        <v>0</v>
      </c>
      <c r="N53" s="5">
        <f>IF(L53="",0,IF(L53&lt;=SelectionCriteria!$G$5,1, IF(L53&lt;=SelectionCriteria!$G$4,2, IF(L53&lt;=SelectionCriteria!$G$3,3,4))))</f>
        <v>0</v>
      </c>
      <c r="O53" s="5">
        <f t="shared" si="13"/>
        <v>0</v>
      </c>
      <c r="P53" s="5">
        <f t="shared" si="14"/>
        <v>0</v>
      </c>
      <c r="Q53" s="3">
        <f t="shared" si="15"/>
        <v>0</v>
      </c>
      <c r="R53" s="4" t="str">
        <f t="shared" si="4"/>
        <v>Negligible</v>
      </c>
      <c r="S53" s="15"/>
      <c r="T53" s="6"/>
      <c r="U53" s="18"/>
      <c r="V53" s="6"/>
      <c r="W53" s="4"/>
      <c r="X53" s="19"/>
      <c r="Y53" s="19"/>
      <c r="Z53" s="5"/>
      <c r="AA53" s="5"/>
      <c r="AB53" s="5"/>
      <c r="AC53" s="53"/>
      <c r="AD53" s="53"/>
      <c r="AE53" s="53"/>
      <c r="AF53" s="5">
        <f t="shared" si="16"/>
        <v>0</v>
      </c>
      <c r="AG53" s="5">
        <f>IF(AA53="",0,IF(AA53&lt;=SelectionCriteria!$G$5,1, IF(AA53&lt;=SelectionCriteria!$G$4,2, IF(AA53&lt;=SelectionCriteria!$G$3,3,4))))</f>
        <v>0</v>
      </c>
      <c r="AH53" s="5">
        <f t="shared" si="17"/>
        <v>0</v>
      </c>
      <c r="AI53" s="5">
        <f t="shared" si="18"/>
        <v>0</v>
      </c>
      <c r="AJ53" s="3">
        <f t="shared" si="19"/>
        <v>0</v>
      </c>
      <c r="AK53" s="4" t="str">
        <f t="shared" si="9"/>
        <v>Negligible</v>
      </c>
      <c r="AL53" s="19"/>
      <c r="AM53" s="3">
        <f t="shared" si="20"/>
        <v>0</v>
      </c>
      <c r="AN53" s="3">
        <f t="shared" si="21"/>
        <v>0</v>
      </c>
      <c r="AO53" s="86"/>
      <c r="AP53" s="86"/>
      <c r="AQ53" s="86"/>
      <c r="AR53" s="86"/>
      <c r="AS53" s="86" t="str">
        <f>Risks!AW86</f>
        <v>Retired after a contract was placed</v>
      </c>
      <c r="AT53" s="6"/>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row>
    <row r="54" spans="1:139" s="12" customFormat="1" ht="32.1" hidden="1" customHeight="1" x14ac:dyDescent="0.25">
      <c r="A54" s="3" t="str">
        <f>Risks!B87</f>
        <v>sPH_Integration_Installation_01</v>
      </c>
      <c r="B54" s="25"/>
      <c r="C54" s="10"/>
      <c r="D54" s="18"/>
      <c r="E54" s="5"/>
      <c r="F54" s="14" t="str">
        <f>Risks!G87</f>
        <v>R. Feder</v>
      </c>
      <c r="G54" s="15" t="str">
        <f>Risks!H87</f>
        <v>Subsystem not ready for installation</v>
      </c>
      <c r="H54" s="15"/>
      <c r="I54" s="4"/>
      <c r="J54" s="19"/>
      <c r="K54" s="19"/>
      <c r="L54" s="7"/>
      <c r="M54" s="17">
        <f t="shared" si="12"/>
        <v>0</v>
      </c>
      <c r="N54" s="5">
        <f>IF(L54="",0,IF(L54&lt;=SelectionCriteria!$G$5,1, IF(L54&lt;=SelectionCriteria!$G$4,2, IF(L54&lt;=SelectionCriteria!$G$3,3,4))))</f>
        <v>0</v>
      </c>
      <c r="O54" s="5">
        <f t="shared" si="13"/>
        <v>0</v>
      </c>
      <c r="P54" s="5">
        <f t="shared" si="14"/>
        <v>0</v>
      </c>
      <c r="Q54" s="3">
        <f t="shared" si="15"/>
        <v>0</v>
      </c>
      <c r="R54" s="4" t="str">
        <f t="shared" si="4"/>
        <v>Negligible</v>
      </c>
      <c r="S54" s="15"/>
      <c r="T54" s="6"/>
      <c r="U54" s="18"/>
      <c r="V54" s="6"/>
      <c r="W54" s="4"/>
      <c r="X54" s="19"/>
      <c r="Y54" s="19"/>
      <c r="Z54" s="5"/>
      <c r="AA54" s="5"/>
      <c r="AB54" s="5"/>
      <c r="AC54" s="53"/>
      <c r="AD54" s="53"/>
      <c r="AE54" s="53"/>
      <c r="AF54" s="5">
        <f t="shared" si="16"/>
        <v>0</v>
      </c>
      <c r="AG54" s="5">
        <f>IF(AA54="",0,IF(AA54&lt;=SelectionCriteria!$G$5,1, IF(AA54&lt;=SelectionCriteria!$G$4,2, IF(AA54&lt;=SelectionCriteria!$G$3,3,4))))</f>
        <v>0</v>
      </c>
      <c r="AH54" s="5">
        <f t="shared" si="17"/>
        <v>0</v>
      </c>
      <c r="AI54" s="5">
        <f t="shared" si="18"/>
        <v>0</v>
      </c>
      <c r="AJ54" s="3">
        <f t="shared" si="19"/>
        <v>0</v>
      </c>
      <c r="AK54" s="4" t="str">
        <f t="shared" si="9"/>
        <v>Negligible</v>
      </c>
      <c r="AL54" s="19"/>
      <c r="AM54" s="3">
        <f t="shared" si="20"/>
        <v>0</v>
      </c>
      <c r="AN54" s="3">
        <f t="shared" si="21"/>
        <v>0</v>
      </c>
      <c r="AO54" s="86"/>
      <c r="AP54" s="86"/>
      <c r="AQ54" s="86"/>
      <c r="AR54" s="86"/>
      <c r="AS54" s="86" t="str">
        <f>Risks!AW87</f>
        <v>Retired based on Total Float in P6</v>
      </c>
      <c r="AT54" s="6"/>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row>
    <row r="55" spans="1:139" s="12" customFormat="1" ht="32.1" hidden="1" customHeight="1" x14ac:dyDescent="0.25">
      <c r="A55" s="3" t="str">
        <f>Risks!B88</f>
        <v>sPH_Integration_Installation_02</v>
      </c>
      <c r="B55" s="25"/>
      <c r="C55" s="10"/>
      <c r="D55" s="18"/>
      <c r="E55" s="5"/>
      <c r="F55" s="14" t="str">
        <f>Risks!G88</f>
        <v>R. Feder</v>
      </c>
      <c r="G55" s="15" t="str">
        <f>Risks!H88</f>
        <v>Labor not available for installation</v>
      </c>
      <c r="H55" s="15"/>
      <c r="I55" s="4"/>
      <c r="J55" s="19"/>
      <c r="K55" s="19"/>
      <c r="L55" s="7"/>
      <c r="M55" s="17">
        <f t="shared" si="12"/>
        <v>0</v>
      </c>
      <c r="N55" s="5">
        <f>IF(L55="",0,IF(L55&lt;=SelectionCriteria!$G$5,1, IF(L55&lt;=SelectionCriteria!$G$4,2, IF(L55&lt;=SelectionCriteria!$G$3,3,4))))</f>
        <v>0</v>
      </c>
      <c r="O55" s="5">
        <f t="shared" si="13"/>
        <v>0</v>
      </c>
      <c r="P55" s="5">
        <f t="shared" si="14"/>
        <v>0</v>
      </c>
      <c r="Q55" s="3">
        <f t="shared" si="15"/>
        <v>0</v>
      </c>
      <c r="R55" s="4" t="str">
        <f t="shared" si="4"/>
        <v>Negligible</v>
      </c>
      <c r="S55" s="15"/>
      <c r="T55" s="6"/>
      <c r="U55" s="18"/>
      <c r="V55" s="6"/>
      <c r="W55" s="4"/>
      <c r="X55" s="19"/>
      <c r="Y55" s="19"/>
      <c r="Z55" s="5"/>
      <c r="AA55" s="5"/>
      <c r="AB55" s="5"/>
      <c r="AC55" s="53"/>
      <c r="AD55" s="53"/>
      <c r="AE55" s="53"/>
      <c r="AF55" s="5">
        <f t="shared" si="16"/>
        <v>0</v>
      </c>
      <c r="AG55" s="5">
        <f>IF(AA55="",0,IF(AA55&lt;=SelectionCriteria!$G$5,1, IF(AA55&lt;=SelectionCriteria!$G$4,2, IF(AA55&lt;=SelectionCriteria!$G$3,3,4))))</f>
        <v>0</v>
      </c>
      <c r="AH55" s="5">
        <f t="shared" si="17"/>
        <v>0</v>
      </c>
      <c r="AI55" s="5">
        <f t="shared" si="18"/>
        <v>0</v>
      </c>
      <c r="AJ55" s="3">
        <f t="shared" si="19"/>
        <v>0</v>
      </c>
      <c r="AK55" s="4" t="str">
        <f t="shared" si="9"/>
        <v>Negligible</v>
      </c>
      <c r="AL55" s="19"/>
      <c r="AM55" s="3">
        <f t="shared" si="20"/>
        <v>0</v>
      </c>
      <c r="AN55" s="3">
        <f t="shared" si="21"/>
        <v>0</v>
      </c>
      <c r="AO55" s="86"/>
      <c r="AP55" s="86"/>
      <c r="AQ55" s="86"/>
      <c r="AR55" s="86"/>
      <c r="AS55" s="86" t="str">
        <f>Risks!AW88</f>
        <v>Retired after the Baseline approval. Labor needs will be tracked via RCT (Resource Comparison Tool).</v>
      </c>
      <c r="AT55" s="6"/>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row>
    <row r="56" spans="1:139" s="12" customFormat="1" ht="32.1" hidden="1" customHeight="1" x14ac:dyDescent="0.25">
      <c r="A56" s="3" t="str">
        <f>Risks!B96</f>
        <v>MVTX_001</v>
      </c>
      <c r="B56" s="25"/>
      <c r="C56" s="10"/>
      <c r="D56" s="18"/>
      <c r="E56" s="5"/>
      <c r="F56" s="14" t="str">
        <f>Risks!G96</f>
        <v>M. Liu</v>
      </c>
      <c r="G56" s="15" t="str">
        <f>Risks!H96</f>
        <v>Stave Delivery Delay</v>
      </c>
      <c r="H56" s="15"/>
      <c r="I56" s="4"/>
      <c r="J56" s="19"/>
      <c r="K56" s="19"/>
      <c r="L56" s="7"/>
      <c r="M56" s="17">
        <f t="shared" si="12"/>
        <v>0</v>
      </c>
      <c r="N56" s="5">
        <f>IF(L56="",0,IF(L56&lt;=SelectionCriteria!$G$5,1, IF(L56&lt;=SelectionCriteria!$G$4,2, IF(L56&lt;=SelectionCriteria!$G$3,3,4))))</f>
        <v>0</v>
      </c>
      <c r="O56" s="5">
        <f t="shared" si="13"/>
        <v>0</v>
      </c>
      <c r="P56" s="5">
        <f t="shared" si="14"/>
        <v>0</v>
      </c>
      <c r="Q56" s="3">
        <f t="shared" si="15"/>
        <v>0</v>
      </c>
      <c r="R56" s="4" t="str">
        <f t="shared" si="4"/>
        <v>Negligible</v>
      </c>
      <c r="S56" s="15"/>
      <c r="T56" s="6"/>
      <c r="U56" s="18"/>
      <c r="V56" s="6"/>
      <c r="W56" s="4"/>
      <c r="X56" s="19"/>
      <c r="Y56" s="19"/>
      <c r="Z56" s="5"/>
      <c r="AA56" s="5"/>
      <c r="AB56" s="5"/>
      <c r="AC56" s="53"/>
      <c r="AD56" s="53"/>
      <c r="AE56" s="53"/>
      <c r="AF56" s="5">
        <f t="shared" si="16"/>
        <v>0</v>
      </c>
      <c r="AG56" s="5">
        <f>IF(AA56="",0,IF(AA56&lt;=SelectionCriteria!$G$5,1, IF(AA56&lt;=SelectionCriteria!$G$4,2, IF(AA56&lt;=SelectionCriteria!$G$3,3,4))))</f>
        <v>0</v>
      </c>
      <c r="AH56" s="5">
        <f t="shared" si="17"/>
        <v>0</v>
      </c>
      <c r="AI56" s="5">
        <f t="shared" si="18"/>
        <v>0</v>
      </c>
      <c r="AJ56" s="3">
        <f t="shared" si="19"/>
        <v>0</v>
      </c>
      <c r="AK56" s="4" t="str">
        <f t="shared" si="9"/>
        <v>Negligible</v>
      </c>
      <c r="AL56" s="19"/>
      <c r="AM56" s="3">
        <f t="shared" si="20"/>
        <v>0</v>
      </c>
      <c r="AN56" s="3">
        <f t="shared" si="21"/>
        <v>0</v>
      </c>
      <c r="AO56" s="86"/>
      <c r="AP56" s="86"/>
      <c r="AQ56" s="86"/>
      <c r="AR56" s="86"/>
      <c r="AS56" s="86">
        <f>Risks!AW96</f>
        <v>0</v>
      </c>
      <c r="AT56" s="6"/>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row>
    <row r="57" spans="1:139" s="12" customFormat="1" ht="32.1" hidden="1" customHeight="1" x14ac:dyDescent="0.25">
      <c r="A57" s="3" t="str">
        <f>Risks!B97</f>
        <v>MVTX_002</v>
      </c>
      <c r="B57" s="25"/>
      <c r="C57" s="10"/>
      <c r="D57" s="18"/>
      <c r="E57" s="5"/>
      <c r="F57" s="14" t="str">
        <f>Risks!G97</f>
        <v>M. Liu</v>
      </c>
      <c r="G57" s="15" t="str">
        <f>Risks!H97</f>
        <v>RU Delivery Delay</v>
      </c>
      <c r="H57" s="15"/>
      <c r="I57" s="4"/>
      <c r="J57" s="19"/>
      <c r="K57" s="19"/>
      <c r="L57" s="7"/>
      <c r="M57" s="17">
        <f t="shared" si="12"/>
        <v>0</v>
      </c>
      <c r="N57" s="5">
        <f>IF(L57="",0,IF(L57&lt;=SelectionCriteria!$G$5,1, IF(L57&lt;=SelectionCriteria!$G$4,2, IF(L57&lt;=SelectionCriteria!$G$3,3,4))))</f>
        <v>0</v>
      </c>
      <c r="O57" s="5">
        <f t="shared" si="13"/>
        <v>0</v>
      </c>
      <c r="P57" s="5">
        <f t="shared" si="14"/>
        <v>0</v>
      </c>
      <c r="Q57" s="3">
        <f t="shared" si="15"/>
        <v>0</v>
      </c>
      <c r="R57" s="4" t="str">
        <f t="shared" si="4"/>
        <v>Negligible</v>
      </c>
      <c r="S57" s="15"/>
      <c r="T57" s="6"/>
      <c r="U57" s="18"/>
      <c r="V57" s="6"/>
      <c r="W57" s="4"/>
      <c r="X57" s="19"/>
      <c r="Y57" s="19"/>
      <c r="Z57" s="5"/>
      <c r="AA57" s="5"/>
      <c r="AB57" s="5"/>
      <c r="AC57" s="53"/>
      <c r="AD57" s="53"/>
      <c r="AE57" s="53"/>
      <c r="AF57" s="5">
        <f t="shared" si="16"/>
        <v>0</v>
      </c>
      <c r="AG57" s="5">
        <f>IF(AA57="",0,IF(AA57&lt;=SelectionCriteria!$G$5,1, IF(AA57&lt;=SelectionCriteria!$G$4,2, IF(AA57&lt;=SelectionCriteria!$G$3,3,4))))</f>
        <v>0</v>
      </c>
      <c r="AH57" s="5">
        <f t="shared" si="17"/>
        <v>0</v>
      </c>
      <c r="AI57" s="5">
        <f t="shared" si="18"/>
        <v>0</v>
      </c>
      <c r="AJ57" s="3">
        <f t="shared" si="19"/>
        <v>0</v>
      </c>
      <c r="AK57" s="4" t="str">
        <f t="shared" si="9"/>
        <v>Negligible</v>
      </c>
      <c r="AL57" s="19"/>
      <c r="AM57" s="3">
        <f t="shared" si="20"/>
        <v>0</v>
      </c>
      <c r="AN57" s="3">
        <f t="shared" si="21"/>
        <v>0</v>
      </c>
      <c r="AO57" s="86"/>
      <c r="AP57" s="86"/>
      <c r="AQ57" s="86"/>
      <c r="AR57" s="86"/>
      <c r="AS57" s="86">
        <f>Risks!AW97</f>
        <v>0</v>
      </c>
      <c r="AT57" s="6"/>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row>
    <row r="58" spans="1:139" s="12" customFormat="1" ht="32.1" hidden="1" customHeight="1" x14ac:dyDescent="0.25">
      <c r="A58" s="3" t="str">
        <f>Risks!B98</f>
        <v>MVTX_003</v>
      </c>
      <c r="B58" s="25"/>
      <c r="C58" s="10"/>
      <c r="D58" s="18"/>
      <c r="E58" s="5"/>
      <c r="F58" s="14" t="str">
        <f>Risks!G98</f>
        <v>M. Liu</v>
      </c>
      <c r="G58" s="15" t="str">
        <f>Risks!H98</f>
        <v>FELIX delivery Delay</v>
      </c>
      <c r="H58" s="15"/>
      <c r="I58" s="4"/>
      <c r="J58" s="19"/>
      <c r="K58" s="19"/>
      <c r="L58" s="7"/>
      <c r="M58" s="17">
        <f t="shared" si="12"/>
        <v>0</v>
      </c>
      <c r="N58" s="5">
        <f>IF(L58="",0,IF(L58&lt;=SelectionCriteria!$G$5,1, IF(L58&lt;=SelectionCriteria!$G$4,2, IF(L58&lt;=SelectionCriteria!$G$3,3,4))))</f>
        <v>0</v>
      </c>
      <c r="O58" s="5">
        <f t="shared" si="13"/>
        <v>0</v>
      </c>
      <c r="P58" s="5">
        <f t="shared" si="14"/>
        <v>0</v>
      </c>
      <c r="Q58" s="3">
        <f t="shared" si="15"/>
        <v>0</v>
      </c>
      <c r="R58" s="4" t="str">
        <f t="shared" si="4"/>
        <v>Negligible</v>
      </c>
      <c r="S58" s="15"/>
      <c r="T58" s="6"/>
      <c r="U58" s="18"/>
      <c r="V58" s="6"/>
      <c r="W58" s="4"/>
      <c r="X58" s="19"/>
      <c r="Y58" s="19"/>
      <c r="Z58" s="5"/>
      <c r="AA58" s="5"/>
      <c r="AB58" s="5"/>
      <c r="AC58" s="53"/>
      <c r="AD58" s="53"/>
      <c r="AE58" s="53"/>
      <c r="AF58" s="5">
        <f t="shared" si="16"/>
        <v>0</v>
      </c>
      <c r="AG58" s="5">
        <f>IF(AA58="",0,IF(AA58&lt;=SelectionCriteria!$G$5,1, IF(AA58&lt;=SelectionCriteria!$G$4,2, IF(AA58&lt;=SelectionCriteria!$G$3,3,4))))</f>
        <v>0</v>
      </c>
      <c r="AH58" s="5">
        <f t="shared" si="17"/>
        <v>0</v>
      </c>
      <c r="AI58" s="5">
        <f t="shared" si="18"/>
        <v>0</v>
      </c>
      <c r="AJ58" s="3">
        <f t="shared" si="19"/>
        <v>0</v>
      </c>
      <c r="AK58" s="4" t="str">
        <f t="shared" si="9"/>
        <v>Negligible</v>
      </c>
      <c r="AL58" s="19"/>
      <c r="AM58" s="3">
        <f t="shared" si="20"/>
        <v>0</v>
      </c>
      <c r="AN58" s="3">
        <f t="shared" si="21"/>
        <v>0</v>
      </c>
      <c r="AO58" s="86"/>
      <c r="AP58" s="86"/>
      <c r="AQ58" s="86"/>
      <c r="AR58" s="86"/>
      <c r="AS58" s="86">
        <f>Risks!AW98</f>
        <v>0</v>
      </c>
      <c r="AT58" s="6"/>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row>
    <row r="59" spans="1:139" s="12" customFormat="1" ht="32.1" hidden="1" customHeight="1" x14ac:dyDescent="0.25">
      <c r="A59" s="3" t="str">
        <f>Risks!B99</f>
        <v>MVTX_004</v>
      </c>
      <c r="B59" s="25"/>
      <c r="C59" s="10"/>
      <c r="D59" s="18"/>
      <c r="E59" s="5"/>
      <c r="F59" s="14" t="str">
        <f>Risks!G99</f>
        <v>M. Liu</v>
      </c>
      <c r="G59" s="15" t="str">
        <f>Risks!H99</f>
        <v>Samtec Cable R&amp;D</v>
      </c>
      <c r="H59" s="15"/>
      <c r="I59" s="4"/>
      <c r="J59" s="19"/>
      <c r="K59" s="19"/>
      <c r="L59" s="7"/>
      <c r="M59" s="17">
        <f t="shared" si="12"/>
        <v>0</v>
      </c>
      <c r="N59" s="5">
        <f>IF(L59="",0,IF(L59&lt;=SelectionCriteria!$G$5,1, IF(L59&lt;=SelectionCriteria!$G$4,2, IF(L59&lt;=SelectionCriteria!$G$3,3,4))))</f>
        <v>0</v>
      </c>
      <c r="O59" s="5">
        <f t="shared" si="13"/>
        <v>0</v>
      </c>
      <c r="P59" s="5">
        <f t="shared" si="14"/>
        <v>0</v>
      </c>
      <c r="Q59" s="3">
        <f t="shared" si="15"/>
        <v>0</v>
      </c>
      <c r="R59" s="4" t="str">
        <f t="shared" si="4"/>
        <v>Negligible</v>
      </c>
      <c r="S59" s="15"/>
      <c r="T59" s="6"/>
      <c r="U59" s="18"/>
      <c r="V59" s="6"/>
      <c r="W59" s="4"/>
      <c r="X59" s="19"/>
      <c r="Y59" s="19"/>
      <c r="Z59" s="5"/>
      <c r="AA59" s="5"/>
      <c r="AB59" s="5"/>
      <c r="AC59" s="53"/>
      <c r="AD59" s="53"/>
      <c r="AE59" s="53"/>
      <c r="AF59" s="5">
        <f t="shared" si="16"/>
        <v>0</v>
      </c>
      <c r="AG59" s="5">
        <f>IF(AA59="",0,IF(AA59&lt;=SelectionCriteria!$G$5,1, IF(AA59&lt;=SelectionCriteria!$G$4,2, IF(AA59&lt;=SelectionCriteria!$G$3,3,4))))</f>
        <v>0</v>
      </c>
      <c r="AH59" s="5">
        <f t="shared" si="17"/>
        <v>0</v>
      </c>
      <c r="AI59" s="5">
        <f t="shared" si="18"/>
        <v>0</v>
      </c>
      <c r="AJ59" s="3">
        <f t="shared" si="19"/>
        <v>0</v>
      </c>
      <c r="AK59" s="4" t="str">
        <f t="shared" si="9"/>
        <v>Negligible</v>
      </c>
      <c r="AL59" s="19"/>
      <c r="AM59" s="3">
        <f t="shared" si="20"/>
        <v>0</v>
      </c>
      <c r="AN59" s="3">
        <f t="shared" si="21"/>
        <v>0</v>
      </c>
      <c r="AO59" s="86"/>
      <c r="AP59" s="86"/>
      <c r="AQ59" s="86"/>
      <c r="AR59" s="86"/>
      <c r="AS59" s="86">
        <f>Risks!AW99</f>
        <v>0</v>
      </c>
      <c r="AT59" s="6"/>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row>
    <row r="60" spans="1:139" s="12" customFormat="1" ht="22.5" customHeight="1" x14ac:dyDescent="0.25">
      <c r="A60" s="3"/>
      <c r="B60" s="7"/>
      <c r="C60" s="10"/>
      <c r="D60" s="3"/>
      <c r="E60" s="14"/>
      <c r="F60" s="14"/>
      <c r="G60" s="15"/>
      <c r="H60" s="15"/>
      <c r="I60" s="4"/>
      <c r="J60" s="19"/>
      <c r="K60" s="19"/>
      <c r="L60" s="7"/>
      <c r="M60" s="17">
        <f t="shared" ref="M60:M65" si="22">IF(I60=0,0,IF(I60&lt;=0.01,1, IF(I60&lt;=0.1,2, IF(I60&lt;=0.5,3,4))))</f>
        <v>0</v>
      </c>
      <c r="N60" s="5">
        <f>IF(L60="",0,IF(L60&lt;=SelectionCriteria!$G$5,1, IF(L60&lt;=SelectionCriteria!$G$4,2, IF(L60&lt;=SelectionCriteria!$G$3,3,4))))</f>
        <v>0</v>
      </c>
      <c r="O60" s="5">
        <f t="shared" ref="O60:P62" si="23">IF(J60="",0,IF(J60="Negligible",1,IF(J60="Low",2,IF(J60="Moderate",3,4))))</f>
        <v>0</v>
      </c>
      <c r="P60" s="5">
        <f t="shared" si="23"/>
        <v>0</v>
      </c>
      <c r="Q60" s="3">
        <f t="shared" ref="Q60:Q65" si="24">M60*((N60+O60+P60)/3)</f>
        <v>0</v>
      </c>
      <c r="R60" s="4" t="str">
        <f t="shared" ref="R60:R65" si="25">IF(Q60&lt;=3,"Negligible",IF(Q60&lt;=6,"Low",IF(Q60&lt;=9,"Moderate","High")))</f>
        <v>Negligible</v>
      </c>
      <c r="S60" s="15"/>
      <c r="T60" s="6"/>
      <c r="U60" s="18"/>
      <c r="V60" s="6"/>
      <c r="W60" s="4"/>
      <c r="X60" s="19"/>
      <c r="Y60" s="19"/>
      <c r="Z60" s="16"/>
      <c r="AA60" s="16"/>
      <c r="AB60" s="16"/>
      <c r="AC60" s="53"/>
      <c r="AD60" s="53"/>
      <c r="AE60" s="53"/>
      <c r="AF60" s="5">
        <f t="shared" ref="AF60:AF65" si="26">IF(W60=0,0,IF(W60&lt;=0.01,1, IF(W60&lt;=0.1,2, IF(W60&lt;=0.5,3,4))))</f>
        <v>0</v>
      </c>
      <c r="AG60" s="5">
        <f>IF(AA60="",0,IF(AA60&lt;=SelectionCriteria!$G$5,1, IF(AA60&lt;=SelectionCriteria!$G$4,2, IF(AA60&lt;=SelectionCriteria!$G$3,3,4))))</f>
        <v>0</v>
      </c>
      <c r="AH60" s="5">
        <f t="shared" ref="AH60:AI62" si="27">IF(X60="",0,IF(X60="Negligible",1,IF(X60="Low",2,IF(X60="Moderate",3,4))))</f>
        <v>0</v>
      </c>
      <c r="AI60" s="5">
        <f t="shared" si="27"/>
        <v>0</v>
      </c>
      <c r="AJ60" s="3">
        <f t="shared" ref="AJ60:AJ65" si="28">AF60*((AG60+AH60+AI60)/3)</f>
        <v>0</v>
      </c>
      <c r="AK60" s="4" t="str">
        <f t="shared" ref="AK60:AK65" si="29">IF(AJ60&lt;=3,"Negligible",IF(AJ60&lt;=6,"Low",IF(AJ60&lt;=9,"Moderate","High")))</f>
        <v>Negligible</v>
      </c>
      <c r="AL60" s="19"/>
      <c r="AM60" s="3">
        <f t="shared" ref="AM60:AM65" si="30">W60*AA60</f>
        <v>0</v>
      </c>
      <c r="AN60" s="3">
        <f t="shared" ref="AN60:AN65" si="31">W60*(SUM(Z60:AB60)/3)</f>
        <v>0</v>
      </c>
      <c r="AO60" s="86"/>
      <c r="AP60" s="86"/>
      <c r="AQ60" s="86"/>
      <c r="AR60" s="86"/>
      <c r="AS60" s="86"/>
      <c r="AT60" s="6"/>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row>
    <row r="61" spans="1:139" s="12" customFormat="1" ht="22.5" customHeight="1" x14ac:dyDescent="0.25">
      <c r="A61" s="3"/>
      <c r="B61" s="7"/>
      <c r="C61" s="10"/>
      <c r="D61" s="3"/>
      <c r="E61" s="14"/>
      <c r="F61" s="14"/>
      <c r="G61" s="15"/>
      <c r="H61" s="15"/>
      <c r="I61" s="4"/>
      <c r="J61" s="19"/>
      <c r="K61" s="19"/>
      <c r="L61" s="7"/>
      <c r="M61" s="17">
        <f t="shared" si="22"/>
        <v>0</v>
      </c>
      <c r="N61" s="5">
        <f>IF(L61="",0,IF(L61&lt;=SelectionCriteria!$G$5,1, IF(L61&lt;=SelectionCriteria!$G$4,2, IF(L61&lt;=SelectionCriteria!$G$3,3,4))))</f>
        <v>0</v>
      </c>
      <c r="O61" s="5">
        <f t="shared" si="23"/>
        <v>0</v>
      </c>
      <c r="P61" s="5">
        <f t="shared" si="23"/>
        <v>0</v>
      </c>
      <c r="Q61" s="3">
        <f t="shared" si="24"/>
        <v>0</v>
      </c>
      <c r="R61" s="4" t="str">
        <f t="shared" si="25"/>
        <v>Negligible</v>
      </c>
      <c r="S61" s="6"/>
      <c r="T61" s="15"/>
      <c r="U61" s="18"/>
      <c r="V61" s="15"/>
      <c r="W61" s="4"/>
      <c r="X61" s="19"/>
      <c r="Y61" s="19"/>
      <c r="Z61" s="5"/>
      <c r="AA61" s="5"/>
      <c r="AB61" s="5"/>
      <c r="AC61" s="53"/>
      <c r="AD61" s="53"/>
      <c r="AE61" s="53"/>
      <c r="AF61" s="5">
        <f t="shared" si="26"/>
        <v>0</v>
      </c>
      <c r="AG61" s="5">
        <f>IF(AA61="",0,IF(AA61&lt;=SelectionCriteria!$G$5,1, IF(AA61&lt;=SelectionCriteria!$G$4,2, IF(AA61&lt;=SelectionCriteria!$G$3,3,4))))</f>
        <v>0</v>
      </c>
      <c r="AH61" s="5">
        <f t="shared" si="27"/>
        <v>0</v>
      </c>
      <c r="AI61" s="5">
        <f t="shared" si="27"/>
        <v>0</v>
      </c>
      <c r="AJ61" s="3">
        <f t="shared" si="28"/>
        <v>0</v>
      </c>
      <c r="AK61" s="4" t="str">
        <f t="shared" si="29"/>
        <v>Negligible</v>
      </c>
      <c r="AL61" s="19"/>
      <c r="AM61" s="3">
        <f t="shared" si="30"/>
        <v>0</v>
      </c>
      <c r="AN61" s="3">
        <f t="shared" si="31"/>
        <v>0</v>
      </c>
      <c r="AO61" s="86"/>
      <c r="AP61" s="86"/>
      <c r="AQ61" s="86"/>
      <c r="AR61" s="86"/>
      <c r="AS61" s="86"/>
      <c r="AT61" s="6"/>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row>
    <row r="62" spans="1:139" s="12" customFormat="1" ht="22.5" customHeight="1" x14ac:dyDescent="0.25">
      <c r="A62" s="3"/>
      <c r="B62" s="7"/>
      <c r="C62" s="10"/>
      <c r="D62" s="3"/>
      <c r="E62" s="5"/>
      <c r="F62" s="14"/>
      <c r="G62" s="15"/>
      <c r="H62" s="15"/>
      <c r="I62" s="4"/>
      <c r="J62" s="19"/>
      <c r="K62" s="19"/>
      <c r="L62" s="7"/>
      <c r="M62" s="17">
        <f t="shared" si="22"/>
        <v>0</v>
      </c>
      <c r="N62" s="5">
        <f>IF(L62="",0,IF(L62&lt;=SelectionCriteria!$G$5,1, IF(L62&lt;=SelectionCriteria!$G$4,2, IF(L62&lt;=SelectionCriteria!$G$3,3,4))))</f>
        <v>0</v>
      </c>
      <c r="O62" s="5">
        <f t="shared" si="23"/>
        <v>0</v>
      </c>
      <c r="P62" s="5">
        <f t="shared" si="23"/>
        <v>0</v>
      </c>
      <c r="Q62" s="3">
        <f t="shared" si="24"/>
        <v>0</v>
      </c>
      <c r="R62" s="4" t="str">
        <f t="shared" si="25"/>
        <v>Negligible</v>
      </c>
      <c r="S62" s="15"/>
      <c r="T62" s="6"/>
      <c r="U62" s="18"/>
      <c r="V62" s="6"/>
      <c r="W62" s="4"/>
      <c r="X62" s="19"/>
      <c r="Y62" s="19"/>
      <c r="Z62" s="5"/>
      <c r="AA62" s="5"/>
      <c r="AB62" s="5"/>
      <c r="AC62" s="53"/>
      <c r="AD62" s="53"/>
      <c r="AE62" s="53"/>
      <c r="AF62" s="5">
        <f t="shared" si="26"/>
        <v>0</v>
      </c>
      <c r="AG62" s="5">
        <f>IF(AA62="",0,IF(AA62&lt;=SelectionCriteria!$G$5,1, IF(AA62&lt;=SelectionCriteria!$G$4,2, IF(AA62&lt;=SelectionCriteria!$G$3,3,4))))</f>
        <v>0</v>
      </c>
      <c r="AH62" s="5">
        <f t="shared" si="27"/>
        <v>0</v>
      </c>
      <c r="AI62" s="5">
        <f t="shared" si="27"/>
        <v>0</v>
      </c>
      <c r="AJ62" s="3">
        <f t="shared" si="28"/>
        <v>0</v>
      </c>
      <c r="AK62" s="4" t="str">
        <f t="shared" si="29"/>
        <v>Negligible</v>
      </c>
      <c r="AL62" s="19"/>
      <c r="AM62" s="3">
        <f t="shared" si="30"/>
        <v>0</v>
      </c>
      <c r="AN62" s="3">
        <f t="shared" si="31"/>
        <v>0</v>
      </c>
      <c r="AO62" s="86"/>
      <c r="AP62" s="86"/>
      <c r="AQ62" s="86"/>
      <c r="AR62" s="86"/>
      <c r="AS62" s="86"/>
      <c r="AT62" s="6"/>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row>
    <row r="63" spans="1:139" s="12" customFormat="1" ht="22.5" customHeight="1" x14ac:dyDescent="0.25">
      <c r="A63" s="10"/>
      <c r="B63" s="26"/>
      <c r="C63" s="10"/>
      <c r="D63" s="10"/>
      <c r="E63" s="14"/>
      <c r="F63" s="14"/>
      <c r="G63" s="15"/>
      <c r="H63" s="15"/>
      <c r="I63" s="4"/>
      <c r="J63" s="19"/>
      <c r="K63" s="19"/>
      <c r="L63" s="7"/>
      <c r="M63" s="17">
        <f t="shared" si="22"/>
        <v>0</v>
      </c>
      <c r="N63" s="5">
        <f>IF(L63="",0,IF(L63&lt;=SelectionCriteria!$G$5,1, IF(L63&lt;=SelectionCriteria!$G$4,2, IF(L63&lt;=SelectionCriteria!$G$3,3,4))))</f>
        <v>0</v>
      </c>
      <c r="O63" s="5">
        <f t="shared" ref="O63:P65" si="32">IF(J63="",0,IF(J63="Negligible",1,IF(J63="Low",2,IF(J63="Moderate",3,4))))</f>
        <v>0</v>
      </c>
      <c r="P63" s="5">
        <f t="shared" si="32"/>
        <v>0</v>
      </c>
      <c r="Q63" s="3">
        <f t="shared" si="24"/>
        <v>0</v>
      </c>
      <c r="R63" s="4" t="str">
        <f t="shared" si="25"/>
        <v>Negligible</v>
      </c>
      <c r="S63" s="13"/>
      <c r="T63" s="13"/>
      <c r="U63" s="18"/>
      <c r="V63" s="13"/>
      <c r="W63" s="4"/>
      <c r="X63" s="19"/>
      <c r="Y63" s="19"/>
      <c r="Z63" s="5"/>
      <c r="AA63" s="5"/>
      <c r="AB63" s="5"/>
      <c r="AC63" s="53"/>
      <c r="AD63" s="53"/>
      <c r="AE63" s="53"/>
      <c r="AF63" s="5">
        <f t="shared" si="26"/>
        <v>0</v>
      </c>
      <c r="AG63" s="5">
        <f>IF(AA63="",0,IF(AA63&lt;=SelectionCriteria!$G$5,1, IF(AA63&lt;=SelectionCriteria!$G$4,2, IF(AA63&lt;=SelectionCriteria!$G$3,3,4))))</f>
        <v>0</v>
      </c>
      <c r="AH63" s="5">
        <f t="shared" ref="AH63:AI65" si="33">IF(X63="",0,IF(X63="Negligible",1,IF(X63="Low",2,IF(X63="Moderate",3,4))))</f>
        <v>0</v>
      </c>
      <c r="AI63" s="5">
        <f t="shared" si="33"/>
        <v>0</v>
      </c>
      <c r="AJ63" s="3">
        <f t="shared" si="28"/>
        <v>0</v>
      </c>
      <c r="AK63" s="4" t="str">
        <f t="shared" si="29"/>
        <v>Negligible</v>
      </c>
      <c r="AL63" s="19"/>
      <c r="AM63" s="3">
        <f t="shared" si="30"/>
        <v>0</v>
      </c>
      <c r="AN63" s="3">
        <f t="shared" si="31"/>
        <v>0</v>
      </c>
      <c r="AO63" s="86"/>
      <c r="AP63" s="86"/>
      <c r="AQ63" s="86"/>
      <c r="AR63" s="86"/>
      <c r="AS63" s="86"/>
      <c r="AT63" s="6"/>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row>
    <row r="64" spans="1:139" s="12" customFormat="1" ht="22.5" customHeight="1" x14ac:dyDescent="0.25">
      <c r="A64" s="3"/>
      <c r="B64" s="7"/>
      <c r="C64" s="10"/>
      <c r="D64" s="3"/>
      <c r="E64" s="14"/>
      <c r="F64" s="14"/>
      <c r="G64" s="15"/>
      <c r="H64" s="15"/>
      <c r="I64" s="4"/>
      <c r="J64" s="19"/>
      <c r="K64" s="19"/>
      <c r="L64" s="7"/>
      <c r="M64" s="17">
        <f t="shared" si="22"/>
        <v>0</v>
      </c>
      <c r="N64" s="5">
        <f>IF(L64="",0,IF(L64&lt;=SelectionCriteria!$G$5,1, IF(L64&lt;=SelectionCriteria!$G$4,2, IF(L64&lt;=SelectionCriteria!$G$3,3,4))))</f>
        <v>0</v>
      </c>
      <c r="O64" s="5">
        <f t="shared" si="32"/>
        <v>0</v>
      </c>
      <c r="P64" s="5">
        <f t="shared" si="32"/>
        <v>0</v>
      </c>
      <c r="Q64" s="3">
        <f t="shared" si="24"/>
        <v>0</v>
      </c>
      <c r="R64" s="4" t="str">
        <f t="shared" si="25"/>
        <v>Negligible</v>
      </c>
      <c r="S64" s="15"/>
      <c r="T64" s="15"/>
      <c r="U64" s="18"/>
      <c r="V64" s="15"/>
      <c r="W64" s="4"/>
      <c r="X64" s="19"/>
      <c r="Y64" s="19"/>
      <c r="Z64" s="5"/>
      <c r="AA64" s="5"/>
      <c r="AB64" s="5"/>
      <c r="AC64" s="53"/>
      <c r="AD64" s="53"/>
      <c r="AE64" s="53"/>
      <c r="AF64" s="5">
        <f t="shared" si="26"/>
        <v>0</v>
      </c>
      <c r="AG64" s="5">
        <f>IF(AA64="",0,IF(AA64&lt;=SelectionCriteria!$G$5,1, IF(AA64&lt;=SelectionCriteria!$G$4,2, IF(AA64&lt;=SelectionCriteria!$G$3,3,4))))</f>
        <v>0</v>
      </c>
      <c r="AH64" s="5">
        <f t="shared" si="33"/>
        <v>0</v>
      </c>
      <c r="AI64" s="5">
        <f t="shared" si="33"/>
        <v>0</v>
      </c>
      <c r="AJ64" s="3">
        <f t="shared" si="28"/>
        <v>0</v>
      </c>
      <c r="AK64" s="4" t="str">
        <f t="shared" si="29"/>
        <v>Negligible</v>
      </c>
      <c r="AL64" s="19"/>
      <c r="AM64" s="3">
        <f t="shared" si="30"/>
        <v>0</v>
      </c>
      <c r="AN64" s="3">
        <f t="shared" si="31"/>
        <v>0</v>
      </c>
      <c r="AO64" s="86"/>
      <c r="AP64" s="86"/>
      <c r="AQ64" s="86"/>
      <c r="AR64" s="86"/>
      <c r="AS64" s="86"/>
      <c r="AT64" s="6"/>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row>
    <row r="65" spans="1:139" s="12" customFormat="1" ht="22.5" customHeight="1" x14ac:dyDescent="0.25">
      <c r="A65" s="3"/>
      <c r="B65" s="7"/>
      <c r="C65" s="10"/>
      <c r="D65" s="3"/>
      <c r="E65" s="14"/>
      <c r="F65" s="14"/>
      <c r="G65" s="15"/>
      <c r="H65" s="15"/>
      <c r="I65" s="4"/>
      <c r="J65" s="19"/>
      <c r="K65" s="19"/>
      <c r="L65" s="7"/>
      <c r="M65" s="17">
        <f t="shared" si="22"/>
        <v>0</v>
      </c>
      <c r="N65" s="5">
        <f>IF(L65="",0,IF(L65&lt;=SelectionCriteria!$G$5,1, IF(L65&lt;=SelectionCriteria!$G$4,2, IF(L65&lt;=SelectionCriteria!$G$3,3,4))))</f>
        <v>0</v>
      </c>
      <c r="O65" s="5">
        <f t="shared" si="32"/>
        <v>0</v>
      </c>
      <c r="P65" s="5">
        <f t="shared" si="32"/>
        <v>0</v>
      </c>
      <c r="Q65" s="3">
        <f t="shared" si="24"/>
        <v>0</v>
      </c>
      <c r="R65" s="4" t="str">
        <f t="shared" si="25"/>
        <v>Negligible</v>
      </c>
      <c r="S65" s="15"/>
      <c r="T65" s="6"/>
      <c r="U65" s="18"/>
      <c r="V65" s="6"/>
      <c r="W65" s="4"/>
      <c r="X65" s="19"/>
      <c r="Y65" s="19"/>
      <c r="Z65" s="5"/>
      <c r="AA65" s="5"/>
      <c r="AB65" s="5"/>
      <c r="AC65" s="53"/>
      <c r="AD65" s="53"/>
      <c r="AE65" s="53"/>
      <c r="AF65" s="5">
        <f t="shared" si="26"/>
        <v>0</v>
      </c>
      <c r="AG65" s="5">
        <f>IF(AA65="",0,IF(AA65&lt;=SelectionCriteria!$G$5,1, IF(AA65&lt;=SelectionCriteria!$G$4,2, IF(AA65&lt;=SelectionCriteria!$G$3,3,4))))</f>
        <v>0</v>
      </c>
      <c r="AH65" s="5">
        <f t="shared" si="33"/>
        <v>0</v>
      </c>
      <c r="AI65" s="5">
        <f t="shared" si="33"/>
        <v>0</v>
      </c>
      <c r="AJ65" s="3">
        <f t="shared" si="28"/>
        <v>0</v>
      </c>
      <c r="AK65" s="4" t="str">
        <f t="shared" si="29"/>
        <v>Negligible</v>
      </c>
      <c r="AL65" s="19"/>
      <c r="AM65" s="3">
        <f t="shared" si="30"/>
        <v>0</v>
      </c>
      <c r="AN65" s="3">
        <f t="shared" si="31"/>
        <v>0</v>
      </c>
      <c r="AO65" s="86"/>
      <c r="AP65" s="86"/>
      <c r="AQ65" s="86"/>
      <c r="AR65" s="86"/>
      <c r="AS65" s="86"/>
      <c r="AT65" s="6"/>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row>
    <row r="66" spans="1:139" s="12" customFormat="1" x14ac:dyDescent="0.2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8"/>
      <c r="AN66" s="8"/>
      <c r="AO66" s="8"/>
      <c r="AP66" s="8"/>
      <c r="AQ66" s="8"/>
      <c r="AR66" s="8"/>
      <c r="AS66" s="8"/>
      <c r="AT66" s="9"/>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row>
    <row r="67" spans="1:139" s="12" customFormat="1" x14ac:dyDescent="0.2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row>
    <row r="68" spans="1:139" s="12" customFormat="1" x14ac:dyDescent="0.2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row>
    <row r="69" spans="1:139" s="12" customFormat="1" x14ac:dyDescent="0.2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row>
    <row r="70" spans="1:139" s="12" customFormat="1" x14ac:dyDescent="0.2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row>
    <row r="71" spans="1:139" s="12" customFormat="1" x14ac:dyDescent="0.2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row>
    <row r="72" spans="1:139" s="12" customFormat="1" x14ac:dyDescent="0.25">
      <c r="A72" s="9"/>
      <c r="B72" s="9"/>
      <c r="C72" s="9"/>
      <c r="D72" s="9"/>
      <c r="E72" s="9"/>
      <c r="F72" s="9"/>
      <c r="G72" s="9"/>
      <c r="H72" s="9" t="s">
        <v>38</v>
      </c>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row>
    <row r="73" spans="1:139" s="12" customFormat="1" x14ac:dyDescent="0.2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row>
    <row r="74" spans="1:139" s="12" customFormat="1" x14ac:dyDescent="0.2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row>
    <row r="75" spans="1:139" s="12" customFormat="1" x14ac:dyDescent="0.2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row>
    <row r="76" spans="1:139" s="12" customFormat="1" x14ac:dyDescent="0.2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row>
    <row r="77" spans="1:139" s="12" customFormat="1" x14ac:dyDescent="0.2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row>
    <row r="78" spans="1:139" s="12" customFormat="1" x14ac:dyDescent="0.2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row>
    <row r="79" spans="1:139" s="12" customFormat="1" x14ac:dyDescent="0.2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row>
    <row r="80" spans="1:139" s="12" customFormat="1" x14ac:dyDescent="0.2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row>
    <row r="81" spans="1:139" s="12" customFormat="1" x14ac:dyDescent="0.2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row>
    <row r="82" spans="1:139" s="12" customFormat="1" x14ac:dyDescent="0.2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row>
    <row r="83" spans="1:139" s="12" customFormat="1" x14ac:dyDescent="0.2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row>
    <row r="84" spans="1:139" s="12" customFormat="1" x14ac:dyDescent="0.2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row>
    <row r="85" spans="1:139" s="12" customFormat="1" x14ac:dyDescent="0.2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row>
    <row r="86" spans="1:139" s="12" customFormat="1" x14ac:dyDescent="0.2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row>
    <row r="87" spans="1:139" s="12" customFormat="1" x14ac:dyDescent="0.2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row>
    <row r="88" spans="1:139" s="12" customFormat="1" x14ac:dyDescent="0.2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row>
    <row r="89" spans="1:139" s="12" customFormat="1" x14ac:dyDescent="0.2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row>
    <row r="90" spans="1:139" s="12" customFormat="1" x14ac:dyDescent="0.2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row>
    <row r="91" spans="1:139" s="12" customFormat="1" x14ac:dyDescent="0.2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row>
    <row r="92" spans="1:139" s="12" customFormat="1" x14ac:dyDescent="0.2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row>
    <row r="93" spans="1:139" s="12" customFormat="1" x14ac:dyDescent="0.2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row>
    <row r="94" spans="1:139" s="12" customFormat="1" x14ac:dyDescent="0.2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row>
    <row r="95" spans="1:139" s="12" customFormat="1" x14ac:dyDescent="0.2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row>
    <row r="96" spans="1:139" s="12" customFormat="1" x14ac:dyDescent="0.2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row>
    <row r="97" spans="1:139" s="12" customFormat="1" x14ac:dyDescent="0.2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row>
    <row r="98" spans="1:139" s="12" customFormat="1" x14ac:dyDescent="0.2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row>
    <row r="99" spans="1:139" s="12" customFormat="1" x14ac:dyDescent="0.2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row>
    <row r="100" spans="1:139" s="12" customFormat="1" x14ac:dyDescent="0.2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row>
    <row r="101" spans="1:139" s="12" customFormat="1" x14ac:dyDescent="0.2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row>
    <row r="102" spans="1:139" s="12" customFormat="1" x14ac:dyDescent="0.2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row>
    <row r="103" spans="1:139" s="12" customFormat="1" x14ac:dyDescent="0.2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row>
    <row r="104" spans="1:139" s="12" customFormat="1" x14ac:dyDescent="0.2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row>
    <row r="105" spans="1:139" s="12" customFormat="1" x14ac:dyDescent="0.2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row>
    <row r="106" spans="1:139" s="12" customFormat="1" x14ac:dyDescent="0.2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row>
    <row r="107" spans="1:139" s="12" customFormat="1" x14ac:dyDescent="0.2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row>
    <row r="108" spans="1:139" s="12" customFormat="1" x14ac:dyDescent="0.2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row>
    <row r="109" spans="1:139" s="12" customFormat="1" x14ac:dyDescent="0.2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row>
    <row r="110" spans="1:139" s="12" customFormat="1" x14ac:dyDescent="0.2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row>
    <row r="111" spans="1:139" s="12" customFormat="1" x14ac:dyDescent="0.2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row>
    <row r="112" spans="1:139" s="12" customFormat="1" x14ac:dyDescent="0.2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row>
    <row r="113" spans="1:139" s="12" customFormat="1" x14ac:dyDescent="0.2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row>
    <row r="114" spans="1:139" s="12" customFormat="1" x14ac:dyDescent="0.2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row>
    <row r="115" spans="1:139" s="12" customFormat="1" x14ac:dyDescent="0.2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row>
    <row r="116" spans="1:139" s="12" customFormat="1" x14ac:dyDescent="0.2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row>
    <row r="117" spans="1:139" s="12" customFormat="1" x14ac:dyDescent="0.2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row>
    <row r="118" spans="1:139" s="12" customFormat="1" x14ac:dyDescent="0.2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row>
    <row r="119" spans="1:139" s="12" customFormat="1" x14ac:dyDescent="0.2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row>
    <row r="120" spans="1:139" s="12" customFormat="1" x14ac:dyDescent="0.2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row>
    <row r="121" spans="1:139" s="12" customFormat="1" x14ac:dyDescent="0.2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row>
    <row r="122" spans="1:139" s="12" customFormat="1" x14ac:dyDescent="0.2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row>
    <row r="123" spans="1:139" s="12" customFormat="1" x14ac:dyDescent="0.2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row>
    <row r="124" spans="1:139" s="12" customFormat="1" x14ac:dyDescent="0.2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row>
    <row r="125" spans="1:139" s="12" customFormat="1" x14ac:dyDescent="0.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row>
    <row r="126" spans="1:139" s="12" customFormat="1" x14ac:dyDescent="0.2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row>
    <row r="127" spans="1:139" s="12" customFormat="1" x14ac:dyDescent="0.2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row>
    <row r="128" spans="1:139" s="12" customFormat="1" x14ac:dyDescent="0.2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row>
    <row r="129" spans="1:139" s="12" customFormat="1" x14ac:dyDescent="0.2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row>
    <row r="130" spans="1:139" s="12" customFormat="1" x14ac:dyDescent="0.2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row>
    <row r="131" spans="1:139" s="12" customFormat="1" x14ac:dyDescent="0.2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row>
    <row r="132" spans="1:139" s="12" customFormat="1" x14ac:dyDescent="0.2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row>
    <row r="133" spans="1:139" s="12" customFormat="1" x14ac:dyDescent="0.2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row>
  </sheetData>
  <autoFilter xmlns:x14="http://schemas.microsoft.com/office/spreadsheetml/2009/9/main" ref="A2:AT65" xr:uid="{00000000-0009-0000-0000-000003000000}">
    <filterColumn colId="44">
      <filters blank="1">
        <mc:AlternateContent xmlns:mc="http://schemas.openxmlformats.org/markup-compatibility/2006">
          <mc:Choice Requires="x14">
            <x14:filter val="Realized, PCR017"/>
            <x14:filter val="Retired Apr 3 2019."/>
            <x14:filter val="Retired based on production status."/>
            <x14:filter val="Retired Dec 17 2018. Engineering for board design and initial firmware is handled at Nevis Laboratories.   For longer term maintenance and algorithm updates in firmware, the U. Colorado group will have postdoctoral research scientists and graduate students for the task.    The schedule includes time for transitioning between such scientists and students, and faculty at the U. Colorado will provide necessary continuity."/>
            <x14:filter val="Retired Dec 17 2018. Full simulations of all trigger algorithms are now complete.    Specific implementations in the firmware and latencies need to be measured.   There are two rounds of prototype modules and firmware in the P6 schedule including specifically called out reviews after each stage.    Handling any timing and algorithm issues is already accounted for in the official schedule. "/>
            <x14:filter val="Retired Dec 17 2018. We have already procured the GL1 and GTM units that we believe are the final ones."/>
            <x14:filter val="Retired Jan 31 2019_x000a_Risk did not realize._x000a_Order with Hamamatsu has been placed, foreign vendor uncertainty no longer applies."/>
            <x14:filter val="Retired Jan 31 2019_x000a_Risk did not realize._x000a_Order with Hamamatsu has been placed."/>
            <x14:filter val="Retired Jan 31 2019. Nine new risks (one per each participating University) replace this one._x000a_CAMs will own the respective University labor related risks."/>
            <x14:filter val="Retired Jan 31 2019. Risk did not realize. The design is ready."/>
            <x14:filter val="Retired Jan 31 2019. sPHENIX MIE does not include installation, so the installation-related risks will be tracked in sPHENIX Support."/>
            <x14:filter val="Retired Jan 31 2019. This risk is retired since Field Cage v2 prototype production is in the RLS."/>
            <x14:filter val="Retired Mar 28 2019.  Justification: We have obtained one original CLTS （Cryogenic Linear Temperature Sensor) from BaBar/Ansaldo card which changed resistance to 4 to 20 mA.  We have tested it and it worked.  We have then made copies of this card for as many channels as we need."/>
            <x14:filter val="Retired Mar 28 2019. Risk did not realize. The support platform is in a different WBS and therefore the schedule will be monitored by a different L2 manager."/>
            <x14:filter val="Retired on Apr 27 2020.  Based upon results measured over multiple chips, we have declared the chip as having met or surpassed our requirements."/>
            <x14:filter val="Retired on Feb 20 2019. Successful preproduction contract and more than one supplier identified."/>
            <x14:filter val="Retired on Jan 31 2019_x000a_Risk did not realize._x000a_Contract placed Jan 22 2019 (PO 359217)"/>
            <x14:filter val="Retired on Jan 31 2019_x000a_Risk did not realize._x000a_Contract placed Sep 18  2018 (PO  )"/>
            <x14:filter val="Retired on Jan 31 2019_x000a_Risk did not realize._x000a_UIUC placed 2 contracts with Starck in April 2018 and Oct 2019, got both delivered."/>
            <x14:filter val="Retired on Jan 31 2019. Currency fluctuations can go both ways and there is no reason to expect that Swiss franc will go up against the US dollar in near future."/>
            <x14:filter val="Retired on Mar 22 2019."/>
            <x14:filter val="Retired."/>
            <x14:filter val="Retired. All delays are assigned to WBS 1.2-1.7"/>
          </mc:Choice>
          <mc:Fallback>
            <filter val="Realized, PCR017"/>
            <filter val="Retired Apr 3 2019."/>
            <filter val="Retired based on production status."/>
            <filter val="Retired Dec 17 2018. We have already procured the GL1 and GTM units that we believe are the final ones."/>
            <filter val="Retired Jan 31 2019_x000a_Risk did not realize._x000a_Order with Hamamatsu has been placed, foreign vendor uncertainty no longer applies."/>
            <filter val="Retired Jan 31 2019_x000a_Risk did not realize._x000a_Order with Hamamatsu has been placed."/>
            <filter val="Retired Jan 31 2019. Nine new risks (one per each participating University) replace this one._x000a_CAMs will own the respective University labor related risks."/>
            <filter val="Retired Jan 31 2019. Risk did not realize. The design is ready."/>
            <filter val="Retired Jan 31 2019. sPHENIX MIE does not include installation, so the installation-related risks will be tracked in sPHENIX Support."/>
            <filter val="Retired Jan 31 2019. This risk is retired since Field Cage v2 prototype production is in the RLS."/>
            <filter val="Retired Mar 28 2019. Risk did not realize. The support platform is in a different WBS and therefore the schedule will be monitored by a different L2 manager."/>
            <filter val="Retired on Apr 27 2020.  Based upon results measured over multiple chips, we have declared the chip as having met or surpassed our requirements."/>
            <filter val="Retired on Feb 20 2019. Successful preproduction contract and more than one supplier identified."/>
            <filter val="Retired on Jan 31 2019_x000a_Risk did not realize._x000a_Contract placed Jan 22 2019 (PO 359217)"/>
            <filter val="Retired on Jan 31 2019_x000a_Risk did not realize._x000a_Contract placed Sep 18  2018 (PO  )"/>
            <filter val="Retired on Jan 31 2019_x000a_Risk did not realize._x000a_UIUC placed 2 contracts with Starck in April 2018 and Oct 2019, got both delivered."/>
            <filter val="Retired on Jan 31 2019. Currency fluctuations can go both ways and there is no reason to expect that Swiss franc will go up against the US dollar in near future."/>
            <filter val="Retired on Mar 22 2019."/>
            <filter val="Retired."/>
            <filter val="Retired. All delays are assigned to WBS 1.2-1.7"/>
          </mc:Fallback>
        </mc:AlternateContent>
      </filters>
    </filterColumn>
    <sortState xmlns:xlrd2="http://schemas.microsoft.com/office/spreadsheetml/2017/richdata2" ref="A3:AW114">
      <sortCondition descending="1" ref="AN2:AN114"/>
    </sortState>
  </autoFilter>
  <mergeCells count="1">
    <mergeCell ref="A1:AT1"/>
  </mergeCells>
  <conditionalFormatting sqref="I60:I65 W60:W65 I3 W3">
    <cfRule type="cellIs" dxfId="111" priority="77" stopIfTrue="1" operator="greaterThan">
      <formula>0.5</formula>
    </cfRule>
    <cfRule type="cellIs" dxfId="110" priority="78" stopIfTrue="1" operator="between">
      <formula>0.10001</formula>
      <formula>0.5</formula>
    </cfRule>
    <cfRule type="cellIs" dxfId="109" priority="79" stopIfTrue="1" operator="between">
      <formula>0.0100001</formula>
      <formula>0.1</formula>
    </cfRule>
    <cfRule type="cellIs" dxfId="108" priority="80" stopIfTrue="1" operator="between">
      <formula>0.000001</formula>
      <formula>0.01</formula>
    </cfRule>
  </conditionalFormatting>
  <conditionalFormatting sqref="R60:R65 R3 AJ3:AK3">
    <cfRule type="containsText" dxfId="107" priority="73" stopIfTrue="1" operator="containsText" text="High">
      <formula>NOT(ISERROR(SEARCH("High",R3)))</formula>
    </cfRule>
    <cfRule type="containsText" dxfId="106" priority="74" stopIfTrue="1" operator="containsText" text="Moderate">
      <formula>NOT(ISERROR(SEARCH("Moderate",R3)))</formula>
    </cfRule>
    <cfRule type="containsText" dxfId="105" priority="75" stopIfTrue="1" operator="containsText" text="Low">
      <formula>NOT(ISERROR(SEARCH("Low",R3)))</formula>
    </cfRule>
    <cfRule type="containsText" dxfId="104" priority="76" stopIfTrue="1" operator="containsText" text="Negligible">
      <formula>NOT(ISERROR(SEARCH("Negligible",R3)))</formula>
    </cfRule>
  </conditionalFormatting>
  <conditionalFormatting sqref="AJ60:AK65">
    <cfRule type="containsText" dxfId="103" priority="69" stopIfTrue="1" operator="containsText" text="High">
      <formula>NOT(ISERROR(SEARCH("High",AJ60)))</formula>
    </cfRule>
    <cfRule type="containsText" dxfId="102" priority="70" stopIfTrue="1" operator="containsText" text="Moderate">
      <formula>NOT(ISERROR(SEARCH("Moderate",AJ60)))</formula>
    </cfRule>
    <cfRule type="containsText" dxfId="101" priority="71" stopIfTrue="1" operator="containsText" text="Low">
      <formula>NOT(ISERROR(SEARCH("Low",AJ60)))</formula>
    </cfRule>
    <cfRule type="containsText" dxfId="100" priority="72" stopIfTrue="1" operator="containsText" text="Negligible">
      <formula>NOT(ISERROR(SEARCH("Negligible",AJ60)))</formula>
    </cfRule>
  </conditionalFormatting>
  <conditionalFormatting sqref="Q3 Q60:Q65">
    <cfRule type="containsText" dxfId="99" priority="61" stopIfTrue="1" operator="containsText" text="High">
      <formula>NOT(ISERROR(SEARCH("High",Q3)))</formula>
    </cfRule>
    <cfRule type="containsText" dxfId="98" priority="62" stopIfTrue="1" operator="containsText" text="Moderate">
      <formula>NOT(ISERROR(SEARCH("Moderate",Q3)))</formula>
    </cfRule>
    <cfRule type="containsText" dxfId="97" priority="63" stopIfTrue="1" operator="containsText" text="Low">
      <formula>NOT(ISERROR(SEARCH("Low",Q3)))</formula>
    </cfRule>
    <cfRule type="containsText" dxfId="96" priority="64" stopIfTrue="1" operator="containsText" text="Negligible">
      <formula>NOT(ISERROR(SEARCH("Negligible",Q3)))</formula>
    </cfRule>
  </conditionalFormatting>
  <conditionalFormatting sqref="I4:I11 W4:W11">
    <cfRule type="cellIs" dxfId="95" priority="29" stopIfTrue="1" operator="greaterThan">
      <formula>0.5</formula>
    </cfRule>
    <cfRule type="cellIs" dxfId="94" priority="30" stopIfTrue="1" operator="between">
      <formula>0.10001</formula>
      <formula>0.5</formula>
    </cfRule>
    <cfRule type="cellIs" dxfId="93" priority="31" stopIfTrue="1" operator="between">
      <formula>0.0100001</formula>
      <formula>0.1</formula>
    </cfRule>
    <cfRule type="cellIs" dxfId="92" priority="32" stopIfTrue="1" operator="between">
      <formula>0.000001</formula>
      <formula>0.01</formula>
    </cfRule>
  </conditionalFormatting>
  <conditionalFormatting sqref="R4:R11 AJ4:AK11">
    <cfRule type="containsText" dxfId="91" priority="25" stopIfTrue="1" operator="containsText" text="High">
      <formula>NOT(ISERROR(SEARCH("High",R4)))</formula>
    </cfRule>
    <cfRule type="containsText" dxfId="90" priority="26" stopIfTrue="1" operator="containsText" text="Moderate">
      <formula>NOT(ISERROR(SEARCH("Moderate",R4)))</formula>
    </cfRule>
    <cfRule type="containsText" dxfId="89" priority="27" stopIfTrue="1" operator="containsText" text="Low">
      <formula>NOT(ISERROR(SEARCH("Low",R4)))</formula>
    </cfRule>
    <cfRule type="containsText" dxfId="88" priority="28" stopIfTrue="1" operator="containsText" text="Negligible">
      <formula>NOT(ISERROR(SEARCH("Negligible",R4)))</formula>
    </cfRule>
  </conditionalFormatting>
  <conditionalFormatting sqref="Q4:Q11">
    <cfRule type="containsText" dxfId="87" priority="21" stopIfTrue="1" operator="containsText" text="High">
      <formula>NOT(ISERROR(SEARCH("High",Q4)))</formula>
    </cfRule>
    <cfRule type="containsText" dxfId="86" priority="22" stopIfTrue="1" operator="containsText" text="Moderate">
      <formula>NOT(ISERROR(SEARCH("Moderate",Q4)))</formula>
    </cfRule>
    <cfRule type="containsText" dxfId="85" priority="23" stopIfTrue="1" operator="containsText" text="Low">
      <formula>NOT(ISERROR(SEARCH("Low",Q4)))</formula>
    </cfRule>
    <cfRule type="containsText" dxfId="84" priority="24" stopIfTrue="1" operator="containsText" text="Negligible">
      <formula>NOT(ISERROR(SEARCH("Negligible",Q4)))</formula>
    </cfRule>
  </conditionalFormatting>
  <conditionalFormatting sqref="I12:I59 W12:W59">
    <cfRule type="cellIs" dxfId="83" priority="13" stopIfTrue="1" operator="greaterThan">
      <formula>0.5</formula>
    </cfRule>
    <cfRule type="cellIs" dxfId="82" priority="14" stopIfTrue="1" operator="between">
      <formula>0.10001</formula>
      <formula>0.5</formula>
    </cfRule>
    <cfRule type="cellIs" dxfId="81" priority="15" stopIfTrue="1" operator="between">
      <formula>0.0100001</formula>
      <formula>0.1</formula>
    </cfRule>
    <cfRule type="cellIs" dxfId="80" priority="16" stopIfTrue="1" operator="between">
      <formula>0.000001</formula>
      <formula>0.01</formula>
    </cfRule>
  </conditionalFormatting>
  <conditionalFormatting sqref="R12:R59 AJ12:AK59">
    <cfRule type="containsText" dxfId="79" priority="9" stopIfTrue="1" operator="containsText" text="High">
      <formula>NOT(ISERROR(SEARCH("High",R12)))</formula>
    </cfRule>
    <cfRule type="containsText" dxfId="78" priority="10" stopIfTrue="1" operator="containsText" text="Moderate">
      <formula>NOT(ISERROR(SEARCH("Moderate",R12)))</formula>
    </cfRule>
    <cfRule type="containsText" dxfId="77" priority="11" stopIfTrue="1" operator="containsText" text="Low">
      <formula>NOT(ISERROR(SEARCH("Low",R12)))</formula>
    </cfRule>
    <cfRule type="containsText" dxfId="76" priority="12" stopIfTrue="1" operator="containsText" text="Negligible">
      <formula>NOT(ISERROR(SEARCH("Negligible",R12)))</formula>
    </cfRule>
  </conditionalFormatting>
  <conditionalFormatting sqref="Q12:Q59">
    <cfRule type="containsText" dxfId="75" priority="5" stopIfTrue="1" operator="containsText" text="High">
      <formula>NOT(ISERROR(SEARCH("High",Q12)))</formula>
    </cfRule>
    <cfRule type="containsText" dxfId="74" priority="6" stopIfTrue="1" operator="containsText" text="Moderate">
      <formula>NOT(ISERROR(SEARCH("Moderate",Q12)))</formula>
    </cfRule>
    <cfRule type="containsText" dxfId="73" priority="7" stopIfTrue="1" operator="containsText" text="Low">
      <formula>NOT(ISERROR(SEARCH("Low",Q12)))</formula>
    </cfRule>
    <cfRule type="containsText" dxfId="72" priority="8" stopIfTrue="1" operator="containsText" text="Negligible">
      <formula>NOT(ISERROR(SEARCH("Negligible",Q12)))</formula>
    </cfRule>
  </conditionalFormatting>
  <pageMargins left="0.25" right="0.25" top="0.75" bottom="0.75" header="0.3" footer="0.3"/>
  <pageSetup paperSize="17" fitToHeight="8" orientation="landscape" r:id="rId1"/>
  <headerFooter>
    <oddHeader xml:space="preserve">&amp;C&amp;"-,Bold"&amp;14Project 
Risk Registry </oddHeader>
    <oddFooter>&amp;L&amp;D&amp;RPage &amp;P of &amp;N</oddFooter>
  </headerFooter>
  <extLst>
    <ext xmlns:x14="http://schemas.microsoft.com/office/spreadsheetml/2009/9/main" uri="{78C0D931-6437-407d-A8EE-F0AAD7539E65}">
      <x14:conditionalFormattings>
        <x14:conditionalFormatting xmlns:xm="http://schemas.microsoft.com/office/excel/2006/main">
          <x14:cfRule type="cellIs" priority="41" operator="equal" id="{D938B530-9BA5-47CE-B17D-EFE4920C1C3A}">
            <xm:f>SelectionCriteria!$A$5</xm:f>
            <x14:dxf>
              <fill>
                <patternFill>
                  <bgColor rgb="FF00B050"/>
                </patternFill>
              </fill>
            </x14:dxf>
          </x14:cfRule>
          <x14:cfRule type="cellIs" priority="42" operator="equal" id="{1CB80964-E770-405C-8328-B8018987D9E1}">
            <xm:f>SelectionCriteria!$A$4</xm:f>
            <x14:dxf>
              <fill>
                <patternFill>
                  <bgColor rgb="FFFFFF00"/>
                </patternFill>
              </fill>
            </x14:dxf>
          </x14:cfRule>
          <x14:cfRule type="cellIs" priority="43" operator="equal" id="{41DBF4E1-2E63-4A55-9C24-30AC59C953DF}">
            <xm:f>SelectionCriteria!$A$3</xm:f>
            <x14:dxf>
              <fill>
                <patternFill>
                  <bgColor theme="9"/>
                </patternFill>
              </fill>
            </x14:dxf>
          </x14:cfRule>
          <x14:cfRule type="cellIs" priority="44" operator="equal" id="{27A97DD5-858B-4F93-B756-348ECDF946E4}">
            <xm:f>SelectionCriteria!$A$2</xm:f>
            <x14:dxf>
              <fill>
                <patternFill>
                  <bgColor rgb="FFFF0000"/>
                </patternFill>
              </fill>
            </x14:dxf>
          </x14:cfRule>
          <xm:sqref>J3:K3 X3:Y3 AL3 AL60:AL65 X60:Y65 J60:K65</xm:sqref>
        </x14:conditionalFormatting>
        <x14:conditionalFormatting xmlns:xm="http://schemas.microsoft.com/office/excel/2006/main">
          <x14:cfRule type="cellIs" priority="17" operator="equal" id="{73A97D5A-CE9B-4082-ADD8-CD58D3F7185F}">
            <xm:f>SelectionCriteria!$A$5</xm:f>
            <x14:dxf>
              <fill>
                <patternFill>
                  <bgColor rgb="FF00B050"/>
                </patternFill>
              </fill>
            </x14:dxf>
          </x14:cfRule>
          <x14:cfRule type="cellIs" priority="18" operator="equal" id="{B18C94BC-8442-4ED3-95E1-DCD496364CE1}">
            <xm:f>SelectionCriteria!$A$4</xm:f>
            <x14:dxf>
              <fill>
                <patternFill>
                  <bgColor rgb="FFFFFF00"/>
                </patternFill>
              </fill>
            </x14:dxf>
          </x14:cfRule>
          <x14:cfRule type="cellIs" priority="19" operator="equal" id="{2D4ACE15-2E01-47EC-8D6B-711BEC464122}">
            <xm:f>SelectionCriteria!$A$3</xm:f>
            <x14:dxf>
              <fill>
                <patternFill>
                  <bgColor theme="9"/>
                </patternFill>
              </fill>
            </x14:dxf>
          </x14:cfRule>
          <x14:cfRule type="cellIs" priority="20" operator="equal" id="{C705C114-86A3-455F-8D3A-FD7DAE13450A}">
            <xm:f>SelectionCriteria!$A$2</xm:f>
            <x14:dxf>
              <fill>
                <patternFill>
                  <bgColor rgb="FFFF0000"/>
                </patternFill>
              </fill>
            </x14:dxf>
          </x14:cfRule>
          <xm:sqref>J4:K11 X4:Y11 AL4:AL11</xm:sqref>
        </x14:conditionalFormatting>
        <x14:conditionalFormatting xmlns:xm="http://schemas.microsoft.com/office/excel/2006/main">
          <x14:cfRule type="cellIs" priority="1" operator="equal" id="{F6FF6696-5AEC-49C9-8D30-3B1485173B1C}">
            <xm:f>SelectionCriteria!$A$5</xm:f>
            <x14:dxf>
              <fill>
                <patternFill>
                  <bgColor rgb="FF00B050"/>
                </patternFill>
              </fill>
            </x14:dxf>
          </x14:cfRule>
          <x14:cfRule type="cellIs" priority="2" operator="equal" id="{BAAA23B7-D3F9-4555-8271-27E55160D2D0}">
            <xm:f>SelectionCriteria!$A$4</xm:f>
            <x14:dxf>
              <fill>
                <patternFill>
                  <bgColor rgb="FFFFFF00"/>
                </patternFill>
              </fill>
            </x14:dxf>
          </x14:cfRule>
          <x14:cfRule type="cellIs" priority="3" operator="equal" id="{3DE35162-2CC7-4E8A-B690-6912EC742835}">
            <xm:f>SelectionCriteria!$A$3</xm:f>
            <x14:dxf>
              <fill>
                <patternFill>
                  <bgColor theme="9"/>
                </patternFill>
              </fill>
            </x14:dxf>
          </x14:cfRule>
          <x14:cfRule type="cellIs" priority="4" operator="equal" id="{A88095B9-4094-453D-9578-4DC25499BEF0}">
            <xm:f>SelectionCriteria!$A$2</xm:f>
            <x14:dxf>
              <fill>
                <patternFill>
                  <bgColor rgb="FFFF0000"/>
                </patternFill>
              </fill>
            </x14:dxf>
          </x14:cfRule>
          <xm:sqref>J12:K59 X12:Y59 AL12:AL59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SelectionCriteria!$A$8:$A$11</xm:f>
          </x14:formula1>
          <xm:sqref>U3:U65</xm:sqref>
        </x14:dataValidation>
        <x14:dataValidation type="list" allowBlank="1" showInputMessage="1" showErrorMessage="1" xr:uid="{00000000-0002-0000-0300-000001000000}">
          <x14:formula1>
            <xm:f>SelectionCriteria!$A$2:$A$5</xm:f>
          </x14:formula1>
          <xm:sqref>J3:K65 AL3:AL65 X3:Y65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24"/>
  <sheetViews>
    <sheetView showGridLines="0" zoomScale="78" zoomScaleNormal="78" workbookViewId="0">
      <selection activeCell="G21" sqref="G21:J23"/>
    </sheetView>
  </sheetViews>
  <sheetFormatPr defaultColWidth="8.85546875" defaultRowHeight="15" x14ac:dyDescent="0.25"/>
  <cols>
    <col min="1" max="1" width="45.42578125" customWidth="1"/>
    <col min="4" max="4" width="20.7109375" customWidth="1"/>
    <col min="5" max="5" width="41.7109375" customWidth="1"/>
    <col min="6" max="6" width="20.7109375" customWidth="1"/>
    <col min="7" max="7" width="17.28515625" customWidth="1"/>
    <col min="8" max="8" width="11.7109375" customWidth="1"/>
  </cols>
  <sheetData>
    <row r="1" spans="1:10" x14ac:dyDescent="0.25">
      <c r="A1" s="54" t="s">
        <v>72</v>
      </c>
      <c r="B1" s="41">
        <v>12</v>
      </c>
      <c r="D1" s="42">
        <v>20</v>
      </c>
      <c r="E1" s="42">
        <v>55.86</v>
      </c>
      <c r="F1" s="42">
        <v>19.29</v>
      </c>
      <c r="G1" s="42">
        <v>15.29</v>
      </c>
      <c r="H1" s="42">
        <v>17.14</v>
      </c>
    </row>
    <row r="2" spans="1:10" x14ac:dyDescent="0.25">
      <c r="A2" s="51"/>
      <c r="B2" s="52"/>
      <c r="D2" s="42"/>
      <c r="E2" s="42"/>
      <c r="F2" s="42"/>
      <c r="G2" s="42"/>
      <c r="H2" s="42"/>
    </row>
    <row r="3" spans="1:10" x14ac:dyDescent="0.25">
      <c r="A3" s="51"/>
      <c r="B3" s="52"/>
      <c r="D3" s="42"/>
      <c r="E3" s="42"/>
      <c r="F3" s="42"/>
      <c r="G3" s="42"/>
      <c r="H3" s="42"/>
    </row>
    <row r="4" spans="1:10" x14ac:dyDescent="0.25">
      <c r="A4" s="51"/>
      <c r="B4" s="52"/>
      <c r="D4" s="42"/>
      <c r="E4" s="42"/>
      <c r="F4" s="42"/>
      <c r="G4" s="42"/>
      <c r="H4" s="42"/>
    </row>
    <row r="5" spans="1:10" ht="15.75" thickBot="1" x14ac:dyDescent="0.3"/>
    <row r="6" spans="1:10" ht="18" customHeight="1" thickTop="1" x14ac:dyDescent="0.25">
      <c r="C6" s="43">
        <v>18</v>
      </c>
      <c r="D6" s="79" t="s">
        <v>55</v>
      </c>
      <c r="E6" s="80" t="s">
        <v>56</v>
      </c>
      <c r="F6" s="80" t="s">
        <v>19</v>
      </c>
      <c r="G6" s="81" t="s">
        <v>21</v>
      </c>
      <c r="H6" s="320" t="s">
        <v>57</v>
      </c>
      <c r="I6" s="321"/>
      <c r="J6" s="322"/>
    </row>
    <row r="7" spans="1:10" ht="30.75" customHeight="1" thickBot="1" x14ac:dyDescent="0.3">
      <c r="C7" s="43"/>
      <c r="D7" s="82" t="str">
        <f ca="1">"" &amp; INDIRECT("Risks!A"&amp;B1)</f>
        <v>10</v>
      </c>
      <c r="E7" s="83" t="str">
        <f ca="1">"" &amp; INDIRECT("Risks!G"&amp;B1)</f>
        <v>Tom Hemmick</v>
      </c>
      <c r="F7" s="84" t="str">
        <f ca="1">"" &amp; INDIRECT("Risks!D"&amp;B1)</f>
        <v>BNL</v>
      </c>
      <c r="G7" s="85" t="str">
        <f ca="1">"" &amp; INDIRECT("Risks!F"&amp;B1)</f>
        <v/>
      </c>
      <c r="H7" s="323" t="str">
        <f ca="1">"" &amp; INDIRECT("Risks!AK"&amp;B1)</f>
        <v>0</v>
      </c>
      <c r="I7" s="324"/>
      <c r="J7" s="325"/>
    </row>
    <row r="8" spans="1:10" s="44" customFormat="1" ht="18" customHeight="1" thickTop="1" x14ac:dyDescent="0.25">
      <c r="C8" s="45">
        <v>18</v>
      </c>
      <c r="D8" s="330" t="s">
        <v>58</v>
      </c>
      <c r="E8" s="331"/>
      <c r="F8" s="332"/>
      <c r="G8" s="46" t="s">
        <v>59</v>
      </c>
      <c r="H8" s="326">
        <f ca="1">INDIRECT("Risks!W"&amp;B1)</f>
        <v>0</v>
      </c>
      <c r="I8" s="326"/>
      <c r="J8" s="327"/>
    </row>
    <row r="9" spans="1:10" s="44" customFormat="1" ht="18" customHeight="1" x14ac:dyDescent="0.25">
      <c r="C9" s="45">
        <v>18</v>
      </c>
      <c r="D9" s="333" t="str">
        <f ca="1">"" &amp; INDIRECT("Risks!H"&amp;B1)</f>
        <v>Success of v1 field cage prototype</v>
      </c>
      <c r="E9" s="334"/>
      <c r="F9" s="335"/>
      <c r="G9" s="47" t="s">
        <v>60</v>
      </c>
      <c r="H9" s="328" t="str">
        <f ca="1">IF(H17&lt;=SelectionCriteria!$G$5,"Negligible", IF(H17&lt;=SelectionCriteria!$G$4,"Low",IF(H17&lt;=SelectionCriteria!$G$3,"Moderate","High")))</f>
        <v>Negligible</v>
      </c>
      <c r="I9" s="328"/>
      <c r="J9" s="329"/>
    </row>
    <row r="10" spans="1:10" s="44" customFormat="1" ht="18" customHeight="1" x14ac:dyDescent="0.25">
      <c r="C10" s="45">
        <v>18</v>
      </c>
      <c r="D10" s="333"/>
      <c r="E10" s="334"/>
      <c r="F10" s="335"/>
      <c r="G10" s="48" t="s">
        <v>61</v>
      </c>
      <c r="H10" s="328" t="str">
        <f ca="1">"" &amp; INDIRECT("Risks!X"&amp;B1)</f>
        <v/>
      </c>
      <c r="I10" s="328"/>
      <c r="J10" s="329"/>
    </row>
    <row r="11" spans="1:10" s="44" customFormat="1" ht="18" customHeight="1" thickBot="1" x14ac:dyDescent="0.3">
      <c r="C11" s="45">
        <v>18</v>
      </c>
      <c r="D11" s="333"/>
      <c r="E11" s="334"/>
      <c r="F11" s="335"/>
      <c r="G11" s="49" t="s">
        <v>62</v>
      </c>
      <c r="H11" s="346" t="str">
        <f ca="1">"" &amp; INDIRECT("Risks!Y"&amp;B1)</f>
        <v>0</v>
      </c>
      <c r="I11" s="346"/>
      <c r="J11" s="347"/>
    </row>
    <row r="12" spans="1:10" s="44" customFormat="1" ht="11.25" customHeight="1" thickTop="1" thickBot="1" x14ac:dyDescent="0.3">
      <c r="C12" s="45"/>
      <c r="D12" s="333"/>
      <c r="E12" s="334"/>
      <c r="F12" s="334"/>
      <c r="G12" s="336"/>
      <c r="H12" s="337"/>
      <c r="I12" s="67"/>
      <c r="J12" s="71"/>
    </row>
    <row r="13" spans="1:10" s="44" customFormat="1" ht="18" customHeight="1" thickTop="1" x14ac:dyDescent="0.25">
      <c r="C13" s="45">
        <v>18</v>
      </c>
      <c r="D13" s="338" t="s">
        <v>63</v>
      </c>
      <c r="E13" s="339"/>
      <c r="F13" s="340"/>
      <c r="G13" s="341" t="s">
        <v>64</v>
      </c>
      <c r="H13" s="342"/>
      <c r="I13" s="348" t="s">
        <v>79</v>
      </c>
      <c r="J13" s="349"/>
    </row>
    <row r="14" spans="1:10" s="44" customFormat="1" ht="18" customHeight="1" x14ac:dyDescent="0.25">
      <c r="C14" s="45">
        <v>18</v>
      </c>
      <c r="D14" s="343" t="str">
        <f ca="1">"" &amp; INDIRECT("Risks!S"&amp;B1)</f>
        <v/>
      </c>
      <c r="E14" s="344"/>
      <c r="F14" s="345"/>
      <c r="G14" s="48" t="s">
        <v>65</v>
      </c>
      <c r="H14" s="62" t="str">
        <f ca="1">INDIRECT("Risks!AM"&amp;B1)</f>
        <v>Not Residual</v>
      </c>
      <c r="I14" s="350"/>
      <c r="J14" s="351"/>
    </row>
    <row r="15" spans="1:10" s="44" customFormat="1" ht="18" customHeight="1" thickBot="1" x14ac:dyDescent="0.3">
      <c r="C15" s="45">
        <v>18</v>
      </c>
      <c r="D15" s="343"/>
      <c r="E15" s="344"/>
      <c r="F15" s="345"/>
      <c r="G15" s="50" t="s">
        <v>66</v>
      </c>
      <c r="H15" s="63">
        <f ca="1">INDIRECT("Risks!AN"&amp;B1)</f>
        <v>0</v>
      </c>
      <c r="I15" s="350"/>
      <c r="J15" s="351"/>
    </row>
    <row r="16" spans="1:10" s="44" customFormat="1" ht="18" customHeight="1" thickTop="1" x14ac:dyDescent="0.25">
      <c r="C16" s="45">
        <v>18</v>
      </c>
      <c r="D16" s="343"/>
      <c r="E16" s="344"/>
      <c r="F16" s="345"/>
      <c r="G16" s="46" t="s">
        <v>67</v>
      </c>
      <c r="H16" s="64" t="str">
        <f ca="1">INDIRECT("Risks!Z"&amp;B1)</f>
        <v>Negligible</v>
      </c>
      <c r="I16" s="76" t="s">
        <v>80</v>
      </c>
      <c r="J16" s="68">
        <f ca="1">INDIRECT("Risks!AC"&amp;B1)</f>
        <v>-150</v>
      </c>
    </row>
    <row r="17" spans="3:10" s="44" customFormat="1" ht="18" customHeight="1" x14ac:dyDescent="0.25">
      <c r="C17" s="45">
        <v>18</v>
      </c>
      <c r="D17" s="343"/>
      <c r="E17" s="344"/>
      <c r="F17" s="345"/>
      <c r="G17" s="48" t="s">
        <v>68</v>
      </c>
      <c r="H17" s="65">
        <f ca="1">INDIRECT("Risks!AA"&amp;B1)</f>
        <v>0</v>
      </c>
      <c r="I17" s="77" t="s">
        <v>81</v>
      </c>
      <c r="J17" s="69">
        <f ca="1">INDIRECT("Risks!AD"&amp;B1)</f>
        <v>-150</v>
      </c>
    </row>
    <row r="18" spans="3:10" s="44" customFormat="1" ht="18" customHeight="1" thickBot="1" x14ac:dyDescent="0.3">
      <c r="C18" s="45">
        <v>18</v>
      </c>
      <c r="D18" s="343"/>
      <c r="E18" s="344"/>
      <c r="F18" s="345"/>
      <c r="G18" s="49" t="s">
        <v>69</v>
      </c>
      <c r="H18" s="66">
        <f ca="1">INDIRECT("Risks!AB"&amp;B1)</f>
        <v>-150</v>
      </c>
      <c r="I18" s="78" t="s">
        <v>82</v>
      </c>
      <c r="J18" s="70">
        <f ca="1">INDIRECT("Risks!AE"&amp;B1)</f>
        <v>-4</v>
      </c>
    </row>
    <row r="19" spans="3:10" s="44" customFormat="1" ht="10.5" customHeight="1" thickTop="1" thickBot="1" x14ac:dyDescent="0.3">
      <c r="C19" s="45"/>
      <c r="D19" s="343"/>
      <c r="E19" s="344"/>
      <c r="F19" s="344"/>
      <c r="G19" s="75"/>
      <c r="H19" s="72"/>
      <c r="I19" s="73"/>
      <c r="J19" s="74"/>
    </row>
    <row r="20" spans="3:10" s="44" customFormat="1" ht="15.6" customHeight="1" thickTop="1" thickBot="1" x14ac:dyDescent="0.3">
      <c r="C20" s="45"/>
      <c r="D20" s="343"/>
      <c r="E20" s="344"/>
      <c r="F20" s="344"/>
      <c r="G20" s="352" t="s">
        <v>83</v>
      </c>
      <c r="H20" s="353"/>
      <c r="I20" s="353"/>
      <c r="J20" s="354"/>
    </row>
    <row r="21" spans="3:10" s="44" customFormat="1" ht="70.5" customHeight="1" thickTop="1" x14ac:dyDescent="0.25">
      <c r="C21" s="45"/>
      <c r="D21" s="343"/>
      <c r="E21" s="344"/>
      <c r="F21" s="344"/>
      <c r="G21" s="357" t="str">
        <f ca="1">"" &amp; INDIRECT("Risks!AO"&amp;B1)</f>
        <v>0</v>
      </c>
      <c r="H21" s="358"/>
      <c r="I21" s="358"/>
      <c r="J21" s="359"/>
    </row>
    <row r="22" spans="3:10" s="44" customFormat="1" ht="18" customHeight="1" x14ac:dyDescent="0.25">
      <c r="C22" s="45">
        <v>18</v>
      </c>
      <c r="D22" s="338" t="s">
        <v>70</v>
      </c>
      <c r="E22" s="339"/>
      <c r="F22" s="339"/>
      <c r="G22" s="360"/>
      <c r="H22" s="334"/>
      <c r="I22" s="334"/>
      <c r="J22" s="361"/>
    </row>
    <row r="23" spans="3:10" s="44" customFormat="1" ht="73.5" customHeight="1" thickBot="1" x14ac:dyDescent="0.3">
      <c r="D23" s="355" t="str">
        <f ca="1">"" &amp; INDIRECT("Risks!T"&amp;B1)</f>
        <v>High</v>
      </c>
      <c r="E23" s="356"/>
      <c r="F23" s="356"/>
      <c r="G23" s="362"/>
      <c r="H23" s="363"/>
      <c r="I23" s="363"/>
      <c r="J23" s="364"/>
    </row>
    <row r="24" spans="3:10" ht="15.75" thickTop="1" x14ac:dyDescent="0.25"/>
  </sheetData>
  <mergeCells count="17">
    <mergeCell ref="D14:F21"/>
    <mergeCell ref="H11:J11"/>
    <mergeCell ref="I13:J15"/>
    <mergeCell ref="G20:J20"/>
    <mergeCell ref="D23:F23"/>
    <mergeCell ref="D22:F22"/>
    <mergeCell ref="G21:J23"/>
    <mergeCell ref="D8:F8"/>
    <mergeCell ref="D9:F12"/>
    <mergeCell ref="G12:H12"/>
    <mergeCell ref="D13:F13"/>
    <mergeCell ref="G13:H13"/>
    <mergeCell ref="H6:J6"/>
    <mergeCell ref="H7:J7"/>
    <mergeCell ref="H8:J8"/>
    <mergeCell ref="H9:J9"/>
    <mergeCell ref="H10:J10"/>
  </mergeCells>
  <conditionalFormatting sqref="H7">
    <cfRule type="cellIs" dxfId="59" priority="13" stopIfTrue="1" operator="equal">
      <formula>"High"</formula>
    </cfRule>
    <cfRule type="cellIs" dxfId="58" priority="14" stopIfTrue="1" operator="equal">
      <formula>"Moderate"</formula>
    </cfRule>
    <cfRule type="cellIs" dxfId="57" priority="15" stopIfTrue="1" operator="equal">
      <formula>"Low"</formula>
    </cfRule>
    <cfRule type="cellIs" dxfId="56" priority="16" stopIfTrue="1" operator="equal">
      <formula>"Negligible"</formula>
    </cfRule>
  </conditionalFormatting>
  <conditionalFormatting sqref="H8">
    <cfRule type="cellIs" dxfId="55" priority="5" stopIfTrue="1" operator="greaterThan">
      <formula>0.5</formula>
    </cfRule>
    <cfRule type="cellIs" dxfId="54" priority="6" stopIfTrue="1" operator="greaterThan">
      <formula>0.1</formula>
    </cfRule>
    <cfRule type="cellIs" dxfId="53" priority="7" stopIfTrue="1" operator="greaterThan">
      <formula>0.01</formula>
    </cfRule>
    <cfRule type="cellIs" dxfId="52" priority="8" stopIfTrue="1" operator="lessThanOrEqual">
      <formula>0.01</formula>
    </cfRule>
  </conditionalFormatting>
  <conditionalFormatting sqref="H9:H11">
    <cfRule type="cellIs" dxfId="51" priority="1" stopIfTrue="1" operator="equal">
      <formula>"High"</formula>
    </cfRule>
    <cfRule type="cellIs" dxfId="50" priority="2" stopIfTrue="1" operator="equal">
      <formula>"Moderate"</formula>
    </cfRule>
    <cfRule type="cellIs" dxfId="49" priority="3" stopIfTrue="1" operator="equal">
      <formula>"Low"</formula>
    </cfRule>
    <cfRule type="cellIs" dxfId="48" priority="4" stopIfTrue="1" operator="equal">
      <formula>"Negligible"</formula>
    </cfRule>
  </conditionalFormatting>
  <pageMargins left="0.7" right="0.7" top="0.75" bottom="0.75" header="0.3" footer="0.3"/>
  <pageSetup scale="59"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W46"/>
  <sheetViews>
    <sheetView zoomScale="75" zoomScaleNormal="75" workbookViewId="0">
      <selection activeCell="D8" sqref="D8"/>
    </sheetView>
  </sheetViews>
  <sheetFormatPr defaultColWidth="8.85546875" defaultRowHeight="15" x14ac:dyDescent="0.25"/>
  <cols>
    <col min="2" max="2" width="9.7109375" customWidth="1"/>
    <col min="3" max="4" width="15.28515625" customWidth="1"/>
    <col min="7" max="7" width="21.28515625" customWidth="1"/>
    <col min="19" max="19" width="15.28515625" customWidth="1"/>
    <col min="20" max="23" width="10.28515625" customWidth="1"/>
  </cols>
  <sheetData>
    <row r="1" spans="2:4" ht="15.75" thickBot="1" x14ac:dyDescent="0.3"/>
    <row r="2" spans="2:4" ht="16.5" thickTop="1" thickBot="1" x14ac:dyDescent="0.3">
      <c r="B2" s="96" t="s">
        <v>88</v>
      </c>
      <c r="C2" s="97" t="s">
        <v>89</v>
      </c>
      <c r="D2" s="98" t="s">
        <v>90</v>
      </c>
    </row>
    <row r="3" spans="2:4" ht="15.75" thickTop="1" x14ac:dyDescent="0.25">
      <c r="B3" s="95" t="s">
        <v>5</v>
      </c>
      <c r="C3" s="16">
        <f>COUNTIF(Risks!$T$3:$T$70,B3)</f>
        <v>9</v>
      </c>
      <c r="D3" s="16">
        <f>COUNTIF(Risks!$AM$3:$AM$70,B3)</f>
        <v>5</v>
      </c>
    </row>
    <row r="4" spans="2:4" x14ac:dyDescent="0.25">
      <c r="B4" s="94" t="s">
        <v>3</v>
      </c>
      <c r="C4" s="16">
        <f>COUNTIF(Risks!$T$3:$T$70,B4)</f>
        <v>12</v>
      </c>
      <c r="D4" s="16">
        <f>COUNTIF(Risks!$AM$3:$AM$70,B4)</f>
        <v>4</v>
      </c>
    </row>
    <row r="5" spans="2:4" x14ac:dyDescent="0.25">
      <c r="B5" s="94" t="s">
        <v>2</v>
      </c>
      <c r="C5" s="16">
        <f>COUNTIF(Risks!$T$3:$T$70,B5)</f>
        <v>14</v>
      </c>
      <c r="D5" s="16">
        <f>COUNTIF(Risks!$AM$3:$AM$70,B5)</f>
        <v>11</v>
      </c>
    </row>
    <row r="6" spans="2:4" ht="15.75" thickBot="1" x14ac:dyDescent="0.3">
      <c r="B6" s="134" t="s">
        <v>1</v>
      </c>
      <c r="C6" s="16">
        <f>COUNTIF(Risks!$T$3:$T$70,B6)</f>
        <v>9</v>
      </c>
      <c r="D6" s="16">
        <f>COUNTIF(Risks!$AM$3:$AM70,B6)</f>
        <v>4</v>
      </c>
    </row>
    <row r="7" spans="2:4" ht="15.75" thickBot="1" x14ac:dyDescent="0.3">
      <c r="B7" s="135" t="s">
        <v>527</v>
      </c>
      <c r="C7" s="16">
        <f>COUNTIF(Risks!$T$3:$T$70,B7)</f>
        <v>0</v>
      </c>
      <c r="D7" s="16">
        <v>21</v>
      </c>
    </row>
    <row r="8" spans="2:4" ht="30.75" x14ac:dyDescent="0.3">
      <c r="B8" s="136" t="s">
        <v>370</v>
      </c>
      <c r="D8" s="137">
        <f>SUM(D3:D6)</f>
        <v>24</v>
      </c>
    </row>
    <row r="17" ht="13.35" customHeight="1" x14ac:dyDescent="0.25"/>
    <row r="36" spans="19:23" ht="25.5" customHeight="1" thickBot="1" x14ac:dyDescent="0.3"/>
    <row r="37" spans="19:23" ht="80.25" customHeight="1" thickTop="1" thickBot="1" x14ac:dyDescent="0.3">
      <c r="S37" s="103" t="s">
        <v>99</v>
      </c>
      <c r="T37" s="119" t="s">
        <v>1</v>
      </c>
      <c r="U37" s="121" t="s">
        <v>2</v>
      </c>
      <c r="V37" s="123" t="s">
        <v>3</v>
      </c>
      <c r="W37" s="125" t="s">
        <v>5</v>
      </c>
    </row>
    <row r="38" spans="19:23" ht="18.600000000000001" customHeight="1" thickTop="1" x14ac:dyDescent="0.25">
      <c r="S38" s="124" t="s">
        <v>100</v>
      </c>
      <c r="T38" s="104">
        <f>COUNTIFS(Risks!$AR$3:$AR$88,'BASIC Counts'!$S38,Risks!$AS$3:$AS$88,'BASIC Counts'!T$37)</f>
        <v>0</v>
      </c>
      <c r="U38" s="112">
        <f>COUNTIFS(Risks!$AR$3:$AR$88,'BASIC Counts'!$S38,Risks!$AS$3:$AS$88,'BASIC Counts'!U$37)</f>
        <v>0</v>
      </c>
      <c r="V38" s="105">
        <f>COUNTIFS(Risks!$AR$3:$AR$88,'BASIC Counts'!$S38,Risks!$AS$3:$AS$88,'BASIC Counts'!V$37)</f>
        <v>0</v>
      </c>
      <c r="W38" s="106">
        <f>COUNTIFS(Risks!$AR$3:$AR$88,'BASIC Counts'!$S38,Risks!$AS$3:$AS$88,'BASIC Counts'!W$37)</f>
        <v>1</v>
      </c>
    </row>
    <row r="39" spans="19:23" ht="18.600000000000001" customHeight="1" x14ac:dyDescent="0.25">
      <c r="S39" s="122" t="s">
        <v>101</v>
      </c>
      <c r="T39" s="107">
        <f>COUNTIFS(Risks!$AR$3:$AR$88,'BASIC Counts'!$S39,Risks!$AS$3:$AS$88,'BASIC Counts'!T$37)</f>
        <v>0</v>
      </c>
      <c r="U39" s="108">
        <f>COUNTIFS(Risks!$AR$3:$AR$88,'BASIC Counts'!$S39,Risks!$AS$3:$AS$88,'BASIC Counts'!U$37)</f>
        <v>2</v>
      </c>
      <c r="V39" s="113">
        <f>COUNTIFS(Risks!$AR$3:$AR$88,'BASIC Counts'!$S39,Risks!$AS$3:$AS$88,'BASIC Counts'!V$37)</f>
        <v>0</v>
      </c>
      <c r="W39" s="109">
        <f>COUNTIFS(Risks!$AR$3:$AR$88,'BASIC Counts'!$S39,Risks!$AS$3:$AS$88,'BASIC Counts'!W$37)</f>
        <v>2</v>
      </c>
    </row>
    <row r="40" spans="19:23" ht="18.600000000000001" customHeight="1" x14ac:dyDescent="0.25">
      <c r="S40" s="120" t="s">
        <v>102</v>
      </c>
      <c r="T40" s="115">
        <f>COUNTIFS(Risks!$AR$3:$AR$88,'BASIC Counts'!$S40,Risks!$AS$3:$AS$88,'BASIC Counts'!T$37)</f>
        <v>2</v>
      </c>
      <c r="U40" s="108">
        <f>COUNTIFS(Risks!$AR$3:$AR$88,'BASIC Counts'!$S40,Risks!$AS$3:$AS$88,'BASIC Counts'!U$37)</f>
        <v>8</v>
      </c>
      <c r="V40" s="108">
        <f>COUNTIFS(Risks!$AR$3:$AR$88,'BASIC Counts'!$S40,Risks!$AS$3:$AS$88,'BASIC Counts'!V$37)</f>
        <v>7</v>
      </c>
      <c r="W40" s="114">
        <f>COUNTIFS(Risks!$AR$3:$AR$88,'BASIC Counts'!$S40,Risks!$AS$3:$AS$88,'BASIC Counts'!W$37)</f>
        <v>1</v>
      </c>
    </row>
    <row r="41" spans="19:23" ht="18.600000000000001" customHeight="1" thickBot="1" x14ac:dyDescent="0.3">
      <c r="S41" s="118" t="s">
        <v>103</v>
      </c>
      <c r="T41" s="116">
        <f>COUNTIFS(Risks!$AR$3:$AR$88,'BASIC Counts'!$S41,Risks!$AS$3:$AS$88,'BASIC Counts'!T$37)</f>
        <v>1</v>
      </c>
      <c r="U41" s="117">
        <f>COUNTIFS(Risks!$AR$3:$AR$88,'BASIC Counts'!$S41,Risks!$AS$3:$AS$88,'BASIC Counts'!U$37)</f>
        <v>0</v>
      </c>
      <c r="V41" s="110">
        <f>COUNTIFS(Risks!$AR$3:$AR$88,'BASIC Counts'!$S41,Risks!$AS$3:$AS$88,'BASIC Counts'!V$37)</f>
        <v>0</v>
      </c>
      <c r="W41" s="111">
        <f>COUNTIFS(Risks!$AR$3:$AR$88,'BASIC Counts'!$S41,Risks!$AS$3:$AS$88,'BASIC Counts'!W$37)</f>
        <v>0</v>
      </c>
    </row>
    <row r="42" spans="19:23" ht="15.75" thickTop="1" x14ac:dyDescent="0.25"/>
    <row r="45" spans="19:23" ht="15.75" x14ac:dyDescent="0.25">
      <c r="S45" s="126" t="s">
        <v>104</v>
      </c>
      <c r="T45" s="127">
        <f>SUM(Risks!AO3:AO88)</f>
        <v>701.25</v>
      </c>
    </row>
    <row r="46" spans="19:23" ht="15.75" x14ac:dyDescent="0.25">
      <c r="S46" s="126" t="s">
        <v>105</v>
      </c>
      <c r="T46" s="127">
        <f>SUM(Risks!AP3:AP88)</f>
        <v>655.38333333333355</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89147-126F-41C6-AEAE-94805256CB7E}">
  <dimension ref="A1:C2"/>
  <sheetViews>
    <sheetView workbookViewId="0">
      <selection activeCell="A3" sqref="A3"/>
    </sheetView>
  </sheetViews>
  <sheetFormatPr defaultColWidth="8.85546875" defaultRowHeight="15" x14ac:dyDescent="0.25"/>
  <cols>
    <col min="1" max="1" width="29.42578125" customWidth="1"/>
    <col min="2" max="2" width="49.42578125" customWidth="1"/>
    <col min="3" max="3" width="13" style="239" customWidth="1"/>
    <col min="4" max="4" width="13.140625" customWidth="1"/>
  </cols>
  <sheetData>
    <row r="1" spans="1:3" s="240" customFormat="1" ht="30" x14ac:dyDescent="0.25">
      <c r="A1" s="240" t="s">
        <v>606</v>
      </c>
      <c r="B1" s="240" t="s">
        <v>607</v>
      </c>
      <c r="C1" s="241" t="s">
        <v>608</v>
      </c>
    </row>
    <row r="2" spans="1:3" ht="75" customHeight="1" x14ac:dyDescent="0.25">
      <c r="A2" s="238" t="s">
        <v>604</v>
      </c>
      <c r="B2" s="237" t="s">
        <v>605</v>
      </c>
      <c r="C2" s="239">
        <v>110000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DCC11199D56A14E9262D537F54AAF4C" ma:contentTypeVersion="1" ma:contentTypeDescription="Create a new document." ma:contentTypeScope="" ma:versionID="79fced79e2f56ee0b482b24d2e6532d3">
  <xsd:schema xmlns:xsd="http://www.w3.org/2001/XMLSchema" xmlns:xs="http://www.w3.org/2001/XMLSchema" xmlns:p="http://schemas.microsoft.com/office/2006/metadata/properties" xmlns:ns2="http://schemas.microsoft.com/sharepoint/v4" targetNamespace="http://schemas.microsoft.com/office/2006/metadata/properties" ma:root="true" ma:fieldsID="c79c8594d4fa4c9fd200c91a62336472"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4602D2ED-949C-4365-A07D-7159B578C0F7}">
  <ds:schemaRefs>
    <ds:schemaRef ds:uri="http://schemas.microsoft.com/sharepoint/v3/contenttype/forms"/>
  </ds:schemaRefs>
</ds:datastoreItem>
</file>

<file path=customXml/itemProps2.xml><?xml version="1.0" encoding="utf-8"?>
<ds:datastoreItem xmlns:ds="http://schemas.openxmlformats.org/officeDocument/2006/customXml" ds:itemID="{E19183A9-F3BD-4C1D-8FB3-1903CF6D23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95DF85-0CFF-411F-AE10-F1B99B1E5E66}">
  <ds:schemaRefs>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Risks</vt:lpstr>
      <vt:lpstr>Preview</vt:lpstr>
      <vt:lpstr>SelectionCriteria</vt:lpstr>
      <vt:lpstr>Retired Risks</vt:lpstr>
      <vt:lpstr>RiskPresentation</vt:lpstr>
      <vt:lpstr>BASIC Counts</vt:lpstr>
      <vt:lpstr>Risks never proposed</vt:lpstr>
      <vt:lpstr>'Retired Risks'!Print_Area</vt:lpstr>
      <vt:lpstr>Risks!Print_Area</vt:lpstr>
      <vt:lpstr>'Retired Risks'!Print_Titles</vt:lpstr>
      <vt:lpstr>Risks!Print_Titles</vt:lpstr>
    </vt:vector>
  </TitlesOfParts>
  <Manager>irina@bnl.gov</Manager>
  <Company>Brookhaven National Laboratory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sPHENIX Risk Registry</dc:title>
  <dc:subject>Risk Management</dc:subject>
  <dc:creator>kflick</dc:creator>
  <cp:lastModifiedBy>Sourikova,Irina V</cp:lastModifiedBy>
  <cp:lastPrinted>2019-02-27T20:51:32Z</cp:lastPrinted>
  <dcterms:created xsi:type="dcterms:W3CDTF">2009-12-04T22:10:34Z</dcterms:created>
  <dcterms:modified xsi:type="dcterms:W3CDTF">2021-06-29T15:22:29Z</dcterms:modified>
  <cp:contentStatus>Quantitative Analysis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Owner">
    <vt:lpwstr>219</vt:lpwstr>
  </property>
  <property fmtid="{D5CDD505-2E9C-101B-9397-08002B2CF9AE}" pid="3" name="ContentType">
    <vt:lpwstr>Document</vt:lpwstr>
  </property>
  <property fmtid="{D5CDD505-2E9C-101B-9397-08002B2CF9AE}" pid="4" name="Tier">
    <vt:lpwstr>Tier 4 (Supporting forms/templates)</vt:lpwstr>
  </property>
  <property fmtid="{D5CDD505-2E9C-101B-9397-08002B2CF9AE}" pid="5" name="Revision Date">
    <vt:lpwstr>2009-12-04T00:00:00Z</vt:lpwstr>
  </property>
  <property fmtid="{D5CDD505-2E9C-101B-9397-08002B2CF9AE}" pid="6" name="display_urn:schemas-microsoft-com:office:office#Document_x0020_Owner">
    <vt:lpwstr>Flick, Karl D.</vt:lpwstr>
  </property>
  <property fmtid="{D5CDD505-2E9C-101B-9397-08002B2CF9AE}" pid="7" name="Document Type">
    <vt:lpwstr>Template</vt:lpwstr>
  </property>
  <property fmtid="{D5CDD505-2E9C-101B-9397-08002B2CF9AE}" pid="8" name="Revision">
    <vt:lpwstr>2.00000000000000</vt:lpwstr>
  </property>
  <property fmtid="{D5CDD505-2E9C-101B-9397-08002B2CF9AE}" pid="9" name="Review Frequency">
    <vt:lpwstr>TBD</vt:lpwstr>
  </property>
  <property fmtid="{D5CDD505-2E9C-101B-9397-08002B2CF9AE}" pid="10" name="Status">
    <vt:lpwstr>Draft</vt:lpwstr>
  </property>
</Properties>
</file>