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P:\Cobra Reports MIE\"/>
    </mc:Choice>
  </mc:AlternateContent>
  <xr:revisionPtr revIDLastSave="0" documentId="8_{6C467E4B-4E14-4E18-88FE-09A342E2D99B}" xr6:coauthVersionLast="45" xr6:coauthVersionMax="45" xr10:uidLastSave="{00000000-0000-0000-0000-000000000000}"/>
  <bookViews>
    <workbookView xWindow="1695" yWindow="420" windowWidth="26790" windowHeight="14565" xr2:uid="{00000000-000D-0000-FFFF-FFFF00000000}"/>
  </bookViews>
  <sheets>
    <sheet name="Report" sheetId="1" r:id="rId1"/>
    <sheet name="Template" sheetId="2" r:id="rId2"/>
    <sheet name="Calendar" sheetId="3" r:id="rId3"/>
    <sheet name="Data" sheetId="4" r:id="rId4"/>
  </sheets>
  <definedNames>
    <definedName name="_xlnm.Print_Area" localSheetId="0">Report!$A$1:$W$60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48" i="2" l="1"/>
  <c r="O47" i="2"/>
  <c r="O46" i="2"/>
  <c r="O44" i="2"/>
  <c r="O43" i="2"/>
  <c r="O45" i="2" s="1"/>
  <c r="O42" i="2"/>
  <c r="X33" i="2"/>
  <c r="W33" i="2"/>
  <c r="X29" i="2"/>
  <c r="W29" i="2"/>
  <c r="T44" i="1"/>
  <c r="D41" i="1"/>
  <c r="C41" i="1"/>
  <c r="S39" i="1"/>
  <c r="O39" i="1"/>
  <c r="O41" i="1" s="1"/>
  <c r="N43" i="1" s="1"/>
  <c r="I39" i="1"/>
  <c r="F39" i="1"/>
  <c r="F41" i="1" s="1"/>
  <c r="E39" i="1"/>
  <c r="E41" i="1" s="1"/>
  <c r="D39" i="1"/>
  <c r="G39" i="1" s="1"/>
  <c r="G41" i="1" s="1"/>
  <c r="C39" i="1"/>
  <c r="T38" i="1"/>
  <c r="T37" i="1"/>
  <c r="S37" i="1"/>
  <c r="R37" i="1"/>
  <c r="Q37" i="1"/>
  <c r="P37" i="1"/>
  <c r="O37" i="1"/>
  <c r="L37" i="1"/>
  <c r="J37" i="1"/>
  <c r="I37" i="1"/>
  <c r="N37" i="1" s="1"/>
  <c r="H37" i="1"/>
  <c r="G37" i="1"/>
  <c r="F37" i="1"/>
  <c r="S36" i="1"/>
  <c r="R36" i="1"/>
  <c r="T36" i="1" s="1"/>
  <c r="Q36" i="1"/>
  <c r="P36" i="1"/>
  <c r="O36" i="1"/>
  <c r="N36" i="1"/>
  <c r="L36" i="1"/>
  <c r="J36" i="1"/>
  <c r="I36" i="1"/>
  <c r="H36" i="1"/>
  <c r="G36" i="1"/>
  <c r="F36" i="1"/>
  <c r="V35" i="1"/>
  <c r="T35" i="1"/>
  <c r="S35" i="1"/>
  <c r="R35" i="1"/>
  <c r="Q35" i="1"/>
  <c r="P35" i="1"/>
  <c r="O35" i="1"/>
  <c r="L35" i="1"/>
  <c r="J35" i="1"/>
  <c r="W35" i="1" s="1"/>
  <c r="I35" i="1"/>
  <c r="N35" i="1" s="1"/>
  <c r="H35" i="1"/>
  <c r="G35" i="1"/>
  <c r="F35" i="1"/>
  <c r="A35" i="1"/>
  <c r="V34" i="1"/>
  <c r="T34" i="1"/>
  <c r="S34" i="1"/>
  <c r="R34" i="1"/>
  <c r="Q34" i="1"/>
  <c r="P34" i="1"/>
  <c r="O34" i="1"/>
  <c r="L34" i="1"/>
  <c r="J34" i="1"/>
  <c r="W34" i="1" s="1"/>
  <c r="I34" i="1"/>
  <c r="N34" i="1" s="1"/>
  <c r="H34" i="1"/>
  <c r="G34" i="1"/>
  <c r="F34" i="1"/>
  <c r="A34" i="1"/>
  <c r="V33" i="1"/>
  <c r="T33" i="1"/>
  <c r="S33" i="1"/>
  <c r="R33" i="1"/>
  <c r="Q33" i="1"/>
  <c r="P33" i="1"/>
  <c r="O33" i="1"/>
  <c r="L33" i="1"/>
  <c r="J33" i="1"/>
  <c r="W33" i="1" s="1"/>
  <c r="I33" i="1"/>
  <c r="N33" i="1" s="1"/>
  <c r="H33" i="1"/>
  <c r="G33" i="1"/>
  <c r="F33" i="1"/>
  <c r="A33" i="1"/>
  <c r="V32" i="1"/>
  <c r="T32" i="1"/>
  <c r="S32" i="1"/>
  <c r="R32" i="1"/>
  <c r="Q32" i="1"/>
  <c r="P32" i="1"/>
  <c r="O32" i="1"/>
  <c r="L32" i="1"/>
  <c r="J32" i="1"/>
  <c r="W32" i="1" s="1"/>
  <c r="I32" i="1"/>
  <c r="N32" i="1" s="1"/>
  <c r="H32" i="1"/>
  <c r="G32" i="1"/>
  <c r="F32" i="1"/>
  <c r="A32" i="1"/>
  <c r="V31" i="1"/>
  <c r="T31" i="1"/>
  <c r="S31" i="1"/>
  <c r="R31" i="1"/>
  <c r="Q31" i="1"/>
  <c r="P31" i="1"/>
  <c r="O31" i="1"/>
  <c r="L31" i="1"/>
  <c r="J31" i="1"/>
  <c r="W31" i="1" s="1"/>
  <c r="I31" i="1"/>
  <c r="N31" i="1" s="1"/>
  <c r="H31" i="1"/>
  <c r="G31" i="1"/>
  <c r="F31" i="1"/>
  <c r="A31" i="1"/>
  <c r="V30" i="1"/>
  <c r="T30" i="1"/>
  <c r="S30" i="1"/>
  <c r="R30" i="1"/>
  <c r="Q30" i="1"/>
  <c r="P30" i="1"/>
  <c r="O30" i="1"/>
  <c r="L30" i="1"/>
  <c r="J30" i="1"/>
  <c r="W30" i="1" s="1"/>
  <c r="I30" i="1"/>
  <c r="N30" i="1" s="1"/>
  <c r="H30" i="1"/>
  <c r="G30" i="1"/>
  <c r="F30" i="1"/>
  <c r="A30" i="1"/>
  <c r="V29" i="1"/>
  <c r="T29" i="1"/>
  <c r="S29" i="1"/>
  <c r="R29" i="1"/>
  <c r="R39" i="1" s="1"/>
  <c r="Q29" i="1"/>
  <c r="Q39" i="1" s="1"/>
  <c r="Q41" i="1" s="1"/>
  <c r="P29" i="1"/>
  <c r="P39" i="1" s="1"/>
  <c r="P41" i="1" s="1"/>
  <c r="L43" i="1" s="1"/>
  <c r="O29" i="1"/>
  <c r="L29" i="1"/>
  <c r="J29" i="1"/>
  <c r="W29" i="1" s="1"/>
  <c r="I29" i="1"/>
  <c r="N29" i="1" s="1"/>
  <c r="H29" i="1"/>
  <c r="H39" i="1" s="1"/>
  <c r="G29" i="1"/>
  <c r="F29" i="1"/>
  <c r="A29" i="1"/>
  <c r="G22" i="1"/>
  <c r="I15" i="1"/>
  <c r="G15" i="1"/>
  <c r="E15" i="1"/>
  <c r="N11" i="1"/>
  <c r="L11" i="1"/>
  <c r="J11" i="1"/>
  <c r="R41" i="1" l="1"/>
  <c r="T39" i="1"/>
  <c r="N49" i="1"/>
  <c r="N51" i="1" s="1"/>
  <c r="N52" i="1"/>
  <c r="V39" i="1"/>
  <c r="H41" i="1"/>
  <c r="N53" i="1"/>
  <c r="J39" i="1"/>
  <c r="L39" i="1"/>
  <c r="L41" i="1" s="1"/>
  <c r="L44" i="1" s="1"/>
  <c r="I41" i="1"/>
  <c r="J41" i="1" l="1"/>
  <c r="W39" i="1"/>
  <c r="N54" i="1"/>
  <c r="N48" i="1"/>
  <c r="N50" i="1" s="1"/>
  <c r="N41" i="1"/>
  <c r="N44" i="1" s="1"/>
  <c r="N39" i="1"/>
</calcChain>
</file>

<file path=xl/sharedStrings.xml><?xml version="1.0" encoding="utf-8"?>
<sst xmlns="http://schemas.openxmlformats.org/spreadsheetml/2006/main" count="605" uniqueCount="213">
  <si>
    <t>{CostProject.ContractType}</t>
  </si>
  <si>
    <t>(Last, First, Middle Initial)</t>
  </si>
  <si>
    <t>{CostProject.Ub}</t>
  </si>
  <si>
    <t>{=(CostSet3.Period1.Value+CostSet3.Period2.Value)}</t>
  </si>
  <si>
    <t>Report Options</t>
  </si>
  <si>
    <t>&lt;Footer&gt;{Report}{PRINTIF(DisplayReportOptions,True)}</t>
  </si>
  <si>
    <r>
      <t xml:space="preserve">a.  FROM  </t>
    </r>
    <r>
      <rPr>
        <i/>
        <sz val="10"/>
        <rFont val="Calibri"/>
        <family val="2"/>
      </rPr>
      <t>(YYYYMMDD)</t>
    </r>
  </si>
  <si>
    <t>9. RECONCILIATION TO CONTRACT BUDGET BASELINE</t>
  </si>
  <si>
    <t>(10)</t>
  </si>
  <si>
    <t>(YYYYMMDD)</t>
  </si>
  <si>
    <t xml:space="preserve">Filter: </t>
  </si>
  <si>
    <t>1.01A</t>
  </si>
  <si>
    <t>{=Cell[R-2,C]}</t>
  </si>
  <si>
    <t>{CostProject.Mr}</t>
  </si>
  <si>
    <t>OMB No. 0704-0188</t>
  </si>
  <si>
    <t>EAC</t>
  </si>
  <si>
    <t>3.  PROGRAM</t>
  </si>
  <si>
    <t>{=Cell[R-3,C]+Cell[R-1,C]}</t>
  </si>
  <si>
    <t>BASE</t>
  </si>
  <si>
    <t>{CostProject.EstCeiling}</t>
  </si>
  <si>
    <t>a. VARIANCE ADJUSTMENT</t>
  </si>
  <si>
    <t>{=(CostSet1.Period1.Value+CostSet1.Period2.Value+CostSet1.Period3.Value)}</t>
  </si>
  <si>
    <t>{=(CostSet4.Period1.Value+CostSet4.Period2.Value+CostSet4.Period3.Value)}</t>
  </si>
  <si>
    <t>1.04A</t>
  </si>
  <si>
    <t>(13)</t>
  </si>
  <si>
    <t>f. Contingency</t>
  </si>
  <si>
    <t>ATCOMPLETE</t>
  </si>
  <si>
    <t>{=(CostSet7.Period1.Value+CostSet7.Period2.Value+CostSet7.Period3.Value)}</t>
  </si>
  <si>
    <t>SCHEDULE</t>
  </si>
  <si>
    <t>{CostProject.ContractName}</t>
  </si>
  <si>
    <t>(1)</t>
  </si>
  <si>
    <t>TODATE</t>
  </si>
  <si>
    <t>1.07A</t>
  </si>
  <si>
    <t>O'Brien, Edward</t>
  </si>
  <si>
    <t>(16)</t>
  </si>
  <si>
    <r>
      <t xml:space="preserve"> b.  TO  </t>
    </r>
    <r>
      <rPr>
        <i/>
        <sz val="10"/>
        <rFont val="Calibri"/>
        <family val="2"/>
      </rPr>
      <t>(YYYYMMDD)</t>
    </r>
  </si>
  <si>
    <t>&lt;Footer&gt;{Report}</t>
  </si>
  <si>
    <t>FORMAT 1 - WORK BREAKDOWN STRUCTURE</t>
  </si>
  <si>
    <t>{Column.Total}</t>
  </si>
  <si>
    <t>(12a)</t>
  </si>
  <si>
    <t>a.  QUANTITY</t>
  </si>
  <si>
    <t>{CostProject.StatusDate}{NoCellFormat}</t>
  </si>
  <si>
    <t>7.  AUTHORIZED CONTRACTOR REPRESENTATIVE</t>
  </si>
  <si>
    <t>(4)</t>
  </si>
  <si>
    <t>{=Cell[R,C-5] - Cell[R, C-4]}{HIGHLIGHT(Cell[R,C-5],C,C,S48)}</t>
  </si>
  <si>
    <t>Cost Sets: {ReportOptions.CostSets}</t>
  </si>
  <si>
    <t>8.  PERFORMANCE DATA</t>
  </si>
  <si>
    <t>Date</t>
  </si>
  <si>
    <t>{=Cell[R-2,C+1]}</t>
  </si>
  <si>
    <t>Filter: {ReportOptions.Filter}</t>
  </si>
  <si>
    <t xml:space="preserve">   h.  ESTIMATED CONTRACT CEILING</t>
  </si>
  <si>
    <t xml:space="preserve">b.  NEGOTIATED </t>
  </si>
  <si>
    <t>{=CONCATENATE(REPT("   ",CriteriaN.Level-1),"CriteriaN.Id"," CriteriaN.Description")}</t>
  </si>
  <si>
    <t>a.  BEST CASE</t>
  </si>
  <si>
    <t>(7)</t>
  </si>
  <si>
    <t>{=CostProject.Fee+CostProject.Ctc}</t>
  </si>
  <si>
    <t>c.  ESTIMATED COST OF</t>
  </si>
  <si>
    <t>b.  TITLE</t>
  </si>
  <si>
    <t>{=CostProject.Lre+(CostProject.Cbb*(CostProject.FeePct/100))}</t>
  </si>
  <si>
    <t>BUDGET</t>
  </si>
  <si>
    <t xml:space="preserve">      </t>
  </si>
  <si>
    <t>CLASSIFICATION (When Filled In)</t>
  </si>
  <si>
    <t>CUMULATIVE TO DATE</t>
  </si>
  <si>
    <t>1.  CONTRACTOR</t>
  </si>
  <si>
    <t>{=Cell[R,C-2]-Cell[R,C-4]}</t>
  </si>
  <si>
    <t>{CostProject.Quantity}</t>
  </si>
  <si>
    <t>c. GENERAL AND ADMINISTRATIVE</t>
  </si>
  <si>
    <t>b.  NUMBER</t>
  </si>
  <si>
    <t>Project Director</t>
  </si>
  <si>
    <t>{ReportSetting.ScaleCaption}</t>
  </si>
  <si>
    <t>{CostProject.Ceiling}</t>
  </si>
  <si>
    <t>Dollars</t>
  </si>
  <si>
    <t>Currency</t>
  </si>
  <si>
    <t>REPROGRAMMING                                          ADJUSTMENTS</t>
  </si>
  <si>
    <t>{CostProject.Ctc}</t>
  </si>
  <si>
    <t>ESTIMATED</t>
  </si>
  <si>
    <t>5.  CONTRACT DATA</t>
  </si>
  <si>
    <t>g. TOTAL</t>
  </si>
  <si>
    <t>Cost Sets: Scheduled, Performed, Actuals, Estimate at complete,  ,  , Over target baseline</t>
  </si>
  <si>
    <t>&lt;Footer&gt;{Report}{SubTotal}</t>
  </si>
  <si>
    <t>{=CostProject.Ctc*(CostProject.FeePct/100)}</t>
  </si>
  <si>
    <t>4.  REPORT PERIOD</t>
  </si>
  <si>
    <t>{CostProject.OtbDate}{NoCellFormat}</t>
  </si>
  <si>
    <t>COST WORK</t>
  </si>
  <si>
    <t>Criteria: {ReportOptions.Criteria}</t>
  </si>
  <si>
    <t>% Spent</t>
  </si>
  <si>
    <t>1.02A</t>
  </si>
  <si>
    <t>(11)</t>
  </si>
  <si>
    <t>{CostProject.Auw}</t>
  </si>
  <si>
    <t>{=(CostSet1.Period1.Value+CostSet1.Period2.Value)}</t>
  </si>
  <si>
    <t>a.  NAME</t>
  </si>
  <si>
    <t>CPI</t>
  </si>
  <si>
    <t>ACTUAL</t>
  </si>
  <si>
    <t>{CriteriaN.Title}{Down}{Replace}</t>
  </si>
  <si>
    <t>{CostProject.ContractPhase}</t>
  </si>
  <si>
    <t>{CostProject.Lre}</t>
  </si>
  <si>
    <t>{=(CostSet5.Period1.Value+CostSet5.Period2.Value+CostSet5.Period3.Value)}</t>
  </si>
  <si>
    <t>d.  TARGET PROFIT/FEE</t>
  </si>
  <si>
    <t>{=Cell[R,C-2] - Cell[R, C-3]}{HIGHLIGHT(Cell[R,C-3],S,P,S48)}</t>
  </si>
  <si>
    <t>(14)</t>
  </si>
  <si>
    <t>{CostProject.Classification}</t>
  </si>
  <si>
    <t>%</t>
  </si>
  <si>
    <t>1.05A</t>
  </si>
  <si>
    <t>c.  MOST LIKELY</t>
  </si>
  <si>
    <t>CA (3)</t>
  </si>
  <si>
    <t>Percent</t>
  </si>
  <si>
    <t>Dollar</t>
  </si>
  <si>
    <t>Both</t>
  </si>
  <si>
    <t>% Contingency on Remaining Work</t>
  </si>
  <si>
    <t>Criteria: CA (3)</t>
  </si>
  <si>
    <t>g.  CONTRACT CEILING</t>
  </si>
  <si>
    <t>(2)</t>
  </si>
  <si>
    <t>&lt;Footer&gt;{Report}{SortCodeC}</t>
  </si>
  <si>
    <t>MANAGEMENT ESTIMATE</t>
  </si>
  <si>
    <t>CURRENT PERIOD</t>
  </si>
  <si>
    <t>SPI</t>
  </si>
  <si>
    <t>2.  CONTRACT</t>
  </si>
  <si>
    <t>(12b)</t>
  </si>
  <si>
    <t>% Planned</t>
  </si>
  <si>
    <t>Brookhaven National Laboratory</t>
  </si>
  <si>
    <t>{CostProject.Cbb}</t>
  </si>
  <si>
    <t>{CostSet1.Period2.Value}</t>
  </si>
  <si>
    <t>c.  EVMS ACCEPTANCE</t>
  </si>
  <si>
    <t>c.  SIGNATURE</t>
  </si>
  <si>
    <t>(5)</t>
  </si>
  <si>
    <t>$</t>
  </si>
  <si>
    <t>{=IF(OR(CostProject.EvmsAcceptance.Id=0,CostProject.EvmsAcceptance.Id=1), IF(CostProject.EvmsAcceptanceDate=0, " ", CostProject.EvmsAcceptanceDate), IF(CostProject.EvmsAcceptance.Id=2, "N/A"," "))}{NoCellFormat}</t>
  </si>
  <si>
    <t>&lt;Header&gt;{Report}</t>
  </si>
  <si>
    <t>PREVIOUS</t>
  </si>
  <si>
    <t>{=Cell[R-2,C]}{HIGHLIGHT(Cell[R,C-4],S,C,S48)}</t>
  </si>
  <si>
    <t>COST</t>
  </si>
  <si>
    <t>{=Cell[R-2,C]}{HIGHLIGHT(Cell[R,C-3],S,P,S48)}</t>
  </si>
  <si>
    <t>{CostProject.EstUb}</t>
  </si>
  <si>
    <t>Calendar: 18 Previous, Todate, At Completion</t>
  </si>
  <si>
    <t>{=Cell[R,C-3] - Cell[R, C-2]}{HIGHLIGHT(Cell[R,C-3],C,P,S48)}</t>
  </si>
  <si>
    <t>6.  ESTIMATED COST AT COMPLETION</t>
  </si>
  <si>
    <t>e. SUBTOTAL</t>
  </si>
  <si>
    <t>CONTRACT PERFORMANCE REPORT</t>
  </si>
  <si>
    <t>{CostProject.ContractRepName}</t>
  </si>
  <si>
    <t>(8)</t>
  </si>
  <si>
    <t>sPHENIX</t>
  </si>
  <si>
    <t>{=Cell[R-2,C] + Cell[R-1,C]}</t>
  </si>
  <si>
    <t>{CostProject.ShareRate}</t>
  </si>
  <si>
    <t>{CostSet2.Period2.Value}</t>
  </si>
  <si>
    <t>BUDGETED COST</t>
  </si>
  <si>
    <t>AUTHORIZED UNPRICED WORK</t>
  </si>
  <si>
    <t>{=Cell[R,C-2] - Cell[R, C-1]}{HIGHLIGHT(Cell[R,C-2],C,A,S48)}</t>
  </si>
  <si>
    <t>Value</t>
  </si>
  <si>
    <t>% Contingency on ETC</t>
  </si>
  <si>
    <t>AT COMPLETION</t>
  </si>
  <si>
    <t>WORK</t>
  </si>
  <si>
    <t>c.  TYPE</t>
  </si>
  <si>
    <t>{CostProject.EacBestCase}</t>
  </si>
  <si>
    <t>b. COST OF MONEY</t>
  </si>
  <si>
    <t xml:space="preserve"> e.  TARGET PRICE</t>
  </si>
  <si>
    <t xml:space="preserve">DOLLARS IN </t>
  </si>
  <si>
    <t>{CostProject.PeriodStartDate}{NoCellFormat}</t>
  </si>
  <si>
    <t>b.  LOCATION (Address and ZIP Code)</t>
  </si>
  <si>
    <t xml:space="preserve">b.  PHASE </t>
  </si>
  <si>
    <t>{CostSet3.Period2.Value}</t>
  </si>
  <si>
    <t>% Complete</t>
  </si>
  <si>
    <t>{=(CostSet2.Period1.Value+CostSet2.Period2.Value)}</t>
  </si>
  <si>
    <t>Progress</t>
  </si>
  <si>
    <t>{=if(CostProject.EvmsAcceptance.Id=0,"X"," ")}</t>
  </si>
  <si>
    <t>PERFORMED</t>
  </si>
  <si>
    <t>Budget</t>
  </si>
  <si>
    <t>ETC</t>
  </si>
  <si>
    <t>ITEM</t>
  </si>
  <si>
    <t>BCWR</t>
  </si>
  <si>
    <t>{=Cell[R-2,C]}{HIGHLIGHT(Cell[R,C-3],C,P,S48)}</t>
  </si>
  <si>
    <t>SCHEDULED</t>
  </si>
  <si>
    <t>1.03A</t>
  </si>
  <si>
    <t>sPH MIE Current as of data date</t>
  </si>
  <si>
    <t>{=(CostSet6.Period1.Value+CostSet6.Period2.Value+CostSet6.Period3.Value)}</t>
  </si>
  <si>
    <t>BUDGETED</t>
  </si>
  <si>
    <t xml:space="preserve">NO </t>
  </si>
  <si>
    <t>&lt;Header&gt;{CriteriaN}</t>
  </si>
  <si>
    <t>{CostProject.ContractNumber}</t>
  </si>
  <si>
    <t>{=Cell[R-2,C+4]}</t>
  </si>
  <si>
    <t>18 Label</t>
  </si>
  <si>
    <t>1.06A</t>
  </si>
  <si>
    <t>{=Column.Total+Cell[R-1,C]}</t>
  </si>
  <si>
    <t>(15)</t>
  </si>
  <si>
    <t>CONTRACT BUDGET</t>
  </si>
  <si>
    <t>{CostProject.EacWorstCase}</t>
  </si>
  <si>
    <t>b.  WORST CASE</t>
  </si>
  <si>
    <t xml:space="preserve">a.  NAME </t>
  </si>
  <si>
    <t>(3)</t>
  </si>
  <si>
    <t>Actuals</t>
  </si>
  <si>
    <t xml:space="preserve">      COST</t>
  </si>
  <si>
    <t>f.  ESTIMATED PRICE</t>
  </si>
  <si>
    <t>d.  DATE SIGNED</t>
  </si>
  <si>
    <t>{CostProject.ContractRepTitle}</t>
  </si>
  <si>
    <t>{=if(CostProject.EvmsAcceptance.Id=1,"X"," ")}</t>
  </si>
  <si>
    <t>d. UNDISTRIBUTED BUDGET</t>
  </si>
  <si>
    <t>(6)</t>
  </si>
  <si>
    <t xml:space="preserve"> </t>
  </si>
  <si>
    <t>&lt;Footer&gt;{Report}{SortCodeG}</t>
  </si>
  <si>
    <t>Calendar: {ReportOptions.CalendarSet}</t>
  </si>
  <si>
    <t>Hours</t>
  </si>
  <si>
    <t>{CostProject.ContractorLocation}</t>
  </si>
  <si>
    <r>
      <t>i. DATE OF OTB/OTS</t>
    </r>
    <r>
      <rPr>
        <b/>
        <i/>
        <sz val="10"/>
        <rFont val="Calibri"/>
        <family val="2"/>
      </rPr>
      <t xml:space="preserve">  </t>
    </r>
    <r>
      <rPr>
        <i/>
        <sz val="10"/>
        <rFont val="Calibri"/>
        <family val="2"/>
      </rPr>
      <t>(YYYYMMDD)</t>
    </r>
  </si>
  <si>
    <t>VARIANCE</t>
  </si>
  <si>
    <t>{CostProject.Description}</t>
  </si>
  <si>
    <t>Cost Set</t>
  </si>
  <si>
    <t>FORM APPROVED</t>
  </si>
  <si>
    <t>YES</t>
  </si>
  <si>
    <t>{=Cell[R,C-3] - Cell[R, C-4]}{HIGHLIGHT(Cell[R,C-4],S,C,S48)}</t>
  </si>
  <si>
    <t>(9)</t>
  </si>
  <si>
    <t>{CostProject.ContractorName}</t>
  </si>
  <si>
    <t>d.  SHARE RATIO</t>
  </si>
  <si>
    <t>b. TOTAL CONTRACT VARIANCE</t>
  </si>
  <si>
    <t>Brookhaven Science Associates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</si>
</sst>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[$-409]d\-mmm\-yy;@"/>
    <numFmt numFmtId="165" formatCode="&quot;$&quot;#,##0"/>
    <numFmt numFmtId="166" formatCode="yyyy\ /\ mm\ /\ dd"/>
    <numFmt numFmtId="167" formatCode="&quot;$&quot;#,##0.00;\-&quot;$&quot;#,##0.00"/>
  </numFmts>
  <fonts count="20" x14ac:knownFonts="1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sz val="11"/>
      <color indexed="8"/>
      <name val="Calibri"/>
      <family val="2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indexed="60"/>
      <name val="Calibri"/>
      <family val="2"/>
    </font>
    <font>
      <b/>
      <sz val="12"/>
      <color indexed="8"/>
      <name val="Calibri"/>
      <family val="2"/>
      <scheme val="minor"/>
    </font>
    <font>
      <b/>
      <sz val="11"/>
      <color indexed="60"/>
      <name val="Calibri"/>
      <family val="2"/>
    </font>
    <font>
      <i/>
      <sz val="10"/>
      <name val="Calibri"/>
      <family val="2"/>
      <scheme val="minor"/>
    </font>
    <font>
      <i/>
      <sz val="8"/>
      <name val="Calibri"/>
      <family val="2"/>
      <scheme val="minor"/>
    </font>
    <font>
      <i/>
      <sz val="11"/>
      <color indexed="10"/>
      <name val="Calibri"/>
      <family val="2"/>
    </font>
    <font>
      <b/>
      <i/>
      <sz val="10"/>
      <name val="Calibri"/>
      <family val="2"/>
    </font>
    <font>
      <i/>
      <sz val="10"/>
      <name val="Calibri"/>
      <family val="2"/>
    </font>
  </fonts>
  <fills count="6">
    <fill>
      <patternFill patternType="none"/>
    </fill>
    <fill>
      <patternFill patternType="gray125"/>
    </fill>
    <fill>
      <patternFill patternType="mediumGray"/>
    </fill>
    <fill>
      <patternFill patternType="mediumGray">
        <fgColor indexed="9"/>
        <bgColor indexed="29"/>
      </patternFill>
    </fill>
    <fill>
      <patternFill patternType="lightDown">
        <fgColor indexed="52"/>
        <bgColor indexed="47"/>
      </patternFill>
    </fill>
    <fill>
      <patternFill patternType="lightDown">
        <fgColor indexed="9"/>
        <bgColor indexed="43"/>
      </patternFill>
    </fill>
  </fills>
  <borders count="4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0">
    <xf numFmtId="0" fontId="0" fillId="0" borderId="0" xfId="0"/>
    <xf numFmtId="0" fontId="3" fillId="0" borderId="2" xfId="0" applyFont="1" applyBorder="1" applyAlignment="1"/>
    <xf numFmtId="3" fontId="1" fillId="0" borderId="3" xfId="0" applyNumberFormat="1" applyFont="1" applyBorder="1"/>
    <xf numFmtId="3" fontId="4" fillId="0" borderId="3" xfId="0" applyNumberFormat="1" applyFont="1" applyBorder="1" applyAlignment="1"/>
    <xf numFmtId="3" fontId="1" fillId="0" borderId="4" xfId="0" applyNumberFormat="1" applyFont="1" applyFill="1" applyBorder="1"/>
    <xf numFmtId="14" fontId="0" fillId="0" borderId="0" xfId="0" applyNumberFormat="1"/>
    <xf numFmtId="0" fontId="5" fillId="0" borderId="5" xfId="0" applyFont="1" applyBorder="1"/>
    <xf numFmtId="0" fontId="6" fillId="0" borderId="6" xfId="0" applyFont="1" applyFill="1" applyBorder="1"/>
    <xf numFmtId="0" fontId="7" fillId="0" borderId="7" xfId="0" applyFont="1" applyBorder="1"/>
    <xf numFmtId="0" fontId="5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Continuous"/>
    </xf>
    <xf numFmtId="0" fontId="1" fillId="0" borderId="10" xfId="0" applyNumberFormat="1" applyFont="1" applyBorder="1"/>
    <xf numFmtId="3" fontId="2" fillId="2" borderId="12" xfId="1" applyNumberFormat="1" applyFont="1" applyFill="1" applyBorder="1"/>
    <xf numFmtId="3" fontId="9" fillId="0" borderId="14" xfId="0" applyNumberFormat="1" applyFont="1" applyFill="1" applyBorder="1" applyAlignment="1" applyProtection="1">
      <alignment horizontal="centerContinuous"/>
    </xf>
    <xf numFmtId="0" fontId="2" fillId="0" borderId="16" xfId="0" applyFont="1" applyBorder="1"/>
    <xf numFmtId="0" fontId="10" fillId="2" borderId="0" xfId="0" applyFont="1" applyFill="1" applyBorder="1"/>
    <xf numFmtId="0" fontId="2" fillId="2" borderId="10" xfId="0" applyFont="1" applyFill="1" applyBorder="1"/>
    <xf numFmtId="0" fontId="5" fillId="0" borderId="6" xfId="0" applyFont="1" applyBorder="1" applyAlignment="1">
      <alignment horizontal="center"/>
    </xf>
    <xf numFmtId="3" fontId="8" fillId="0" borderId="17" xfId="0" applyNumberFormat="1" applyFont="1" applyFill="1" applyBorder="1" applyAlignment="1" applyProtection="1">
      <alignment horizontal="centerContinuous"/>
    </xf>
    <xf numFmtId="3" fontId="1" fillId="0" borderId="18" xfId="0" applyNumberFormat="1" applyFont="1" applyBorder="1"/>
    <xf numFmtId="3" fontId="2" fillId="2" borderId="7" xfId="1" applyNumberFormat="1" applyFont="1" applyFill="1" applyBorder="1" applyAlignment="1">
      <alignment horizontal="right"/>
    </xf>
    <xf numFmtId="3" fontId="1" fillId="0" borderId="20" xfId="1" applyNumberFormat="1" applyFont="1" applyBorder="1"/>
    <xf numFmtId="3" fontId="2" fillId="2" borderId="3" xfId="1" applyNumberFormat="1" applyFont="1" applyFill="1" applyBorder="1"/>
    <xf numFmtId="10" fontId="5" fillId="0" borderId="0" xfId="0" applyNumberFormat="1" applyFont="1" applyBorder="1" applyAlignment="1">
      <alignment horizontal="center"/>
    </xf>
    <xf numFmtId="0" fontId="5" fillId="0" borderId="21" xfId="0" applyFont="1" applyBorder="1" applyAlignment="1">
      <alignment horizontal="centerContinuous"/>
    </xf>
    <xf numFmtId="3" fontId="4" fillId="0" borderId="10" xfId="0" applyNumberFormat="1" applyFont="1" applyBorder="1" applyAlignment="1"/>
    <xf numFmtId="3" fontId="1" fillId="0" borderId="23" xfId="1" applyNumberFormat="1" applyFont="1" applyBorder="1"/>
    <xf numFmtId="3" fontId="2" fillId="2" borderId="24" xfId="1" applyNumberFormat="1" applyFont="1" applyFill="1" applyBorder="1"/>
    <xf numFmtId="0" fontId="7" fillId="0" borderId="25" xfId="0" applyFont="1" applyFill="1" applyBorder="1"/>
    <xf numFmtId="0" fontId="5" fillId="0" borderId="22" xfId="0" applyNumberFormat="1" applyFont="1" applyFill="1" applyBorder="1" applyAlignment="1" applyProtection="1"/>
    <xf numFmtId="0" fontId="8" fillId="0" borderId="27" xfId="0" applyFont="1" applyBorder="1" applyAlignment="1">
      <alignment horizontal="left"/>
    </xf>
    <xf numFmtId="0" fontId="6" fillId="0" borderId="29" xfId="0" applyFont="1" applyFill="1" applyBorder="1"/>
    <xf numFmtId="0" fontId="10" fillId="0" borderId="9" xfId="0" applyFont="1" applyBorder="1"/>
    <xf numFmtId="3" fontId="9" fillId="0" borderId="1" xfId="0" applyNumberFormat="1" applyFont="1" applyFill="1" applyBorder="1" applyAlignment="1" applyProtection="1"/>
    <xf numFmtId="0" fontId="10" fillId="2" borderId="22" xfId="0" applyFont="1" applyFill="1" applyBorder="1"/>
    <xf numFmtId="0" fontId="1" fillId="0" borderId="15" xfId="0" applyFont="1" applyBorder="1"/>
    <xf numFmtId="0" fontId="12" fillId="3" borderId="30" xfId="0" applyFont="1" applyFill="1" applyBorder="1" applyAlignment="1"/>
    <xf numFmtId="0" fontId="10" fillId="2" borderId="26" xfId="0" applyFont="1" applyFill="1" applyBorder="1"/>
    <xf numFmtId="0" fontId="10" fillId="0" borderId="1" xfId="0" applyFont="1" applyBorder="1" applyAlignment="1"/>
    <xf numFmtId="0" fontId="2" fillId="2" borderId="19" xfId="0" applyFont="1" applyFill="1" applyBorder="1"/>
    <xf numFmtId="0" fontId="8" fillId="0" borderId="21" xfId="0" applyNumberFormat="1" applyFont="1" applyBorder="1"/>
    <xf numFmtId="0" fontId="6" fillId="0" borderId="3" xfId="0" applyFont="1" applyFill="1" applyBorder="1"/>
    <xf numFmtId="0" fontId="11" fillId="0" borderId="0" xfId="0" applyFont="1"/>
    <xf numFmtId="0" fontId="10" fillId="0" borderId="1" xfId="0" applyFont="1" applyBorder="1"/>
    <xf numFmtId="0" fontId="9" fillId="0" borderId="21" xfId="0" applyFont="1" applyBorder="1" applyAlignment="1">
      <alignment horizontal="left"/>
    </xf>
    <xf numFmtId="0" fontId="5" fillId="0" borderId="2" xfId="0" applyFont="1" applyBorder="1" applyAlignment="1">
      <alignment horizontal="centerContinuous"/>
    </xf>
    <xf numFmtId="0" fontId="8" fillId="0" borderId="26" xfId="0" applyFont="1" applyBorder="1" applyAlignment="1">
      <alignment horizontal="centerContinuous"/>
    </xf>
    <xf numFmtId="0" fontId="1" fillId="0" borderId="6" xfId="0" applyNumberFormat="1" applyFont="1" applyBorder="1"/>
    <xf numFmtId="0" fontId="10" fillId="0" borderId="0" xfId="0" applyFont="1" applyBorder="1"/>
    <xf numFmtId="0" fontId="13" fillId="0" borderId="0" xfId="0" applyFont="1" applyBorder="1"/>
    <xf numFmtId="0" fontId="2" fillId="2" borderId="31" xfId="0" applyFont="1" applyFill="1" applyBorder="1"/>
    <xf numFmtId="0" fontId="9" fillId="0" borderId="14" xfId="0" applyFont="1" applyBorder="1"/>
    <xf numFmtId="0" fontId="5" fillId="0" borderId="2" xfId="0" applyFont="1" applyBorder="1" applyAlignment="1">
      <alignment horizontal="left"/>
    </xf>
    <xf numFmtId="166" fontId="5" fillId="0" borderId="1" xfId="0" applyNumberFormat="1" applyFont="1" applyFill="1" applyBorder="1" applyAlignment="1" applyProtection="1">
      <alignment horizontal="centerContinuous"/>
    </xf>
    <xf numFmtId="0" fontId="6" fillId="0" borderId="3" xfId="0" applyFont="1" applyBorder="1"/>
    <xf numFmtId="3" fontId="1" fillId="0" borderId="12" xfId="1" applyNumberFormat="1" applyFont="1" applyBorder="1"/>
    <xf numFmtId="3" fontId="1" fillId="0" borderId="32" xfId="0" applyNumberFormat="1" applyFont="1" applyBorder="1"/>
    <xf numFmtId="3" fontId="4" fillId="0" borderId="32" xfId="0" applyNumberFormat="1" applyFont="1" applyBorder="1" applyAlignment="1"/>
    <xf numFmtId="0" fontId="9" fillId="0" borderId="15" xfId="0" applyFont="1" applyBorder="1" applyAlignment="1">
      <alignment horizontal="center"/>
    </xf>
    <xf numFmtId="3" fontId="1" fillId="0" borderId="3" xfId="1" applyNumberFormat="1" applyFont="1" applyBorder="1"/>
    <xf numFmtId="1" fontId="1" fillId="0" borderId="0" xfId="0" applyNumberFormat="1" applyFont="1" applyBorder="1"/>
    <xf numFmtId="0" fontId="1" fillId="0" borderId="0" xfId="0" applyFont="1"/>
    <xf numFmtId="3" fontId="1" fillId="0" borderId="34" xfId="0" applyNumberFormat="1" applyFont="1" applyBorder="1"/>
    <xf numFmtId="0" fontId="5" fillId="0" borderId="21" xfId="0" applyFont="1" applyBorder="1" applyAlignment="1">
      <alignment horizontal="center"/>
    </xf>
    <xf numFmtId="1" fontId="1" fillId="0" borderId="0" xfId="0" applyNumberFormat="1" applyFont="1"/>
    <xf numFmtId="0" fontId="8" fillId="0" borderId="15" xfId="0" applyFont="1" applyBorder="1"/>
    <xf numFmtId="3" fontId="1" fillId="0" borderId="24" xfId="1" applyNumberFormat="1" applyFont="1" applyBorder="1"/>
    <xf numFmtId="0" fontId="10" fillId="0" borderId="26" xfId="0" applyFont="1" applyBorder="1"/>
    <xf numFmtId="0" fontId="3" fillId="0" borderId="1" xfId="0" applyFont="1" applyBorder="1" applyAlignment="1"/>
    <xf numFmtId="3" fontId="1" fillId="0" borderId="7" xfId="0" applyNumberFormat="1" applyFont="1" applyFill="1" applyBorder="1"/>
    <xf numFmtId="0" fontId="2" fillId="2" borderId="7" xfId="0" applyFont="1" applyFill="1" applyBorder="1"/>
    <xf numFmtId="0" fontId="1" fillId="0" borderId="19" xfId="0" applyFont="1" applyFill="1" applyBorder="1"/>
    <xf numFmtId="3" fontId="1" fillId="0" borderId="4" xfId="1" applyNumberFormat="1" applyFont="1" applyBorder="1"/>
    <xf numFmtId="3" fontId="1" fillId="0" borderId="37" xfId="0" applyNumberFormat="1" applyFont="1" applyBorder="1"/>
    <xf numFmtId="3" fontId="1" fillId="0" borderId="38" xfId="0" applyNumberFormat="1" applyFont="1" applyBorder="1"/>
    <xf numFmtId="166" fontId="8" fillId="0" borderId="2" xfId="0" applyNumberFormat="1" applyFont="1" applyFill="1" applyBorder="1" applyAlignment="1" applyProtection="1">
      <alignment horizontal="centerContinuous"/>
    </xf>
    <xf numFmtId="0" fontId="5" fillId="0" borderId="30" xfId="0" applyFont="1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0" fontId="5" fillId="0" borderId="9" xfId="0" applyFont="1" applyBorder="1"/>
    <xf numFmtId="0" fontId="9" fillId="0" borderId="14" xfId="0" applyFont="1" applyBorder="1" applyAlignment="1">
      <alignment horizontal="centerContinuous"/>
    </xf>
    <xf numFmtId="0" fontId="1" fillId="0" borderId="31" xfId="0" applyFont="1" applyFill="1" applyBorder="1"/>
    <xf numFmtId="0" fontId="10" fillId="0" borderId="8" xfId="0" applyFont="1" applyBorder="1"/>
    <xf numFmtId="3" fontId="4" fillId="0" borderId="7" xfId="0" applyNumberFormat="1" applyFont="1" applyBorder="1" applyAlignment="1"/>
    <xf numFmtId="0" fontId="8" fillId="0" borderId="21" xfId="0" applyFont="1" applyBorder="1"/>
    <xf numFmtId="3" fontId="1" fillId="0" borderId="12" xfId="0" applyNumberFormat="1" applyFont="1" applyBorder="1"/>
    <xf numFmtId="0" fontId="14" fillId="4" borderId="30" xfId="0" applyFont="1" applyFill="1" applyBorder="1" applyAlignment="1"/>
    <xf numFmtId="3" fontId="8" fillId="0" borderId="14" xfId="0" applyNumberFormat="1" applyFont="1" applyFill="1" applyBorder="1" applyAlignment="1" applyProtection="1">
      <alignment horizontal="centerContinuous"/>
    </xf>
    <xf numFmtId="0" fontId="3" fillId="0" borderId="22" xfId="0" applyFont="1" applyBorder="1" applyAlignment="1"/>
    <xf numFmtId="3" fontId="2" fillId="2" borderId="39" xfId="1" applyNumberFormat="1" applyFont="1" applyFill="1" applyBorder="1"/>
    <xf numFmtId="166" fontId="8" fillId="0" borderId="31" xfId="0" applyNumberFormat="1" applyFont="1" applyBorder="1"/>
    <xf numFmtId="0" fontId="8" fillId="0" borderId="2" xfId="0" applyNumberFormat="1" applyFont="1" applyBorder="1" applyAlignment="1">
      <alignment horizontal="left"/>
    </xf>
    <xf numFmtId="0" fontId="5" fillId="0" borderId="19" xfId="0" applyFont="1" applyBorder="1" applyAlignment="1">
      <alignment horizontal="center"/>
    </xf>
    <xf numFmtId="3" fontId="2" fillId="2" borderId="7" xfId="1" applyNumberFormat="1" applyFont="1" applyFill="1" applyBorder="1"/>
    <xf numFmtId="0" fontId="5" fillId="0" borderId="21" xfId="0" applyNumberFormat="1" applyFont="1" applyFill="1" applyBorder="1" applyAlignment="1" applyProtection="1"/>
    <xf numFmtId="0" fontId="9" fillId="0" borderId="1" xfId="0" applyFont="1" applyBorder="1"/>
    <xf numFmtId="0" fontId="10" fillId="2" borderId="21" xfId="0" applyFont="1" applyFill="1" applyBorder="1"/>
    <xf numFmtId="0" fontId="5" fillId="0" borderId="21" xfId="0" applyFont="1" applyBorder="1" applyAlignment="1">
      <alignment horizontal="right"/>
    </xf>
    <xf numFmtId="0" fontId="10" fillId="0" borderId="16" xfId="0" applyFont="1" applyBorder="1"/>
    <xf numFmtId="3" fontId="10" fillId="2" borderId="12" xfId="1" applyNumberFormat="1" applyFont="1" applyFill="1" applyBorder="1"/>
    <xf numFmtId="0" fontId="10" fillId="0" borderId="17" xfId="0" applyFont="1" applyBorder="1"/>
    <xf numFmtId="0" fontId="9" fillId="0" borderId="0" xfId="0" applyFont="1" applyBorder="1"/>
    <xf numFmtId="3" fontId="1" fillId="0" borderId="32" xfId="1" applyNumberFormat="1" applyFont="1" applyFill="1" applyBorder="1"/>
    <xf numFmtId="0" fontId="5" fillId="0" borderId="40" xfId="0" applyFont="1" applyBorder="1"/>
    <xf numFmtId="1" fontId="7" fillId="0" borderId="7" xfId="0" applyNumberFormat="1" applyFont="1" applyBorder="1"/>
    <xf numFmtId="0" fontId="5" fillId="0" borderId="22" xfId="0" applyFont="1" applyBorder="1"/>
    <xf numFmtId="3" fontId="8" fillId="0" borderId="2" xfId="0" applyNumberFormat="1" applyFont="1" applyFill="1" applyBorder="1" applyAlignment="1" applyProtection="1">
      <alignment horizontal="center"/>
    </xf>
    <xf numFmtId="3" fontId="1" fillId="0" borderId="11" xfId="0" applyNumberFormat="1" applyFont="1" applyFill="1" applyBorder="1"/>
    <xf numFmtId="3" fontId="1" fillId="0" borderId="0" xfId="0" applyNumberFormat="1" applyFont="1" applyBorder="1"/>
    <xf numFmtId="0" fontId="5" fillId="0" borderId="1" xfId="0" applyFont="1" applyBorder="1" applyAlignment="1">
      <alignment horizontal="centerContinuous"/>
    </xf>
    <xf numFmtId="0" fontId="5" fillId="0" borderId="26" xfId="0" applyFont="1" applyBorder="1"/>
    <xf numFmtId="0" fontId="8" fillId="0" borderId="14" xfId="0" applyNumberFormat="1" applyFont="1" applyBorder="1" applyAlignment="1">
      <alignment horizontal="left"/>
    </xf>
    <xf numFmtId="3" fontId="1" fillId="0" borderId="41" xfId="1" applyNumberFormat="1" applyFont="1" applyBorder="1"/>
    <xf numFmtId="0" fontId="6" fillId="0" borderId="39" xfId="0" applyFont="1" applyFill="1" applyBorder="1"/>
    <xf numFmtId="3" fontId="1" fillId="0" borderId="32" xfId="1" applyNumberFormat="1" applyFont="1" applyBorder="1"/>
    <xf numFmtId="3" fontId="1" fillId="0" borderId="31" xfId="1" applyNumberFormat="1" applyFont="1" applyBorder="1"/>
    <xf numFmtId="0" fontId="10" fillId="0" borderId="15" xfId="0" applyFont="1" applyBorder="1"/>
    <xf numFmtId="0" fontId="9" fillId="0" borderId="9" xfId="0" applyFont="1" applyBorder="1" applyAlignment="1">
      <alignment horizontal="left"/>
    </xf>
    <xf numFmtId="3" fontId="9" fillId="0" borderId="17" xfId="0" applyNumberFormat="1" applyFont="1" applyFill="1" applyBorder="1" applyAlignment="1" applyProtection="1">
      <alignment horizontal="centerContinuous"/>
    </xf>
    <xf numFmtId="1" fontId="5" fillId="0" borderId="21" xfId="0" applyNumberFormat="1" applyFont="1" applyBorder="1" applyAlignment="1">
      <alignment horizontal="centerContinuous"/>
    </xf>
    <xf numFmtId="0" fontId="5" fillId="0" borderId="8" xfId="0" applyFont="1" applyBorder="1"/>
    <xf numFmtId="3" fontId="1" fillId="0" borderId="42" xfId="0" applyNumberFormat="1" applyFont="1" applyBorder="1"/>
    <xf numFmtId="0" fontId="5" fillId="0" borderId="0" xfId="0" applyFont="1" applyBorder="1" applyAlignment="1">
      <alignment horizontal="left"/>
    </xf>
    <xf numFmtId="0" fontId="2" fillId="0" borderId="13" xfId="0" applyFont="1" applyBorder="1"/>
    <xf numFmtId="3" fontId="8" fillId="0" borderId="13" xfId="0" applyNumberFormat="1" applyFont="1" applyFill="1" applyBorder="1" applyAlignment="1" applyProtection="1">
      <alignment horizontal="centerContinuous"/>
    </xf>
    <xf numFmtId="3" fontId="1" fillId="0" borderId="37" xfId="1" applyNumberFormat="1" applyFont="1" applyBorder="1"/>
    <xf numFmtId="0" fontId="9" fillId="0" borderId="1" xfId="0" applyFont="1" applyBorder="1" applyAlignment="1">
      <alignment horizontal="left"/>
    </xf>
    <xf numFmtId="0" fontId="10" fillId="0" borderId="9" xfId="0" applyNumberFormat="1" applyFont="1" applyFill="1" applyBorder="1" applyAlignment="1" applyProtection="1"/>
    <xf numFmtId="3" fontId="1" fillId="0" borderId="39" xfId="1" applyNumberFormat="1" applyFont="1" applyBorder="1"/>
    <xf numFmtId="0" fontId="10" fillId="0" borderId="21" xfId="0" applyFont="1" applyBorder="1"/>
    <xf numFmtId="0" fontId="5" fillId="0" borderId="22" xfId="0" applyFont="1" applyBorder="1" applyAlignment="1">
      <alignment horizontal="centerContinuous"/>
    </xf>
    <xf numFmtId="3" fontId="1" fillId="0" borderId="7" xfId="1" applyNumberFormat="1" applyFont="1" applyBorder="1"/>
    <xf numFmtId="0" fontId="5" fillId="0" borderId="31" xfId="0" applyNumberFormat="1" applyFont="1" applyFill="1" applyBorder="1" applyAlignment="1" applyProtection="1"/>
    <xf numFmtId="166" fontId="10" fillId="0" borderId="14" xfId="0" applyNumberFormat="1" applyFont="1" applyFill="1" applyBorder="1" applyAlignment="1" applyProtection="1">
      <alignment horizontal="centerContinuous"/>
    </xf>
    <xf numFmtId="3" fontId="1" fillId="0" borderId="23" xfId="0" applyNumberFormat="1" applyFont="1" applyFill="1" applyBorder="1"/>
    <xf numFmtId="3" fontId="1" fillId="0" borderId="19" xfId="0" applyNumberFormat="1" applyFont="1" applyBorder="1"/>
    <xf numFmtId="0" fontId="8" fillId="0" borderId="2" xfId="0" applyFont="1" applyBorder="1" applyAlignment="1">
      <alignment horizontal="left"/>
    </xf>
    <xf numFmtId="0" fontId="5" fillId="0" borderId="44" xfId="0" applyFont="1" applyBorder="1" applyAlignment="1">
      <alignment horizontal="center"/>
    </xf>
    <xf numFmtId="0" fontId="3" fillId="0" borderId="15" xfId="0" applyFont="1" applyBorder="1" applyAlignment="1"/>
    <xf numFmtId="0" fontId="5" fillId="0" borderId="9" xfId="0" applyFont="1" applyBorder="1" applyAlignment="1">
      <alignment horizontal="center"/>
    </xf>
    <xf numFmtId="0" fontId="1" fillId="0" borderId="0" xfId="0" applyFont="1" applyBorder="1"/>
    <xf numFmtId="0" fontId="5" fillId="0" borderId="22" xfId="0" applyFont="1" applyBorder="1" applyAlignment="1">
      <alignment horizontal="left"/>
    </xf>
    <xf numFmtId="164" fontId="15" fillId="0" borderId="31" xfId="0" applyNumberFormat="1" applyFont="1" applyFill="1" applyBorder="1" applyAlignment="1" applyProtection="1"/>
    <xf numFmtId="0" fontId="10" fillId="0" borderId="11" xfId="0" applyFont="1" applyBorder="1"/>
    <xf numFmtId="1" fontId="6" fillId="0" borderId="3" xfId="0" applyNumberFormat="1" applyFont="1" applyBorder="1"/>
    <xf numFmtId="0" fontId="1" fillId="0" borderId="0" xfId="0" applyFont="1"/>
    <xf numFmtId="3" fontId="1" fillId="0" borderId="6" xfId="0" applyNumberFormat="1" applyFont="1" applyBorder="1"/>
    <xf numFmtId="0" fontId="9" fillId="0" borderId="26" xfId="0" applyFont="1" applyBorder="1" applyAlignment="1">
      <alignment horizontal="centerContinuous"/>
    </xf>
    <xf numFmtId="0" fontId="8" fillId="0" borderId="14" xfId="0" applyFont="1" applyBorder="1" applyAlignment="1">
      <alignment horizontal="centerContinuous"/>
    </xf>
    <xf numFmtId="0" fontId="16" fillId="0" borderId="15" xfId="0" applyFont="1" applyBorder="1"/>
    <xf numFmtId="0" fontId="10" fillId="0" borderId="2" xfId="0" applyFont="1" applyBorder="1"/>
    <xf numFmtId="0" fontId="5" fillId="0" borderId="0" xfId="0" applyFont="1" applyBorder="1" applyAlignment="1">
      <alignment horizontal="center"/>
    </xf>
    <xf numFmtId="0" fontId="5" fillId="0" borderId="15" xfId="0" applyFont="1" applyBorder="1"/>
    <xf numFmtId="0" fontId="8" fillId="0" borderId="14" xfId="0" applyFont="1" applyBorder="1" applyAlignment="1">
      <alignment horizontal="left"/>
    </xf>
    <xf numFmtId="0" fontId="17" fillId="5" borderId="30" xfId="0" applyFont="1" applyFill="1" applyBorder="1" applyAlignment="1"/>
    <xf numFmtId="3" fontId="1" fillId="0" borderId="18" xfId="1" applyNumberFormat="1" applyFont="1" applyBorder="1"/>
    <xf numFmtId="0" fontId="5" fillId="0" borderId="45" xfId="0" applyFont="1" applyBorder="1"/>
    <xf numFmtId="166" fontId="9" fillId="0" borderId="31" xfId="0" applyNumberFormat="1" applyFont="1" applyFill="1" applyBorder="1" applyAlignment="1" applyProtection="1"/>
    <xf numFmtId="2" fontId="1" fillId="0" borderId="30" xfId="0" applyNumberFormat="1" applyFont="1" applyBorder="1" applyAlignment="1">
      <alignment horizontal="center"/>
    </xf>
    <xf numFmtId="0" fontId="8" fillId="0" borderId="27" xfId="0" applyNumberFormat="1" applyFont="1" applyBorder="1" applyAlignment="1">
      <alignment horizontal="left"/>
    </xf>
    <xf numFmtId="0" fontId="2" fillId="2" borderId="29" xfId="0" applyFont="1" applyFill="1" applyBorder="1"/>
    <xf numFmtId="3" fontId="1" fillId="0" borderId="25" xfId="1" applyNumberFormat="1" applyFont="1" applyBorder="1"/>
    <xf numFmtId="0" fontId="1" fillId="0" borderId="46" xfId="0" applyFont="1" applyBorder="1"/>
    <xf numFmtId="0" fontId="2" fillId="2" borderId="12" xfId="0" applyFont="1" applyFill="1" applyBorder="1"/>
    <xf numFmtId="0" fontId="1" fillId="0" borderId="26" xfId="0" applyFont="1" applyBorder="1"/>
    <xf numFmtId="0" fontId="10" fillId="0" borderId="26" xfId="0" applyNumberFormat="1" applyFont="1" applyFill="1" applyBorder="1" applyAlignment="1" applyProtection="1"/>
    <xf numFmtId="3" fontId="1" fillId="0" borderId="7" xfId="0" applyNumberFormat="1" applyFont="1" applyBorder="1"/>
    <xf numFmtId="0" fontId="5" fillId="0" borderId="21" xfId="0" applyFont="1" applyFill="1" applyBorder="1" applyAlignment="1" applyProtection="1">
      <alignment horizontal="centerContinuous"/>
    </xf>
    <xf numFmtId="0" fontId="0" fillId="0" borderId="0" xfId="0" applyNumberFormat="1"/>
    <xf numFmtId="0" fontId="2" fillId="2" borderId="7" xfId="0" applyFont="1" applyFill="1" applyBorder="1" applyAlignment="1">
      <alignment horizontal="right"/>
    </xf>
    <xf numFmtId="0" fontId="8" fillId="0" borderId="0" xfId="0" applyFont="1" applyFill="1" applyBorder="1" applyAlignment="1" applyProtection="1">
      <alignment horizontal="centerContinuous"/>
    </xf>
    <xf numFmtId="3" fontId="1" fillId="0" borderId="3" xfId="0" applyNumberFormat="1" applyFont="1" applyFill="1" applyBorder="1"/>
    <xf numFmtId="0" fontId="2" fillId="2" borderId="3" xfId="0" applyFont="1" applyFill="1" applyBorder="1"/>
    <xf numFmtId="3" fontId="4" fillId="0" borderId="12" xfId="0" applyNumberFormat="1" applyFont="1" applyBorder="1" applyAlignment="1"/>
    <xf numFmtId="0" fontId="10" fillId="0" borderId="14" xfId="0" applyFont="1" applyBorder="1"/>
    <xf numFmtId="0" fontId="5" fillId="0" borderId="22" xfId="0" applyFont="1" applyBorder="1" applyAlignment="1">
      <alignment horizontal="center"/>
    </xf>
    <xf numFmtId="167" fontId="0" fillId="0" borderId="0" xfId="0" applyNumberFormat="1"/>
    <xf numFmtId="0" fontId="5" fillId="0" borderId="21" xfId="0" applyFont="1" applyBorder="1"/>
    <xf numFmtId="0" fontId="7" fillId="0" borderId="7" xfId="0" applyFont="1" applyFill="1" applyBorder="1"/>
    <xf numFmtId="0" fontId="10" fillId="2" borderId="9" xfId="0" applyFont="1" applyFill="1" applyBorder="1"/>
    <xf numFmtId="3" fontId="1" fillId="0" borderId="42" xfId="1" applyNumberFormat="1" applyFont="1" applyBorder="1"/>
    <xf numFmtId="0" fontId="5" fillId="0" borderId="26" xfId="0" applyFont="1" applyBorder="1" applyAlignment="1">
      <alignment horizontal="center"/>
    </xf>
    <xf numFmtId="0" fontId="5" fillId="0" borderId="22" xfId="0" applyFont="1" applyFill="1" applyBorder="1" applyAlignment="1" applyProtection="1">
      <alignment horizontal="left"/>
    </xf>
    <xf numFmtId="0" fontId="5" fillId="0" borderId="15" xfId="0" applyFont="1" applyFill="1" applyBorder="1" applyAlignment="1" applyProtection="1">
      <alignment horizontal="left"/>
    </xf>
    <xf numFmtId="0" fontId="5" fillId="0" borderId="26" xfId="0" applyFont="1" applyFill="1" applyBorder="1" applyAlignment="1" applyProtection="1">
      <alignment horizontal="left"/>
    </xf>
    <xf numFmtId="3" fontId="8" fillId="0" borderId="2" xfId="0" applyNumberFormat="1" applyFont="1" applyFill="1" applyBorder="1" applyAlignment="1" applyProtection="1">
      <alignment horizontal="center"/>
    </xf>
    <xf numFmtId="3" fontId="8" fillId="0" borderId="1" xfId="0" applyNumberFormat="1" applyFont="1" applyFill="1" applyBorder="1" applyAlignment="1" applyProtection="1">
      <alignment horizontal="center"/>
    </xf>
    <xf numFmtId="3" fontId="8" fillId="0" borderId="2" xfId="0" applyNumberFormat="1" applyFont="1" applyFill="1" applyBorder="1" applyAlignment="1" applyProtection="1">
      <alignment horizontal="left"/>
    </xf>
    <xf numFmtId="3" fontId="8" fillId="0" borderId="1" xfId="0" applyNumberFormat="1" applyFont="1" applyFill="1" applyBorder="1" applyAlignment="1" applyProtection="1">
      <alignment horizontal="left"/>
    </xf>
    <xf numFmtId="0" fontId="5" fillId="0" borderId="22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26" xfId="0" applyFont="1" applyBorder="1" applyAlignment="1">
      <alignment horizontal="left"/>
    </xf>
    <xf numFmtId="0" fontId="5" fillId="0" borderId="22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2" fillId="0" borderId="2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22" xfId="0" applyNumberFormat="1" applyFont="1" applyFill="1" applyBorder="1" applyAlignment="1" applyProtection="1">
      <alignment horizontal="center"/>
    </xf>
    <xf numFmtId="0" fontId="5" fillId="0" borderId="26" xfId="0" applyNumberFormat="1" applyFont="1" applyFill="1" applyBorder="1" applyAlignment="1" applyProtection="1">
      <alignment horizontal="center"/>
    </xf>
    <xf numFmtId="0" fontId="2" fillId="0" borderId="1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5" fillId="0" borderId="21" xfId="0" applyNumberFormat="1" applyFont="1" applyFill="1" applyBorder="1" applyAlignment="1" applyProtection="1">
      <alignment horizontal="center"/>
    </xf>
    <xf numFmtId="0" fontId="5" fillId="0" borderId="9" xfId="0" applyNumberFormat="1" applyFont="1" applyFill="1" applyBorder="1" applyAlignment="1" applyProtection="1">
      <alignment horizontal="center"/>
    </xf>
    <xf numFmtId="0" fontId="5" fillId="0" borderId="2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5" fillId="0" borderId="13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3" fontId="8" fillId="0" borderId="14" xfId="0" applyNumberFormat="1" applyFont="1" applyFill="1" applyBorder="1" applyAlignment="1" applyProtection="1">
      <alignment horizontal="center"/>
    </xf>
    <xf numFmtId="0" fontId="5" fillId="0" borderId="2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5" fillId="0" borderId="6" xfId="0" applyNumberFormat="1" applyFont="1" applyFill="1" applyBorder="1" applyAlignment="1" applyProtection="1">
      <alignment horizontal="center"/>
    </xf>
    <xf numFmtId="0" fontId="5" fillId="0" borderId="19" xfId="0" applyNumberFormat="1" applyFont="1" applyFill="1" applyBorder="1" applyAlignment="1" applyProtection="1">
      <alignment horizontal="center"/>
    </xf>
    <xf numFmtId="0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6" xfId="0" applyFont="1" applyBorder="1"/>
    <xf numFmtId="0" fontId="1" fillId="0" borderId="17" xfId="0" applyFont="1" applyBorder="1"/>
    <xf numFmtId="166" fontId="8" fillId="0" borderId="2" xfId="0" applyNumberFormat="1" applyFont="1" applyFill="1" applyBorder="1" applyAlignment="1" applyProtection="1">
      <alignment horizontal="center"/>
    </xf>
    <xf numFmtId="166" fontId="8" fillId="0" borderId="1" xfId="0" applyNumberFormat="1" applyFont="1" applyFill="1" applyBorder="1" applyAlignment="1" applyProtection="1">
      <alignment horizontal="center"/>
    </xf>
    <xf numFmtId="166" fontId="8" fillId="0" borderId="14" xfId="0" applyNumberFormat="1" applyFont="1" applyFill="1" applyBorder="1" applyAlignment="1" applyProtection="1">
      <alignment horizontal="center"/>
    </xf>
    <xf numFmtId="0" fontId="3" fillId="0" borderId="15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3" fontId="1" fillId="0" borderId="3" xfId="0" applyNumberFormat="1" applyFont="1" applyBorder="1" applyAlignment="1">
      <alignment horizontal="right"/>
    </xf>
    <xf numFmtId="3" fontId="1" fillId="0" borderId="33" xfId="0" applyNumberFormat="1" applyFont="1" applyBorder="1" applyAlignment="1">
      <alignment horizontal="right"/>
    </xf>
    <xf numFmtId="3" fontId="1" fillId="0" borderId="12" xfId="0" applyNumberFormat="1" applyFont="1" applyBorder="1" applyAlignment="1">
      <alignment horizontal="right"/>
    </xf>
    <xf numFmtId="0" fontId="1" fillId="0" borderId="28" xfId="0" applyNumberFormat="1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3" fontId="1" fillId="0" borderId="2" xfId="0" applyNumberFormat="1" applyFont="1" applyFill="1" applyBorder="1" applyAlignment="1">
      <alignment horizontal="right"/>
    </xf>
    <xf numFmtId="3" fontId="1" fillId="0" borderId="35" xfId="0" applyNumberFormat="1" applyFont="1" applyFill="1" applyBorder="1" applyAlignment="1">
      <alignment horizontal="right"/>
    </xf>
    <xf numFmtId="3" fontId="1" fillId="0" borderId="36" xfId="0" applyNumberFormat="1" applyFont="1" applyFill="1" applyBorder="1" applyAlignment="1">
      <alignment horizontal="right"/>
    </xf>
    <xf numFmtId="3" fontId="1" fillId="0" borderId="47" xfId="0" applyNumberFormat="1" applyFont="1" applyFill="1" applyBorder="1" applyAlignment="1">
      <alignment horizontal="right"/>
    </xf>
    <xf numFmtId="0" fontId="7" fillId="0" borderId="13" xfId="0" applyFont="1" applyFill="1" applyBorder="1" applyAlignment="1">
      <alignment horizontal="left"/>
    </xf>
    <xf numFmtId="0" fontId="7" fillId="0" borderId="16" xfId="0" applyFont="1" applyFill="1" applyBorder="1" applyAlignment="1">
      <alignment horizontal="left"/>
    </xf>
    <xf numFmtId="0" fontId="7" fillId="0" borderId="17" xfId="0" applyFont="1" applyFill="1" applyBorder="1" applyAlignment="1">
      <alignment horizontal="left"/>
    </xf>
    <xf numFmtId="3" fontId="1" fillId="0" borderId="29" xfId="1" applyNumberFormat="1" applyFont="1" applyBorder="1" applyAlignment="1">
      <alignment horizontal="right"/>
    </xf>
    <xf numFmtId="3" fontId="1" fillId="0" borderId="43" xfId="1" applyNumberFormat="1" applyFont="1" applyBorder="1" applyAlignment="1">
      <alignment horizontal="right"/>
    </xf>
    <xf numFmtId="3" fontId="1" fillId="0" borderId="3" xfId="1" applyNumberFormat="1" applyFont="1" applyBorder="1" applyAlignment="1">
      <alignment horizontal="right"/>
    </xf>
    <xf numFmtId="3" fontId="1" fillId="0" borderId="33" xfId="1" applyNumberFormat="1" applyFont="1" applyBorder="1" applyAlignment="1">
      <alignment horizontal="right"/>
    </xf>
    <xf numFmtId="3" fontId="1" fillId="0" borderId="12" xfId="1" applyNumberFormat="1" applyFont="1" applyBorder="1" applyAlignment="1">
      <alignment horizontal="right"/>
    </xf>
    <xf numFmtId="3" fontId="1" fillId="0" borderId="11" xfId="1" applyNumberFormat="1" applyFont="1" applyBorder="1" applyAlignment="1">
      <alignment horizontal="right"/>
    </xf>
    <xf numFmtId="0" fontId="11" fillId="0" borderId="0" xfId="0" applyNumberFormat="1" applyFont="1" applyAlignment="1">
      <alignment horizontal="left"/>
    </xf>
    <xf numFmtId="0" fontId="11" fillId="0" borderId="0" xfId="0" applyFont="1" applyAlignment="1">
      <alignment horizontal="left"/>
    </xf>
    <xf numFmtId="0" fontId="6" fillId="0" borderId="0" xfId="0" applyFont="1"/>
    <xf numFmtId="0" fontId="11" fillId="0" borderId="0" xfId="0" applyNumberFormat="1" applyFont="1"/>
    <xf numFmtId="0" fontId="11" fillId="0" borderId="0" xfId="0" applyFont="1"/>
  </cellXfs>
  <cellStyles count="2">
    <cellStyle name="Comma" xfId="1" builtinId="3"/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60"/>
  <sheetViews>
    <sheetView tabSelected="1" zoomScale="90" workbookViewId="0">
      <selection activeCell="I29" sqref="I29"/>
    </sheetView>
  </sheetViews>
  <sheetFormatPr defaultColWidth="8.85546875" defaultRowHeight="15" x14ac:dyDescent="0.25"/>
  <cols>
    <col min="1" max="9" width="13.7109375" style="145" customWidth="1"/>
    <col min="10" max="13" width="7.28515625" style="145" customWidth="1"/>
    <col min="14" max="14" width="13.7109375" style="145" customWidth="1"/>
    <col min="15" max="17" width="13.7109375" style="145" hidden="1" customWidth="1"/>
    <col min="18" max="20" width="13.7109375" style="145" customWidth="1"/>
    <col min="21" max="16384" width="8.85546875" style="145"/>
  </cols>
  <sheetData>
    <row r="1" spans="1:20" ht="17.25" customHeight="1" x14ac:dyDescent="0.25">
      <c r="H1" s="227" t="s">
        <v>196</v>
      </c>
      <c r="I1" s="228"/>
      <c r="J1" s="228"/>
      <c r="K1" s="228"/>
      <c r="L1" s="228"/>
      <c r="M1" s="228"/>
    </row>
    <row r="2" spans="1:20" x14ac:dyDescent="0.25">
      <c r="A2" s="236" t="s">
        <v>61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</row>
    <row r="3" spans="1:20" ht="18.75" x14ac:dyDescent="0.3">
      <c r="A3" s="88"/>
      <c r="B3" s="138"/>
      <c r="C3" s="138"/>
      <c r="D3" s="138"/>
      <c r="E3" s="234" t="s">
        <v>137</v>
      </c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58"/>
      <c r="R3" s="164"/>
      <c r="S3" s="141" t="s">
        <v>205</v>
      </c>
      <c r="T3" s="147"/>
    </row>
    <row r="4" spans="1:20" ht="18.75" x14ac:dyDescent="0.3">
      <c r="A4" s="1"/>
      <c r="B4" s="68"/>
      <c r="C4" s="68"/>
      <c r="D4" s="68"/>
      <c r="E4" s="235" t="s">
        <v>37</v>
      </c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38" t="s">
        <v>155</v>
      </c>
      <c r="R4" s="111" t="s">
        <v>71</v>
      </c>
      <c r="S4" s="52" t="s">
        <v>14</v>
      </c>
      <c r="T4" s="80"/>
    </row>
    <row r="5" spans="1:20" x14ac:dyDescent="0.25">
      <c r="A5" s="123" t="s">
        <v>63</v>
      </c>
      <c r="B5" s="98"/>
      <c r="C5" s="98"/>
      <c r="D5" s="100"/>
      <c r="E5" s="123" t="s">
        <v>116</v>
      </c>
      <c r="F5" s="98"/>
      <c r="G5" s="98"/>
      <c r="H5" s="98"/>
      <c r="I5" s="100"/>
      <c r="J5" s="123" t="s">
        <v>16</v>
      </c>
      <c r="K5" s="14"/>
      <c r="L5" s="14"/>
      <c r="M5" s="98"/>
      <c r="N5" s="98"/>
      <c r="O5" s="98"/>
      <c r="P5" s="98"/>
      <c r="Q5" s="100"/>
      <c r="R5" s="123" t="s">
        <v>81</v>
      </c>
      <c r="S5" s="98"/>
      <c r="T5" s="100"/>
    </row>
    <row r="6" spans="1:20" x14ac:dyDescent="0.25">
      <c r="A6" s="177" t="s">
        <v>90</v>
      </c>
      <c r="B6" s="48"/>
      <c r="C6" s="48"/>
      <c r="D6" s="32"/>
      <c r="E6" s="105" t="s">
        <v>90</v>
      </c>
      <c r="F6" s="116"/>
      <c r="G6" s="116"/>
      <c r="H6" s="116"/>
      <c r="I6" s="67"/>
      <c r="J6" s="105" t="s">
        <v>90</v>
      </c>
      <c r="K6" s="152"/>
      <c r="L6" s="152"/>
      <c r="M6" s="116"/>
      <c r="N6" s="116"/>
      <c r="O6" s="116"/>
      <c r="P6" s="116"/>
      <c r="Q6" s="67"/>
      <c r="R6" s="105" t="s">
        <v>6</v>
      </c>
      <c r="S6" s="116"/>
      <c r="T6" s="67"/>
    </row>
    <row r="7" spans="1:20" x14ac:dyDescent="0.25">
      <c r="A7" s="91" t="s">
        <v>212</v>
      </c>
      <c r="B7" s="126"/>
      <c r="C7" s="43"/>
      <c r="D7" s="174"/>
      <c r="E7" s="159" t="s">
        <v>140</v>
      </c>
      <c r="F7" s="43"/>
      <c r="G7" s="43"/>
      <c r="H7" s="43"/>
      <c r="I7" s="174"/>
      <c r="J7" s="159" t="s">
        <v>172</v>
      </c>
      <c r="K7" s="126"/>
      <c r="L7" s="126"/>
      <c r="M7" s="43"/>
      <c r="N7" s="43"/>
      <c r="O7" s="43"/>
      <c r="P7" s="43"/>
      <c r="Q7" s="174"/>
      <c r="R7" s="44"/>
      <c r="S7" s="48"/>
      <c r="T7" s="117"/>
    </row>
    <row r="8" spans="1:20" x14ac:dyDescent="0.25">
      <c r="A8" s="105" t="s">
        <v>157</v>
      </c>
      <c r="B8" s="116"/>
      <c r="C8" s="116"/>
      <c r="D8" s="67"/>
      <c r="E8" s="105" t="s">
        <v>67</v>
      </c>
      <c r="F8" s="116"/>
      <c r="G8" s="116"/>
      <c r="H8" s="116"/>
      <c r="I8" s="67"/>
      <c r="J8" s="105" t="s">
        <v>158</v>
      </c>
      <c r="K8" s="152"/>
      <c r="L8" s="152"/>
      <c r="M8" s="116"/>
      <c r="N8" s="116"/>
      <c r="O8" s="116"/>
      <c r="P8" s="116"/>
      <c r="Q8" s="116"/>
      <c r="R8" s="75">
        <v>44197</v>
      </c>
      <c r="S8" s="53"/>
      <c r="T8" s="133"/>
    </row>
    <row r="9" spans="1:20" x14ac:dyDescent="0.25">
      <c r="A9" s="40" t="s">
        <v>119</v>
      </c>
      <c r="B9" s="101"/>
      <c r="C9" s="48"/>
      <c r="D9" s="32"/>
      <c r="E9" s="159" t="s">
        <v>196</v>
      </c>
      <c r="F9" s="43"/>
      <c r="G9" s="43"/>
      <c r="H9" s="43"/>
      <c r="I9" s="174"/>
      <c r="J9" s="159" t="s">
        <v>196</v>
      </c>
      <c r="K9" s="33"/>
      <c r="L9" s="33"/>
      <c r="M9" s="33"/>
      <c r="N9" s="43"/>
      <c r="O9" s="43"/>
      <c r="P9" s="43"/>
      <c r="Q9" s="174"/>
      <c r="R9" s="177" t="s">
        <v>35</v>
      </c>
      <c r="S9" s="48"/>
      <c r="T9" s="32"/>
    </row>
    <row r="10" spans="1:20" x14ac:dyDescent="0.25">
      <c r="A10" s="129"/>
      <c r="B10" s="48"/>
      <c r="C10" s="48"/>
      <c r="D10" s="32"/>
      <c r="E10" s="105" t="s">
        <v>151</v>
      </c>
      <c r="F10" s="116"/>
      <c r="G10" s="67"/>
      <c r="H10" s="105" t="s">
        <v>210</v>
      </c>
      <c r="I10" s="67"/>
      <c r="J10" s="105" t="s">
        <v>122</v>
      </c>
      <c r="K10" s="105"/>
      <c r="L10" s="152"/>
      <c r="M10" s="116"/>
      <c r="N10" s="116"/>
      <c r="O10" s="116"/>
      <c r="P10" s="116"/>
      <c r="Q10" s="67"/>
      <c r="R10" s="129"/>
      <c r="S10" s="48"/>
      <c r="T10" s="32"/>
    </row>
    <row r="11" spans="1:20" x14ac:dyDescent="0.25">
      <c r="A11" s="150"/>
      <c r="B11" s="43"/>
      <c r="C11" s="43"/>
      <c r="D11" s="174"/>
      <c r="E11" s="159" t="s">
        <v>196</v>
      </c>
      <c r="F11" s="43"/>
      <c r="G11" s="174"/>
      <c r="H11" s="159" t="s">
        <v>196</v>
      </c>
      <c r="I11" s="174"/>
      <c r="J11" s="103" t="str">
        <f>IF(1=0,"X"," ")</f>
        <v xml:space="preserve"> </v>
      </c>
      <c r="K11" s="156" t="s">
        <v>175</v>
      </c>
      <c r="L11" s="156" t="str">
        <f>IF(1=1,"X"," ")</f>
        <v>X</v>
      </c>
      <c r="M11" s="132" t="s">
        <v>206</v>
      </c>
      <c r="N11" s="142">
        <f>IF(OR(1=0,1=1), IF(DATE(2008, 9, 15)=0, " ", DATE(2008, 9, 15)), IF(1=2, "N/A"," "))</f>
        <v>39706</v>
      </c>
      <c r="O11" s="90"/>
      <c r="P11" s="157"/>
      <c r="Q11" s="143"/>
      <c r="R11" s="75">
        <v>44227</v>
      </c>
      <c r="S11" s="53"/>
      <c r="T11" s="133"/>
    </row>
    <row r="12" spans="1:20" x14ac:dyDescent="0.25">
      <c r="A12" s="208" t="s">
        <v>76</v>
      </c>
      <c r="B12" s="209"/>
      <c r="C12" s="209"/>
      <c r="D12" s="209"/>
      <c r="E12" s="209"/>
      <c r="F12" s="209"/>
      <c r="G12" s="209"/>
      <c r="H12" s="209"/>
      <c r="I12" s="209"/>
      <c r="J12" s="209"/>
      <c r="K12" s="209"/>
      <c r="L12" s="209"/>
      <c r="M12" s="209"/>
      <c r="N12" s="209"/>
      <c r="O12" s="209"/>
      <c r="P12" s="209"/>
      <c r="Q12" s="209"/>
      <c r="R12" s="209"/>
      <c r="S12" s="209"/>
      <c r="T12" s="210"/>
    </row>
    <row r="13" spans="1:20" x14ac:dyDescent="0.25">
      <c r="A13" s="6" t="s">
        <v>40</v>
      </c>
      <c r="B13" s="141" t="s">
        <v>51</v>
      </c>
      <c r="C13" s="189" t="s">
        <v>56</v>
      </c>
      <c r="D13" s="191"/>
      <c r="E13" s="189" t="s">
        <v>97</v>
      </c>
      <c r="F13" s="191"/>
      <c r="G13" s="189" t="s">
        <v>154</v>
      </c>
      <c r="H13" s="191"/>
      <c r="I13" s="189" t="s">
        <v>190</v>
      </c>
      <c r="J13" s="190"/>
      <c r="K13" s="191"/>
      <c r="L13" s="189" t="s">
        <v>110</v>
      </c>
      <c r="M13" s="190"/>
      <c r="N13" s="191"/>
      <c r="O13" s="182" t="s">
        <v>50</v>
      </c>
      <c r="P13" s="183"/>
      <c r="Q13" s="184"/>
      <c r="R13" s="29" t="s">
        <v>201</v>
      </c>
      <c r="S13" s="35"/>
      <c r="T13" s="165"/>
    </row>
    <row r="14" spans="1:20" x14ac:dyDescent="0.25">
      <c r="A14" s="82"/>
      <c r="B14" s="177" t="s">
        <v>189</v>
      </c>
      <c r="C14" s="206" t="s">
        <v>145</v>
      </c>
      <c r="D14" s="214"/>
      <c r="E14" s="206"/>
      <c r="F14" s="207"/>
      <c r="G14" s="206"/>
      <c r="H14" s="214"/>
      <c r="I14" s="215"/>
      <c r="J14" s="216"/>
      <c r="K14" s="217"/>
      <c r="L14" s="215" t="s">
        <v>60</v>
      </c>
      <c r="M14" s="216"/>
      <c r="N14" s="217"/>
      <c r="O14" s="167"/>
      <c r="P14" s="170"/>
      <c r="Q14" s="170"/>
      <c r="R14" s="94"/>
      <c r="S14" s="140"/>
      <c r="T14" s="127"/>
    </row>
    <row r="15" spans="1:20" x14ac:dyDescent="0.25">
      <c r="A15" s="106">
        <v>1</v>
      </c>
      <c r="B15" s="106">
        <v>0</v>
      </c>
      <c r="C15" s="185">
        <v>0</v>
      </c>
      <c r="D15" s="220"/>
      <c r="E15" s="185">
        <f>0*(0/100)</f>
        <v>0</v>
      </c>
      <c r="F15" s="186"/>
      <c r="G15" s="185">
        <f>0+0</f>
        <v>0</v>
      </c>
      <c r="H15" s="220"/>
      <c r="I15" s="186">
        <f>0+(0*(0/100))</f>
        <v>0</v>
      </c>
      <c r="J15" s="186"/>
      <c r="K15" s="185"/>
      <c r="L15" s="185">
        <v>0</v>
      </c>
      <c r="M15" s="186"/>
      <c r="N15" s="220"/>
      <c r="O15" s="185">
        <v>0</v>
      </c>
      <c r="P15" s="186"/>
      <c r="Q15" s="186"/>
      <c r="R15" s="231"/>
      <c r="S15" s="232"/>
      <c r="T15" s="233"/>
    </row>
    <row r="16" spans="1:20" x14ac:dyDescent="0.25">
      <c r="A16" s="208" t="s">
        <v>135</v>
      </c>
      <c r="B16" s="209"/>
      <c r="C16" s="209"/>
      <c r="D16" s="209"/>
      <c r="E16" s="209"/>
      <c r="F16" s="209"/>
      <c r="G16" s="209"/>
      <c r="H16" s="210"/>
      <c r="I16" s="208" t="s">
        <v>42</v>
      </c>
      <c r="J16" s="209"/>
      <c r="K16" s="209"/>
      <c r="L16" s="209"/>
      <c r="M16" s="209"/>
      <c r="N16" s="209"/>
      <c r="O16" s="209"/>
      <c r="P16" s="209"/>
      <c r="Q16" s="209"/>
      <c r="R16" s="209"/>
      <c r="S16" s="209"/>
      <c r="T16" s="210"/>
    </row>
    <row r="17" spans="1:23" x14ac:dyDescent="0.25">
      <c r="A17" s="96"/>
      <c r="B17" s="15"/>
      <c r="C17" s="130" t="s">
        <v>113</v>
      </c>
      <c r="D17" s="46"/>
      <c r="E17" s="130" t="s">
        <v>183</v>
      </c>
      <c r="F17" s="46"/>
      <c r="G17" s="130" t="s">
        <v>202</v>
      </c>
      <c r="H17" s="46"/>
      <c r="I17" s="105" t="s">
        <v>186</v>
      </c>
      <c r="J17" s="65" t="s">
        <v>1</v>
      </c>
      <c r="K17" s="65"/>
      <c r="L17" s="65"/>
      <c r="M17" s="152"/>
      <c r="N17" s="110"/>
      <c r="O17" s="105" t="s">
        <v>57</v>
      </c>
      <c r="P17" s="152"/>
      <c r="Q17" s="152"/>
      <c r="R17" s="152"/>
      <c r="S17" s="152"/>
      <c r="T17" s="110"/>
    </row>
    <row r="18" spans="1:23" x14ac:dyDescent="0.25">
      <c r="A18" s="96"/>
      <c r="B18" s="15"/>
      <c r="C18" s="24" t="s">
        <v>149</v>
      </c>
      <c r="D18" s="10"/>
      <c r="E18" s="24" t="s">
        <v>18</v>
      </c>
      <c r="F18" s="10"/>
      <c r="G18" s="97" t="s">
        <v>196</v>
      </c>
      <c r="H18" s="79"/>
      <c r="I18" s="44"/>
      <c r="J18" s="48"/>
      <c r="K18" s="48"/>
      <c r="L18" s="48"/>
      <c r="M18" s="48"/>
      <c r="N18" s="32"/>
      <c r="O18" s="44"/>
      <c r="P18" s="101"/>
      <c r="Q18" s="101"/>
      <c r="R18" s="48"/>
      <c r="S18" s="48"/>
      <c r="T18" s="32"/>
    </row>
    <row r="19" spans="1:23" x14ac:dyDescent="0.25">
      <c r="A19" s="96"/>
      <c r="B19" s="15"/>
      <c r="C19" s="119" t="s">
        <v>30</v>
      </c>
      <c r="D19" s="10"/>
      <c r="E19" s="45" t="s">
        <v>111</v>
      </c>
      <c r="F19" s="148"/>
      <c r="G19" s="45" t="s">
        <v>187</v>
      </c>
      <c r="H19" s="148"/>
      <c r="I19" s="187" t="s">
        <v>33</v>
      </c>
      <c r="J19" s="188"/>
      <c r="K19" s="188"/>
      <c r="L19" s="188"/>
      <c r="M19" s="188"/>
      <c r="N19" s="51"/>
      <c r="O19" s="187" t="s">
        <v>68</v>
      </c>
      <c r="P19" s="188"/>
      <c r="Q19" s="188"/>
      <c r="R19" s="95"/>
      <c r="S19" s="95"/>
      <c r="T19" s="51"/>
    </row>
    <row r="20" spans="1:23" x14ac:dyDescent="0.25">
      <c r="A20" s="189" t="s">
        <v>53</v>
      </c>
      <c r="B20" s="191"/>
      <c r="C20" s="18">
        <v>0</v>
      </c>
      <c r="D20" s="118"/>
      <c r="E20" s="34"/>
      <c r="F20" s="37"/>
      <c r="G20" s="34"/>
      <c r="H20" s="37"/>
      <c r="I20" s="105" t="s">
        <v>123</v>
      </c>
      <c r="J20" s="116"/>
      <c r="K20" s="116"/>
      <c r="L20" s="116"/>
      <c r="M20" s="116"/>
      <c r="N20" s="116"/>
      <c r="O20" s="116"/>
      <c r="P20" s="116"/>
      <c r="Q20" s="67"/>
      <c r="R20" s="105" t="s">
        <v>191</v>
      </c>
      <c r="S20" s="149" t="s">
        <v>9</v>
      </c>
      <c r="T20" s="67"/>
    </row>
    <row r="21" spans="1:23" x14ac:dyDescent="0.25">
      <c r="A21" s="223" t="s">
        <v>185</v>
      </c>
      <c r="B21" s="224"/>
      <c r="C21" s="18">
        <v>0</v>
      </c>
      <c r="D21" s="118"/>
      <c r="E21" s="96"/>
      <c r="F21" s="179"/>
      <c r="G21" s="96"/>
      <c r="H21" s="179"/>
      <c r="I21" s="129"/>
      <c r="J21" s="48"/>
      <c r="K21" s="48"/>
      <c r="L21" s="48"/>
      <c r="M21" s="48"/>
      <c r="N21" s="48"/>
      <c r="O21" s="48"/>
      <c r="P21" s="48"/>
      <c r="Q21" s="32"/>
      <c r="R21" s="177"/>
      <c r="S21" s="48"/>
      <c r="T21" s="32"/>
    </row>
    <row r="22" spans="1:23" x14ac:dyDescent="0.25">
      <c r="A22" s="221" t="s">
        <v>103</v>
      </c>
      <c r="B22" s="222"/>
      <c r="C22" s="87">
        <v>0</v>
      </c>
      <c r="D22" s="13"/>
      <c r="E22" s="124">
        <v>0</v>
      </c>
      <c r="F22" s="118"/>
      <c r="G22" s="124">
        <f>E22-C22</f>
        <v>0</v>
      </c>
      <c r="H22" s="118"/>
      <c r="I22" s="43"/>
      <c r="J22" s="43"/>
      <c r="K22" s="43"/>
      <c r="L22" s="43"/>
      <c r="M22" s="43"/>
      <c r="N22" s="43"/>
      <c r="O22" s="43"/>
      <c r="P22" s="43"/>
      <c r="Q22" s="174"/>
      <c r="R22" s="150"/>
      <c r="S22" s="43"/>
      <c r="T22" s="174"/>
    </row>
    <row r="23" spans="1:23" x14ac:dyDescent="0.25">
      <c r="A23" s="208" t="s">
        <v>46</v>
      </c>
      <c r="B23" s="209"/>
      <c r="C23" s="209"/>
      <c r="D23" s="209"/>
      <c r="E23" s="209"/>
      <c r="F23" s="209"/>
      <c r="G23" s="209"/>
      <c r="H23" s="209"/>
      <c r="I23" s="209"/>
      <c r="J23" s="209"/>
      <c r="K23" s="209"/>
      <c r="L23" s="209"/>
      <c r="M23" s="209"/>
      <c r="N23" s="209"/>
      <c r="O23" s="209"/>
      <c r="P23" s="209"/>
      <c r="Q23" s="209"/>
      <c r="R23" s="209"/>
      <c r="S23" s="209"/>
      <c r="T23" s="210"/>
    </row>
    <row r="24" spans="1:23" x14ac:dyDescent="0.25">
      <c r="A24" s="199" t="s">
        <v>104</v>
      </c>
      <c r="B24" s="200"/>
      <c r="C24" s="201" t="s">
        <v>114</v>
      </c>
      <c r="D24" s="202"/>
      <c r="E24" s="202"/>
      <c r="F24" s="202"/>
      <c r="G24" s="203"/>
      <c r="H24" s="201" t="s">
        <v>62</v>
      </c>
      <c r="I24" s="202"/>
      <c r="J24" s="202"/>
      <c r="K24" s="202"/>
      <c r="L24" s="202"/>
      <c r="M24" s="202"/>
      <c r="N24" s="203"/>
      <c r="O24" s="194" t="s">
        <v>73</v>
      </c>
      <c r="P24" s="195"/>
      <c r="Q24" s="196"/>
      <c r="R24" s="201" t="s">
        <v>149</v>
      </c>
      <c r="S24" s="229"/>
      <c r="T24" s="230"/>
    </row>
    <row r="25" spans="1:23" x14ac:dyDescent="0.25">
      <c r="A25" s="204"/>
      <c r="B25" s="205"/>
      <c r="C25" s="109" t="s">
        <v>144</v>
      </c>
      <c r="D25" s="148"/>
      <c r="E25" s="77" t="s">
        <v>92</v>
      </c>
      <c r="F25" s="45" t="s">
        <v>202</v>
      </c>
      <c r="G25" s="148"/>
      <c r="H25" s="45" t="s">
        <v>144</v>
      </c>
      <c r="I25" s="148"/>
      <c r="J25" s="192" t="s">
        <v>92</v>
      </c>
      <c r="K25" s="193"/>
      <c r="L25" s="211" t="s">
        <v>202</v>
      </c>
      <c r="M25" s="212"/>
      <c r="N25" s="213"/>
      <c r="O25" s="197"/>
      <c r="P25" s="198"/>
      <c r="Q25" s="198"/>
      <c r="R25" s="175" t="s">
        <v>174</v>
      </c>
      <c r="S25" s="175" t="s">
        <v>75</v>
      </c>
      <c r="T25" s="77" t="s">
        <v>202</v>
      </c>
    </row>
    <row r="26" spans="1:23" x14ac:dyDescent="0.25">
      <c r="A26" s="204"/>
      <c r="B26" s="205"/>
      <c r="C26" s="181" t="s">
        <v>150</v>
      </c>
      <c r="D26" s="77" t="s">
        <v>150</v>
      </c>
      <c r="E26" s="9" t="s">
        <v>83</v>
      </c>
      <c r="F26" s="9"/>
      <c r="G26" s="9"/>
      <c r="H26" s="77" t="s">
        <v>150</v>
      </c>
      <c r="I26" s="77" t="s">
        <v>150</v>
      </c>
      <c r="J26" s="206" t="s">
        <v>83</v>
      </c>
      <c r="K26" s="214"/>
      <c r="L26" s="192"/>
      <c r="M26" s="193"/>
      <c r="N26" s="120"/>
      <c r="O26" s="77" t="s">
        <v>130</v>
      </c>
      <c r="P26" s="77" t="s">
        <v>28</v>
      </c>
      <c r="Q26" s="175"/>
      <c r="R26" s="63"/>
      <c r="S26" s="63"/>
      <c r="T26" s="9"/>
    </row>
    <row r="27" spans="1:23" x14ac:dyDescent="0.25">
      <c r="A27" s="204" t="s">
        <v>167</v>
      </c>
      <c r="B27" s="205"/>
      <c r="C27" s="139" t="s">
        <v>170</v>
      </c>
      <c r="D27" s="9" t="s">
        <v>164</v>
      </c>
      <c r="E27" s="9" t="s">
        <v>164</v>
      </c>
      <c r="F27" s="9" t="s">
        <v>28</v>
      </c>
      <c r="G27" s="9" t="s">
        <v>130</v>
      </c>
      <c r="H27" s="9" t="s">
        <v>170</v>
      </c>
      <c r="I27" s="9" t="s">
        <v>164</v>
      </c>
      <c r="J27" s="206" t="s">
        <v>164</v>
      </c>
      <c r="K27" s="214"/>
      <c r="L27" s="206" t="s">
        <v>28</v>
      </c>
      <c r="M27" s="214"/>
      <c r="N27" s="9" t="s">
        <v>130</v>
      </c>
      <c r="O27" s="9" t="s">
        <v>202</v>
      </c>
      <c r="P27" s="9" t="s">
        <v>202</v>
      </c>
      <c r="Q27" s="63" t="s">
        <v>59</v>
      </c>
      <c r="R27" s="177"/>
      <c r="S27" s="177"/>
      <c r="T27" s="120"/>
    </row>
    <row r="28" spans="1:23" x14ac:dyDescent="0.25">
      <c r="A28" s="225" t="s">
        <v>30</v>
      </c>
      <c r="B28" s="226"/>
      <c r="C28" s="92" t="s">
        <v>111</v>
      </c>
      <c r="D28" s="137" t="s">
        <v>187</v>
      </c>
      <c r="E28" s="137" t="s">
        <v>43</v>
      </c>
      <c r="F28" s="137" t="s">
        <v>124</v>
      </c>
      <c r="G28" s="137" t="s">
        <v>195</v>
      </c>
      <c r="H28" s="137" t="s">
        <v>54</v>
      </c>
      <c r="I28" s="137" t="s">
        <v>139</v>
      </c>
      <c r="J28" s="218" t="s">
        <v>208</v>
      </c>
      <c r="K28" s="219"/>
      <c r="L28" s="218" t="s">
        <v>8</v>
      </c>
      <c r="M28" s="219"/>
      <c r="N28" s="137" t="s">
        <v>87</v>
      </c>
      <c r="O28" s="137" t="s">
        <v>39</v>
      </c>
      <c r="P28" s="137" t="s">
        <v>117</v>
      </c>
      <c r="Q28" s="17" t="s">
        <v>24</v>
      </c>
      <c r="R28" s="17" t="s">
        <v>99</v>
      </c>
      <c r="S28" s="17" t="s">
        <v>182</v>
      </c>
      <c r="T28" s="137" t="s">
        <v>34</v>
      </c>
      <c r="V28" s="76" t="s">
        <v>115</v>
      </c>
      <c r="W28" s="76" t="s">
        <v>91</v>
      </c>
    </row>
    <row r="29" spans="1:23" ht="18" customHeight="1" x14ac:dyDescent="0.25">
      <c r="A29" s="47" t="str">
        <f>CONCATENATE(REPT("   ",1-1),"1.01A"," Project Management")</f>
        <v>1.01A Project Management</v>
      </c>
      <c r="B29" s="11"/>
      <c r="C29" s="121">
        <v>13540.0731</v>
      </c>
      <c r="D29" s="62">
        <v>13540.0731</v>
      </c>
      <c r="E29" s="56">
        <v>20399.349999999999</v>
      </c>
      <c r="F29" s="74">
        <f t="shared" ref="F29:F37" si="0">D29 - C29</f>
        <v>0</v>
      </c>
      <c r="G29" s="135">
        <f t="shared" ref="G29:G37" si="1">D29 - E29</f>
        <v>-6859.2768999999989</v>
      </c>
      <c r="H29" s="146">
        <f t="shared" ref="H29:I29" si="2">(1806314.4568+13540.0731)</f>
        <v>1819854.5299</v>
      </c>
      <c r="I29" s="62">
        <f t="shared" si="2"/>
        <v>1819854.5299</v>
      </c>
      <c r="J29" s="237">
        <f>(1661867.75+20399.35)</f>
        <v>1682267.1</v>
      </c>
      <c r="K29" s="239"/>
      <c r="L29" s="237">
        <f t="shared" ref="L29:L37" si="3">I29 - H29</f>
        <v>0</v>
      </c>
      <c r="M29" s="238"/>
      <c r="N29" s="25">
        <f t="shared" ref="N29:N37" si="4">I29 - J29</f>
        <v>137587.42989999987</v>
      </c>
      <c r="O29" s="3">
        <f t="shared" ref="O29:Q37" si="5">(0+0+0)</f>
        <v>0</v>
      </c>
      <c r="P29" s="57">
        <f t="shared" si="5"/>
        <v>0</v>
      </c>
      <c r="Q29" s="173">
        <f t="shared" si="5"/>
        <v>0</v>
      </c>
      <c r="R29" s="56">
        <f>(1806314.4568+13540.0731+131824.0011)</f>
        <v>1951678.531</v>
      </c>
      <c r="S29" s="2">
        <f>(1661867.75+20399.35+131824.0011)</f>
        <v>1814091.1011000001</v>
      </c>
      <c r="T29" s="19">
        <f t="shared" ref="T29:T39" si="6">R29 - S29</f>
        <v>137587.42989999987</v>
      </c>
      <c r="V29" s="158">
        <f t="shared" ref="V29:V35" si="7">IF(H29=0,"-",(I29/H29))</f>
        <v>1</v>
      </c>
      <c r="W29" s="158">
        <f t="shared" ref="W29:W35" si="8">IF(J29=0,"-",(I29/J29))</f>
        <v>1.0817869111866956</v>
      </c>
    </row>
    <row r="30" spans="1:23" ht="18" customHeight="1" x14ac:dyDescent="0.25">
      <c r="A30" s="47" t="str">
        <f>CONCATENATE(REPT("   ",1-1),"1.02A"," TPC")</f>
        <v>1.02A TPC</v>
      </c>
      <c r="B30" s="11"/>
      <c r="C30" s="121">
        <v>1001180.5316</v>
      </c>
      <c r="D30" s="62">
        <v>166053.4405</v>
      </c>
      <c r="E30" s="56">
        <v>266595.96999999997</v>
      </c>
      <c r="F30" s="74">
        <f t="shared" si="0"/>
        <v>-835127.09109999996</v>
      </c>
      <c r="G30" s="135">
        <f t="shared" si="1"/>
        <v>-100542.52949999998</v>
      </c>
      <c r="H30" s="146">
        <f>(3091105.6025+1001180.5316)</f>
        <v>4092286.1340999999</v>
      </c>
      <c r="I30" s="62">
        <f>(2541328.7186+166053.4405)</f>
        <v>2707382.1590999998</v>
      </c>
      <c r="J30" s="237">
        <f>(2228659.35+266595.97)</f>
        <v>2495255.3200000003</v>
      </c>
      <c r="K30" s="239"/>
      <c r="L30" s="237">
        <f t="shared" si="3"/>
        <v>-1384903.9750000001</v>
      </c>
      <c r="M30" s="238"/>
      <c r="N30" s="25">
        <f t="shared" si="4"/>
        <v>212126.83909999952</v>
      </c>
      <c r="O30" s="3">
        <f t="shared" si="5"/>
        <v>0</v>
      </c>
      <c r="P30" s="57">
        <f t="shared" si="5"/>
        <v>0</v>
      </c>
      <c r="Q30" s="173">
        <f t="shared" si="5"/>
        <v>0</v>
      </c>
      <c r="R30" s="56">
        <f>(3091105.6025+1001180.5316+934489.3555)</f>
        <v>5026775.4896</v>
      </c>
      <c r="S30" s="2">
        <f>(2228659.35+266595.97+2171812.5364)</f>
        <v>4667067.8563999999</v>
      </c>
      <c r="T30" s="19">
        <f t="shared" si="6"/>
        <v>359707.63320000004</v>
      </c>
      <c r="V30" s="158">
        <f t="shared" si="7"/>
        <v>0.6615818323503968</v>
      </c>
      <c r="W30" s="158">
        <f t="shared" si="8"/>
        <v>1.0850120776818941</v>
      </c>
    </row>
    <row r="31" spans="1:23" ht="18" customHeight="1" x14ac:dyDescent="0.25">
      <c r="A31" s="47" t="str">
        <f>CONCATENATE(REPT("   ",1-1),"1.03A"," EMCal")</f>
        <v>1.03A EMCal</v>
      </c>
      <c r="B31" s="11"/>
      <c r="C31" s="121">
        <v>435773.4743</v>
      </c>
      <c r="D31" s="62">
        <v>212598.008</v>
      </c>
      <c r="E31" s="56">
        <v>264700.03000000003</v>
      </c>
      <c r="F31" s="74">
        <f t="shared" si="0"/>
        <v>-223175.4663</v>
      </c>
      <c r="G31" s="135">
        <f t="shared" si="1"/>
        <v>-52102.022000000026</v>
      </c>
      <c r="H31" s="146">
        <f>(4527963.7776+435773.4743)</f>
        <v>4963737.2518999996</v>
      </c>
      <c r="I31" s="62">
        <f>(4284680.215+212598.008)</f>
        <v>4497278.2230000002</v>
      </c>
      <c r="J31" s="237">
        <f>(4511534.18+264700.03)</f>
        <v>4776234.21</v>
      </c>
      <c r="K31" s="239"/>
      <c r="L31" s="237">
        <f t="shared" si="3"/>
        <v>-466459.02889999934</v>
      </c>
      <c r="M31" s="238"/>
      <c r="N31" s="25">
        <f t="shared" si="4"/>
        <v>-278955.98699999973</v>
      </c>
      <c r="O31" s="3">
        <f t="shared" si="5"/>
        <v>0</v>
      </c>
      <c r="P31" s="57">
        <f t="shared" si="5"/>
        <v>0</v>
      </c>
      <c r="Q31" s="173">
        <f t="shared" si="5"/>
        <v>0</v>
      </c>
      <c r="R31" s="56">
        <f>(4527963.7776+435773.4743+1106271.2156)</f>
        <v>6070008.4674999993</v>
      </c>
      <c r="S31" s="2">
        <f>(4511534.18+264700.03+1599998.8744)</f>
        <v>6376233.0844000001</v>
      </c>
      <c r="T31" s="19">
        <f t="shared" si="6"/>
        <v>-306224.61690000072</v>
      </c>
      <c r="V31" s="158">
        <f t="shared" si="7"/>
        <v>0.90602664782035958</v>
      </c>
      <c r="W31" s="158">
        <f t="shared" si="8"/>
        <v>0.94159499414497938</v>
      </c>
    </row>
    <row r="32" spans="1:23" ht="18" customHeight="1" x14ac:dyDescent="0.25">
      <c r="A32" s="47" t="str">
        <f>CONCATENATE(REPT("   ",1-1),"1.04A"," HCal")</f>
        <v>1.04A HCal</v>
      </c>
      <c r="B32" s="11"/>
      <c r="C32" s="121">
        <v>0</v>
      </c>
      <c r="D32" s="62">
        <v>13771.642599999999</v>
      </c>
      <c r="E32" s="56">
        <v>20978.15</v>
      </c>
      <c r="F32" s="74">
        <f t="shared" si="0"/>
        <v>13771.642599999999</v>
      </c>
      <c r="G32" s="135">
        <f t="shared" si="1"/>
        <v>-7206.5074000000022</v>
      </c>
      <c r="H32" s="146">
        <f>(2813551.1098+0)</f>
        <v>2813551.1098000002</v>
      </c>
      <c r="I32" s="62">
        <f>(2523485.3118+13771.6426)</f>
        <v>2537256.9543999997</v>
      </c>
      <c r="J32" s="237">
        <f>(2566017.99+20978.15)</f>
        <v>2586996.14</v>
      </c>
      <c r="K32" s="239"/>
      <c r="L32" s="237">
        <f t="shared" si="3"/>
        <v>-276294.15540000051</v>
      </c>
      <c r="M32" s="238"/>
      <c r="N32" s="25">
        <f t="shared" si="4"/>
        <v>-49739.185600000434</v>
      </c>
      <c r="O32" s="3">
        <f t="shared" si="5"/>
        <v>0</v>
      </c>
      <c r="P32" s="57">
        <f t="shared" si="5"/>
        <v>0</v>
      </c>
      <c r="Q32" s="173">
        <f t="shared" si="5"/>
        <v>0</v>
      </c>
      <c r="R32" s="56">
        <f>(2813551.1098+0+1329864.7125)</f>
        <v>4143415.8223000001</v>
      </c>
      <c r="S32" s="2">
        <f>(2566017.99+20978.15+1612225.3779)</f>
        <v>4199221.5179000003</v>
      </c>
      <c r="T32" s="19">
        <f t="shared" si="6"/>
        <v>-55805.69560000021</v>
      </c>
      <c r="V32" s="158">
        <f t="shared" si="7"/>
        <v>0.90179877861908087</v>
      </c>
      <c r="W32" s="158">
        <f t="shared" si="8"/>
        <v>0.98077338236770606</v>
      </c>
    </row>
    <row r="33" spans="1:23" ht="18" customHeight="1" x14ac:dyDescent="0.25">
      <c r="A33" s="47" t="str">
        <f>CONCATENATE(REPT("   ",1-1),"1.05A"," Calorimeter Electronics")</f>
        <v>1.05A Calorimeter Electronics</v>
      </c>
      <c r="B33" s="11"/>
      <c r="C33" s="121">
        <v>406014.77100000001</v>
      </c>
      <c r="D33" s="62">
        <v>35236.625699999997</v>
      </c>
      <c r="E33" s="56">
        <v>40063.040000000001</v>
      </c>
      <c r="F33" s="74">
        <f t="shared" si="0"/>
        <v>-370778.14530000003</v>
      </c>
      <c r="G33" s="135">
        <f t="shared" si="1"/>
        <v>-4826.414300000004</v>
      </c>
      <c r="H33" s="146">
        <f>(4581874.1295+406014.771)</f>
        <v>4987888.9004999995</v>
      </c>
      <c r="I33" s="62">
        <f>(2998593.6696+35236.6257)</f>
        <v>3033830.2953000003</v>
      </c>
      <c r="J33" s="237">
        <f>(2820351.02+40063.04)</f>
        <v>2860414.06</v>
      </c>
      <c r="K33" s="239"/>
      <c r="L33" s="237">
        <f t="shared" si="3"/>
        <v>-1954058.6051999992</v>
      </c>
      <c r="M33" s="238"/>
      <c r="N33" s="25">
        <f t="shared" si="4"/>
        <v>173416.23530000029</v>
      </c>
      <c r="O33" s="3">
        <f t="shared" si="5"/>
        <v>0</v>
      </c>
      <c r="P33" s="57">
        <f t="shared" si="5"/>
        <v>0</v>
      </c>
      <c r="Q33" s="173">
        <f t="shared" si="5"/>
        <v>0</v>
      </c>
      <c r="R33" s="56">
        <f>(4581874.1295+406014.771+1302732.151)</f>
        <v>6290621.0515000001</v>
      </c>
      <c r="S33" s="2">
        <f>(2820351.02+40063.04+3257897.8885)</f>
        <v>6118311.9484999999</v>
      </c>
      <c r="T33" s="19">
        <f t="shared" si="6"/>
        <v>172309.10300000012</v>
      </c>
      <c r="V33" s="158">
        <f t="shared" si="7"/>
        <v>0.60823934851393358</v>
      </c>
      <c r="W33" s="158">
        <f t="shared" si="8"/>
        <v>1.0606262700652507</v>
      </c>
    </row>
    <row r="34" spans="1:23" ht="18" customHeight="1" x14ac:dyDescent="0.25">
      <c r="A34" s="47" t="str">
        <f>CONCATENATE(REPT("   ",1-1),"1.06A"," DAQ &amp; Trigger")</f>
        <v>1.06A DAQ &amp; Trigger</v>
      </c>
      <c r="B34" s="11"/>
      <c r="C34" s="121">
        <v>74423.077699999994</v>
      </c>
      <c r="D34" s="62">
        <v>0</v>
      </c>
      <c r="E34" s="56">
        <v>4445.82</v>
      </c>
      <c r="F34" s="74">
        <f t="shared" si="0"/>
        <v>-74423.077699999994</v>
      </c>
      <c r="G34" s="135">
        <f t="shared" si="1"/>
        <v>-4445.82</v>
      </c>
      <c r="H34" s="146">
        <f>(418184.0756+74423.0777)</f>
        <v>492607.15330000001</v>
      </c>
      <c r="I34" s="62">
        <f>(525778.2454+0)</f>
        <v>525778.24540000001</v>
      </c>
      <c r="J34" s="237">
        <f>(572372.4+4445.82)</f>
        <v>576818.22</v>
      </c>
      <c r="K34" s="239"/>
      <c r="L34" s="237">
        <f t="shared" si="3"/>
        <v>33171.092100000009</v>
      </c>
      <c r="M34" s="238"/>
      <c r="N34" s="25">
        <f t="shared" si="4"/>
        <v>-51039.974599999958</v>
      </c>
      <c r="O34" s="3">
        <f t="shared" si="5"/>
        <v>0</v>
      </c>
      <c r="P34" s="57">
        <f t="shared" si="5"/>
        <v>0</v>
      </c>
      <c r="Q34" s="173">
        <f t="shared" si="5"/>
        <v>0</v>
      </c>
      <c r="R34" s="56">
        <f>(418184.0756+74423.0777+752483.2425)</f>
        <v>1245090.3958000001</v>
      </c>
      <c r="S34" s="2">
        <f>(572372.4+4445.82+723897.4451)</f>
        <v>1300715.6650999999</v>
      </c>
      <c r="T34" s="19">
        <f t="shared" si="6"/>
        <v>-55625.269299999811</v>
      </c>
      <c r="V34" s="158">
        <f t="shared" si="7"/>
        <v>1.0673378205691599</v>
      </c>
      <c r="W34" s="158">
        <f t="shared" si="8"/>
        <v>0.91151462830005614</v>
      </c>
    </row>
    <row r="35" spans="1:23" ht="18" customHeight="1" x14ac:dyDescent="0.25">
      <c r="A35" s="47" t="str">
        <f>CONCATENATE(REPT("   ",1-1),"1.07A"," MinBias Trigger Detector")</f>
        <v>1.07A MinBias Trigger Detector</v>
      </c>
      <c r="B35" s="11"/>
      <c r="C35" s="121">
        <v>0</v>
      </c>
      <c r="D35" s="62">
        <v>0</v>
      </c>
      <c r="E35" s="56">
        <v>163.87</v>
      </c>
      <c r="F35" s="74">
        <f t="shared" si="0"/>
        <v>0</v>
      </c>
      <c r="G35" s="135">
        <f t="shared" si="1"/>
        <v>-163.87</v>
      </c>
      <c r="H35" s="146">
        <f t="shared" ref="H35:I35" si="9">(99147.5508+0)</f>
        <v>99147.550799999997</v>
      </c>
      <c r="I35" s="62">
        <f t="shared" si="9"/>
        <v>99147.550799999997</v>
      </c>
      <c r="J35" s="237">
        <f>(78926.12+163.87)</f>
        <v>79089.989999999991</v>
      </c>
      <c r="K35" s="239"/>
      <c r="L35" s="237">
        <f t="shared" si="3"/>
        <v>0</v>
      </c>
      <c r="M35" s="238"/>
      <c r="N35" s="25">
        <f t="shared" si="4"/>
        <v>20057.560800000007</v>
      </c>
      <c r="O35" s="3">
        <f t="shared" si="5"/>
        <v>0</v>
      </c>
      <c r="P35" s="57">
        <f t="shared" si="5"/>
        <v>0</v>
      </c>
      <c r="Q35" s="173">
        <f t="shared" si="5"/>
        <v>0</v>
      </c>
      <c r="R35" s="56">
        <f>(99147.5508+0+71022.2727)</f>
        <v>170169.8235</v>
      </c>
      <c r="S35" s="2">
        <f>(78926.12+163.87+72442.7181)</f>
        <v>151532.70809999999</v>
      </c>
      <c r="T35" s="19">
        <f t="shared" si="6"/>
        <v>18637.11540000001</v>
      </c>
      <c r="V35" s="158">
        <f t="shared" si="7"/>
        <v>1</v>
      </c>
      <c r="W35" s="158">
        <f t="shared" si="8"/>
        <v>1.2536042905050311</v>
      </c>
    </row>
    <row r="36" spans="1:23" x14ac:dyDescent="0.25">
      <c r="A36" s="54" t="s">
        <v>153</v>
      </c>
      <c r="B36" s="8"/>
      <c r="C36" s="121">
        <v>0</v>
      </c>
      <c r="D36" s="73">
        <v>0</v>
      </c>
      <c r="E36" s="56">
        <v>0</v>
      </c>
      <c r="F36" s="74">
        <f t="shared" si="0"/>
        <v>0</v>
      </c>
      <c r="G36" s="85">
        <f t="shared" si="1"/>
        <v>0</v>
      </c>
      <c r="H36" s="2">
        <f t="shared" ref="H36:J37" si="10">(0+0)</f>
        <v>0</v>
      </c>
      <c r="I36" s="73">
        <f t="shared" si="10"/>
        <v>0</v>
      </c>
      <c r="J36" s="237">
        <f t="shared" si="10"/>
        <v>0</v>
      </c>
      <c r="K36" s="239"/>
      <c r="L36" s="237">
        <f t="shared" si="3"/>
        <v>0</v>
      </c>
      <c r="M36" s="238"/>
      <c r="N36" s="83">
        <f t="shared" si="4"/>
        <v>0</v>
      </c>
      <c r="O36" s="3">
        <f t="shared" si="5"/>
        <v>0</v>
      </c>
      <c r="P36" s="57">
        <f t="shared" si="5"/>
        <v>0</v>
      </c>
      <c r="Q36" s="173">
        <f t="shared" si="5"/>
        <v>0</v>
      </c>
      <c r="R36" s="56">
        <f t="shared" ref="R36:S37" si="11">(0+0+0)</f>
        <v>0</v>
      </c>
      <c r="S36" s="2">
        <f t="shared" si="11"/>
        <v>0</v>
      </c>
      <c r="T36" s="19">
        <f t="shared" si="6"/>
        <v>0</v>
      </c>
    </row>
    <row r="37" spans="1:23" x14ac:dyDescent="0.25">
      <c r="A37" s="54" t="s">
        <v>66</v>
      </c>
      <c r="B37" s="8"/>
      <c r="C37" s="121">
        <v>0</v>
      </c>
      <c r="D37" s="73">
        <v>0</v>
      </c>
      <c r="E37" s="56">
        <v>0</v>
      </c>
      <c r="F37" s="74">
        <f t="shared" si="0"/>
        <v>0</v>
      </c>
      <c r="G37" s="85">
        <f t="shared" si="1"/>
        <v>0</v>
      </c>
      <c r="H37" s="2">
        <f t="shared" si="10"/>
        <v>0</v>
      </c>
      <c r="I37" s="73">
        <f t="shared" si="10"/>
        <v>0</v>
      </c>
      <c r="J37" s="237">
        <f t="shared" si="10"/>
        <v>0</v>
      </c>
      <c r="K37" s="239"/>
      <c r="L37" s="237">
        <f t="shared" si="3"/>
        <v>0</v>
      </c>
      <c r="M37" s="238"/>
      <c r="N37" s="83">
        <f t="shared" si="4"/>
        <v>0</v>
      </c>
      <c r="O37" s="3">
        <f t="shared" si="5"/>
        <v>0</v>
      </c>
      <c r="P37" s="57">
        <f t="shared" si="5"/>
        <v>0</v>
      </c>
      <c r="Q37" s="173">
        <f t="shared" si="5"/>
        <v>0</v>
      </c>
      <c r="R37" s="56">
        <f t="shared" si="11"/>
        <v>0</v>
      </c>
      <c r="S37" s="2">
        <f t="shared" si="11"/>
        <v>0</v>
      </c>
      <c r="T37" s="19">
        <f t="shared" si="6"/>
        <v>0</v>
      </c>
    </row>
    <row r="38" spans="1:23" x14ac:dyDescent="0.25">
      <c r="A38" s="54" t="s">
        <v>194</v>
      </c>
      <c r="B38" s="8"/>
      <c r="C38" s="172"/>
      <c r="D38" s="70"/>
      <c r="E38" s="70"/>
      <c r="F38" s="70"/>
      <c r="G38" s="70"/>
      <c r="H38" s="70"/>
      <c r="I38" s="70"/>
      <c r="J38" s="169"/>
      <c r="K38" s="169"/>
      <c r="L38" s="169"/>
      <c r="M38" s="169"/>
      <c r="N38" s="70"/>
      <c r="O38" s="70"/>
      <c r="P38" s="70"/>
      <c r="Q38" s="163"/>
      <c r="R38" s="69">
        <v>0</v>
      </c>
      <c r="S38" s="171">
        <v>0</v>
      </c>
      <c r="T38" s="19">
        <f t="shared" si="6"/>
        <v>0</v>
      </c>
    </row>
    <row r="39" spans="1:23" x14ac:dyDescent="0.25">
      <c r="A39" s="144" t="s">
        <v>136</v>
      </c>
      <c r="B39" s="104"/>
      <c r="C39" s="180">
        <f t="shared" ref="C39:E39" si="12">C29+C30+C31+C32+C33+C34+C35</f>
        <v>1930931.9276999999</v>
      </c>
      <c r="D39" s="131">
        <f t="shared" si="12"/>
        <v>441199.78989999997</v>
      </c>
      <c r="E39" s="114">
        <f t="shared" si="12"/>
        <v>617346.23</v>
      </c>
      <c r="F39" s="74">
        <f>D39 - C39</f>
        <v>-1489732.1377999999</v>
      </c>
      <c r="G39" s="155">
        <f>D39 - E39</f>
        <v>-176146.44010000001</v>
      </c>
      <c r="H39" s="59">
        <f t="shared" ref="H39:J39" si="13">H29+H30+H31+H32+H33+H34+H35</f>
        <v>19269072.630299997</v>
      </c>
      <c r="I39" s="125">
        <f t="shared" si="13"/>
        <v>15220527.957899999</v>
      </c>
      <c r="J39" s="251">
        <f t="shared" si="13"/>
        <v>15057075.040000003</v>
      </c>
      <c r="K39" s="253"/>
      <c r="L39" s="251">
        <f>I39 - H39</f>
        <v>-4048544.6723999977</v>
      </c>
      <c r="M39" s="252"/>
      <c r="N39" s="166">
        <f>I39 - J39</f>
        <v>163452.91789999604</v>
      </c>
      <c r="O39" s="59">
        <f t="shared" ref="O39:Q39" si="14">O29+O30+O31+O32+O33+O34+O35</f>
        <v>0</v>
      </c>
      <c r="P39" s="114">
        <f t="shared" si="14"/>
        <v>0</v>
      </c>
      <c r="Q39" s="55">
        <f t="shared" si="14"/>
        <v>0</v>
      </c>
      <c r="R39" s="114">
        <f t="shared" ref="R39:S39" si="15">R29+R30+R31+R32+R33+R34+R35+R38</f>
        <v>24897759.581200004</v>
      </c>
      <c r="S39" s="59">
        <f t="shared" si="15"/>
        <v>24627173.881499998</v>
      </c>
      <c r="T39" s="19">
        <f t="shared" si="6"/>
        <v>270585.69970000535</v>
      </c>
      <c r="U39" s="64"/>
      <c r="V39" s="158">
        <f>IF(H39=0,"-",(I39/H39))</f>
        <v>0.78989416096580634</v>
      </c>
      <c r="W39" s="158">
        <f>IF(J39=0,"-",(I39/J39))</f>
        <v>1.0108555557746624</v>
      </c>
    </row>
    <row r="40" spans="1:23" x14ac:dyDescent="0.25">
      <c r="A40" s="41" t="s">
        <v>25</v>
      </c>
      <c r="B40" s="178"/>
      <c r="C40" s="22"/>
      <c r="D40" s="93"/>
      <c r="E40" s="93"/>
      <c r="F40" s="93"/>
      <c r="G40" s="93"/>
      <c r="H40" s="93"/>
      <c r="I40" s="93"/>
      <c r="J40" s="20"/>
      <c r="K40" s="20"/>
      <c r="L40" s="20"/>
      <c r="M40" s="20"/>
      <c r="N40" s="93"/>
      <c r="O40" s="93"/>
      <c r="P40" s="93"/>
      <c r="Q40" s="99"/>
      <c r="R40" s="102">
        <v>2102240</v>
      </c>
      <c r="S40" s="22"/>
      <c r="T40" s="12"/>
    </row>
    <row r="41" spans="1:23" x14ac:dyDescent="0.25">
      <c r="A41" s="113" t="s">
        <v>77</v>
      </c>
      <c r="B41" s="28"/>
      <c r="C41" s="128">
        <f t="shared" ref="C41:J41" si="16">C39</f>
        <v>1930931.9276999999</v>
      </c>
      <c r="D41" s="112">
        <f t="shared" si="16"/>
        <v>441199.78989999997</v>
      </c>
      <c r="E41" s="72">
        <f t="shared" si="16"/>
        <v>617346.23</v>
      </c>
      <c r="F41" s="115">
        <f t="shared" si="16"/>
        <v>-1489732.1377999999</v>
      </c>
      <c r="G41" s="26">
        <f t="shared" si="16"/>
        <v>-176146.44010000001</v>
      </c>
      <c r="H41" s="161">
        <f t="shared" si="16"/>
        <v>19269072.630299997</v>
      </c>
      <c r="I41" s="112">
        <f t="shared" si="16"/>
        <v>15220527.957899999</v>
      </c>
      <c r="J41" s="249">
        <f t="shared" si="16"/>
        <v>15057075.040000003</v>
      </c>
      <c r="K41" s="254"/>
      <c r="L41" s="249">
        <f>L39</f>
        <v>-4048544.6723999977</v>
      </c>
      <c r="M41" s="250"/>
      <c r="N41" s="26">
        <f>I41 - J41</f>
        <v>163452.91789999604</v>
      </c>
      <c r="O41" s="21">
        <f t="shared" ref="O41:Q41" si="17">O39</f>
        <v>0</v>
      </c>
      <c r="P41" s="72">
        <f t="shared" si="17"/>
        <v>0</v>
      </c>
      <c r="Q41" s="66">
        <f t="shared" si="17"/>
        <v>0</v>
      </c>
      <c r="R41" s="161">
        <f>R39 + R40</f>
        <v>26999999.581200004</v>
      </c>
      <c r="S41" s="89"/>
      <c r="T41" s="27"/>
    </row>
    <row r="42" spans="1:23" x14ac:dyDescent="0.25">
      <c r="A42" s="246" t="s">
        <v>7</v>
      </c>
      <c r="B42" s="247"/>
      <c r="C42" s="247"/>
      <c r="D42" s="247"/>
      <c r="E42" s="247"/>
      <c r="F42" s="247"/>
      <c r="G42" s="247"/>
      <c r="H42" s="247"/>
      <c r="I42" s="247"/>
      <c r="J42" s="247"/>
      <c r="K42" s="247"/>
      <c r="L42" s="247"/>
      <c r="M42" s="247"/>
      <c r="N42" s="247"/>
      <c r="O42" s="247"/>
      <c r="P42" s="247"/>
      <c r="Q42" s="247"/>
      <c r="R42" s="247"/>
      <c r="S42" s="247"/>
      <c r="T42" s="248"/>
    </row>
    <row r="43" spans="1:23" x14ac:dyDescent="0.25">
      <c r="A43" s="7" t="s">
        <v>20</v>
      </c>
      <c r="B43" s="71"/>
      <c r="C43" s="16"/>
      <c r="D43" s="16"/>
      <c r="E43" s="16"/>
      <c r="F43" s="16"/>
      <c r="G43" s="16"/>
      <c r="H43" s="16"/>
      <c r="I43" s="16"/>
      <c r="J43" s="16"/>
      <c r="K43" s="16"/>
      <c r="L43" s="244">
        <f>P41</f>
        <v>0</v>
      </c>
      <c r="M43" s="245"/>
      <c r="N43" s="162">
        <f>O41</f>
        <v>0</v>
      </c>
      <c r="O43" s="16"/>
      <c r="P43" s="16"/>
      <c r="Q43" s="16"/>
      <c r="R43" s="16"/>
      <c r="S43" s="16"/>
      <c r="T43" s="39"/>
    </row>
    <row r="44" spans="1:23" x14ac:dyDescent="0.25">
      <c r="A44" s="31" t="s">
        <v>211</v>
      </c>
      <c r="B44" s="81"/>
      <c r="C44" s="160"/>
      <c r="D44" s="50"/>
      <c r="E44" s="50"/>
      <c r="F44" s="50"/>
      <c r="G44" s="50"/>
      <c r="H44" s="50"/>
      <c r="I44" s="50"/>
      <c r="J44" s="50"/>
      <c r="K44" s="50"/>
      <c r="L44" s="242">
        <f>L41+L43</f>
        <v>-4048544.6723999977</v>
      </c>
      <c r="M44" s="243"/>
      <c r="N44" s="134">
        <f>N41+N43</f>
        <v>163452.91789999604</v>
      </c>
      <c r="O44" s="50"/>
      <c r="P44" s="50"/>
      <c r="Q44" s="50"/>
      <c r="R44" s="4">
        <v>0</v>
      </c>
      <c r="S44" s="4">
        <v>0</v>
      </c>
      <c r="T44" s="107">
        <f>R44 - S44</f>
        <v>0</v>
      </c>
    </row>
    <row r="45" spans="1:23" x14ac:dyDescent="0.25">
      <c r="H45" s="240" t="s">
        <v>196</v>
      </c>
      <c r="I45" s="241"/>
      <c r="J45" s="241"/>
      <c r="K45" s="241"/>
      <c r="L45" s="241"/>
      <c r="M45" s="241"/>
    </row>
    <row r="46" spans="1:23" x14ac:dyDescent="0.25">
      <c r="A46" s="207" t="s">
        <v>61</v>
      </c>
      <c r="B46" s="207"/>
      <c r="C46" s="207"/>
      <c r="D46" s="207"/>
      <c r="E46" s="207"/>
      <c r="F46" s="207"/>
      <c r="G46" s="207"/>
      <c r="H46" s="207"/>
      <c r="I46" s="207"/>
      <c r="J46" s="207"/>
      <c r="K46" s="207"/>
      <c r="L46" s="207"/>
      <c r="M46" s="207"/>
      <c r="N46" s="207"/>
      <c r="O46" s="207"/>
      <c r="P46" s="207"/>
      <c r="Q46" s="207"/>
      <c r="R46" s="207"/>
      <c r="S46" s="207"/>
      <c r="T46" s="207"/>
    </row>
    <row r="47" spans="1:23" x14ac:dyDescent="0.25">
      <c r="A47" s="151"/>
      <c r="B47" s="151"/>
      <c r="C47" s="151"/>
      <c r="D47" s="151"/>
      <c r="E47" s="151"/>
      <c r="F47" s="151"/>
      <c r="G47" s="151"/>
      <c r="H47" s="151"/>
      <c r="I47" s="151"/>
      <c r="J47" s="151"/>
      <c r="K47" s="151"/>
      <c r="L47" s="151"/>
      <c r="M47" s="151"/>
      <c r="N47" s="151"/>
      <c r="O47" s="151"/>
      <c r="P47" s="151"/>
      <c r="Q47" s="151"/>
      <c r="R47" s="151"/>
      <c r="S47" s="151"/>
      <c r="T47" s="151"/>
    </row>
    <row r="48" spans="1:23" x14ac:dyDescent="0.25">
      <c r="A48" s="151"/>
      <c r="B48" s="151"/>
      <c r="C48" s="151"/>
      <c r="D48" s="151"/>
      <c r="E48" s="151"/>
      <c r="F48" s="151"/>
      <c r="G48" s="151"/>
      <c r="H48" s="151"/>
      <c r="I48" s="151"/>
      <c r="J48" s="151"/>
      <c r="K48" s="151"/>
      <c r="L48" s="151"/>
      <c r="N48" s="78">
        <f>S39-J39</f>
        <v>9570098.8414999954</v>
      </c>
      <c r="O48" s="151"/>
      <c r="P48" s="151"/>
      <c r="Q48" s="151"/>
      <c r="R48" s="122" t="s">
        <v>166</v>
      </c>
      <c r="S48" s="151"/>
      <c r="T48" s="151"/>
    </row>
    <row r="49" spans="1:20" x14ac:dyDescent="0.25">
      <c r="A49" s="151"/>
      <c r="B49" s="151"/>
      <c r="C49" s="151"/>
      <c r="D49" s="151"/>
      <c r="E49" s="151"/>
      <c r="F49" s="151"/>
      <c r="G49" s="151"/>
      <c r="H49" s="151"/>
      <c r="I49" s="151"/>
      <c r="J49" s="151"/>
      <c r="K49" s="151"/>
      <c r="L49" s="151"/>
      <c r="N49" s="78">
        <f>R39-I39</f>
        <v>9677231.6233000048</v>
      </c>
      <c r="O49" s="151"/>
      <c r="P49" s="151"/>
      <c r="Q49" s="151"/>
      <c r="R49" s="122" t="s">
        <v>168</v>
      </c>
      <c r="S49" s="151"/>
      <c r="T49" s="151"/>
    </row>
    <row r="50" spans="1:20" x14ac:dyDescent="0.25">
      <c r="A50" s="151"/>
      <c r="B50" s="151"/>
      <c r="C50" s="151"/>
      <c r="D50" s="151"/>
      <c r="E50" s="151"/>
      <c r="F50" s="151"/>
      <c r="G50" s="151"/>
      <c r="H50" s="151"/>
      <c r="I50" s="151"/>
      <c r="J50" s="151"/>
      <c r="K50" s="151"/>
      <c r="L50" s="151"/>
      <c r="N50" s="23">
        <f>R40/N48</f>
        <v>0.21966753267832495</v>
      </c>
      <c r="O50" s="151"/>
      <c r="P50" s="151"/>
      <c r="Q50" s="151"/>
      <c r="R50" s="122" t="s">
        <v>148</v>
      </c>
      <c r="S50" s="151"/>
      <c r="T50" s="151"/>
    </row>
    <row r="51" spans="1:20" x14ac:dyDescent="0.25">
      <c r="A51" s="151"/>
      <c r="B51" s="151"/>
      <c r="C51" s="151"/>
      <c r="D51" s="151"/>
      <c r="E51" s="151"/>
      <c r="F51" s="151"/>
      <c r="G51" s="151"/>
      <c r="H51" s="151"/>
      <c r="I51" s="151"/>
      <c r="J51" s="151"/>
      <c r="K51" s="151"/>
      <c r="L51" s="151"/>
      <c r="N51" s="23">
        <f>R40/N49</f>
        <v>0.21723568080549066</v>
      </c>
      <c r="O51" s="151"/>
      <c r="P51" s="151"/>
      <c r="Q51" s="151"/>
      <c r="R51" s="122" t="s">
        <v>108</v>
      </c>
      <c r="S51" s="151"/>
      <c r="T51" s="151"/>
    </row>
    <row r="52" spans="1:20" x14ac:dyDescent="0.25">
      <c r="A52" s="151"/>
      <c r="B52" s="151"/>
      <c r="C52" s="151"/>
      <c r="D52" s="151"/>
      <c r="E52" s="151"/>
      <c r="F52" s="151"/>
      <c r="G52" s="151"/>
      <c r="H52" s="151"/>
      <c r="I52" s="151"/>
      <c r="J52" s="151"/>
      <c r="K52" s="151"/>
      <c r="L52" s="151"/>
      <c r="M52" s="151"/>
      <c r="N52" s="23">
        <f>H39/R39</f>
        <v>0.77392797401939084</v>
      </c>
      <c r="O52" s="151"/>
      <c r="P52" s="151"/>
      <c r="Q52" s="151"/>
      <c r="R52" s="122" t="s">
        <v>118</v>
      </c>
      <c r="S52" s="151"/>
      <c r="T52" s="151"/>
    </row>
    <row r="53" spans="1:20" x14ac:dyDescent="0.25">
      <c r="A53" s="151"/>
      <c r="B53" s="151"/>
      <c r="C53" s="151"/>
      <c r="D53" s="151"/>
      <c r="E53" s="151"/>
      <c r="F53" s="151"/>
      <c r="G53" s="151"/>
      <c r="H53" s="151"/>
      <c r="I53" s="151"/>
      <c r="J53" s="151"/>
      <c r="K53" s="151"/>
      <c r="L53" s="151"/>
      <c r="M53" s="151"/>
      <c r="N53" s="23">
        <f>I39/R39</f>
        <v>0.61132118768601307</v>
      </c>
      <c r="O53" s="151"/>
      <c r="P53" s="151"/>
      <c r="Q53" s="151"/>
      <c r="R53" s="122" t="s">
        <v>160</v>
      </c>
      <c r="S53" s="151"/>
      <c r="T53" s="151"/>
    </row>
    <row r="54" spans="1:20" x14ac:dyDescent="0.25">
      <c r="A54" s="151"/>
      <c r="B54" s="151"/>
      <c r="C54" s="151"/>
      <c r="D54" s="151"/>
      <c r="E54" s="151"/>
      <c r="F54" s="151"/>
      <c r="G54" s="151"/>
      <c r="H54" s="151"/>
      <c r="I54" s="151"/>
      <c r="J54" s="151"/>
      <c r="K54" s="151"/>
      <c r="L54" s="151"/>
      <c r="M54" s="151"/>
      <c r="N54" s="23">
        <f>J39/R39</f>
        <v>0.60475622277955554</v>
      </c>
      <c r="O54" s="151"/>
      <c r="P54" s="151"/>
      <c r="Q54" s="151"/>
      <c r="R54" s="122" t="s">
        <v>85</v>
      </c>
      <c r="S54" s="151"/>
      <c r="T54" s="151"/>
    </row>
    <row r="55" spans="1:20" x14ac:dyDescent="0.25">
      <c r="A55" s="151"/>
      <c r="B55" s="151"/>
      <c r="C55" s="151"/>
      <c r="D55" s="151"/>
      <c r="E55" s="151"/>
      <c r="F55" s="151"/>
      <c r="G55" s="151"/>
      <c r="H55" s="151"/>
      <c r="I55" s="151"/>
      <c r="J55" s="151"/>
      <c r="K55" s="151"/>
      <c r="L55" s="151"/>
      <c r="M55" s="151"/>
      <c r="N55" s="151"/>
      <c r="O55" s="151"/>
      <c r="P55" s="151"/>
      <c r="Q55" s="151"/>
      <c r="R55" s="151"/>
      <c r="S55" s="151"/>
      <c r="T55" s="151"/>
    </row>
    <row r="56" spans="1:20" x14ac:dyDescent="0.25">
      <c r="A56" s="257" t="s">
        <v>4</v>
      </c>
      <c r="B56" s="257"/>
      <c r="C56" s="257"/>
      <c r="D56" s="257"/>
      <c r="E56" s="257"/>
      <c r="F56" s="257"/>
      <c r="G56" s="257"/>
      <c r="H56" s="257"/>
      <c r="I56" s="257"/>
      <c r="J56" s="257"/>
      <c r="K56" s="257"/>
      <c r="L56" s="257"/>
      <c r="M56" s="257"/>
      <c r="N56" s="257"/>
      <c r="O56" s="257"/>
      <c r="P56" s="257"/>
      <c r="Q56" s="257"/>
      <c r="R56" s="257"/>
      <c r="S56" s="257"/>
      <c r="T56" s="257"/>
    </row>
    <row r="57" spans="1:20" x14ac:dyDescent="0.25">
      <c r="A57" s="258" t="s">
        <v>109</v>
      </c>
      <c r="B57" s="259"/>
      <c r="C57" s="259"/>
      <c r="D57" s="259"/>
      <c r="E57" s="259"/>
      <c r="F57" s="259"/>
      <c r="G57" s="259"/>
      <c r="H57" s="259"/>
      <c r="I57" s="259"/>
      <c r="J57" s="259"/>
      <c r="K57" s="259"/>
      <c r="L57" s="259"/>
      <c r="M57" s="259"/>
      <c r="N57" s="259"/>
      <c r="O57" s="259"/>
      <c r="P57" s="259"/>
      <c r="Q57" s="259"/>
      <c r="R57" s="259"/>
      <c r="S57" s="259"/>
      <c r="T57" s="259"/>
    </row>
    <row r="58" spans="1:20" x14ac:dyDescent="0.25">
      <c r="A58" s="258" t="s">
        <v>133</v>
      </c>
      <c r="B58" s="259"/>
      <c r="C58" s="259"/>
      <c r="D58" s="259"/>
      <c r="E58" s="259"/>
      <c r="F58" s="259"/>
      <c r="G58" s="259"/>
      <c r="H58" s="259"/>
      <c r="I58" s="259"/>
      <c r="J58" s="259"/>
      <c r="K58" s="259"/>
      <c r="L58" s="259"/>
      <c r="M58" s="259"/>
      <c r="N58" s="259"/>
      <c r="O58" s="259"/>
      <c r="P58" s="259"/>
      <c r="Q58" s="259"/>
      <c r="R58" s="259"/>
      <c r="S58" s="259"/>
      <c r="T58" s="259"/>
    </row>
    <row r="59" spans="1:20" x14ac:dyDescent="0.25">
      <c r="A59" s="258" t="s">
        <v>78</v>
      </c>
      <c r="B59" s="259"/>
      <c r="C59" s="259"/>
      <c r="D59" s="259"/>
      <c r="E59" s="259"/>
      <c r="F59" s="259"/>
      <c r="G59" s="259"/>
      <c r="H59" s="259"/>
      <c r="I59" s="259"/>
      <c r="J59" s="259"/>
      <c r="K59" s="259"/>
      <c r="L59" s="259"/>
      <c r="M59" s="259"/>
      <c r="N59" s="259"/>
      <c r="O59" s="259"/>
      <c r="P59" s="259"/>
      <c r="Q59" s="259"/>
      <c r="R59" s="259"/>
      <c r="S59" s="259"/>
      <c r="T59" s="259"/>
    </row>
    <row r="60" spans="1:20" x14ac:dyDescent="0.25">
      <c r="A60" s="255" t="s">
        <v>10</v>
      </c>
      <c r="B60" s="256"/>
      <c r="C60" s="256"/>
      <c r="D60" s="256"/>
      <c r="E60" s="256"/>
      <c r="F60" s="256"/>
      <c r="G60" s="256"/>
      <c r="H60" s="256"/>
      <c r="I60" s="256"/>
      <c r="J60" s="256"/>
      <c r="K60" s="256"/>
      <c r="L60" s="256"/>
      <c r="M60" s="256"/>
      <c r="N60" s="256"/>
      <c r="O60" s="256"/>
      <c r="P60" s="256"/>
      <c r="Q60" s="256"/>
      <c r="R60" s="256"/>
      <c r="S60" s="256"/>
      <c r="T60" s="256"/>
    </row>
  </sheetData>
  <mergeCells count="80">
    <mergeCell ref="A60:T60"/>
    <mergeCell ref="A56:T56"/>
    <mergeCell ref="A57:T57"/>
    <mergeCell ref="A58:T58"/>
    <mergeCell ref="A59:T59"/>
    <mergeCell ref="L35:M35"/>
    <mergeCell ref="J35:K35"/>
    <mergeCell ref="A46:T46"/>
    <mergeCell ref="H45:M45"/>
    <mergeCell ref="L44:M44"/>
    <mergeCell ref="L43:M43"/>
    <mergeCell ref="A42:T42"/>
    <mergeCell ref="J37:K37"/>
    <mergeCell ref="L41:M41"/>
    <mergeCell ref="L37:M37"/>
    <mergeCell ref="L39:M39"/>
    <mergeCell ref="J36:K36"/>
    <mergeCell ref="J39:K39"/>
    <mergeCell ref="L36:M36"/>
    <mergeCell ref="J41:K41"/>
    <mergeCell ref="L32:M32"/>
    <mergeCell ref="J32:K32"/>
    <mergeCell ref="L33:M33"/>
    <mergeCell ref="J33:K33"/>
    <mergeCell ref="L34:M34"/>
    <mergeCell ref="J34:K34"/>
    <mergeCell ref="L29:M29"/>
    <mergeCell ref="J29:K29"/>
    <mergeCell ref="L30:M30"/>
    <mergeCell ref="J30:K30"/>
    <mergeCell ref="L31:M31"/>
    <mergeCell ref="J31:K31"/>
    <mergeCell ref="H1:M1"/>
    <mergeCell ref="R24:T24"/>
    <mergeCell ref="A12:T12"/>
    <mergeCell ref="A16:H16"/>
    <mergeCell ref="R15:T15"/>
    <mergeCell ref="I15:K15"/>
    <mergeCell ref="E15:F15"/>
    <mergeCell ref="L15:N15"/>
    <mergeCell ref="E13:F13"/>
    <mergeCell ref="I14:K14"/>
    <mergeCell ref="E3:P3"/>
    <mergeCell ref="E4:P4"/>
    <mergeCell ref="A2:T2"/>
    <mergeCell ref="J28:K28"/>
    <mergeCell ref="C14:D14"/>
    <mergeCell ref="A20:B20"/>
    <mergeCell ref="J27:K27"/>
    <mergeCell ref="G15:H15"/>
    <mergeCell ref="A22:B22"/>
    <mergeCell ref="A21:B21"/>
    <mergeCell ref="C15:D15"/>
    <mergeCell ref="A28:B28"/>
    <mergeCell ref="I16:T16"/>
    <mergeCell ref="G14:H14"/>
    <mergeCell ref="L28:M28"/>
    <mergeCell ref="C13:D13"/>
    <mergeCell ref="L26:M26"/>
    <mergeCell ref="A24:B24"/>
    <mergeCell ref="C24:G24"/>
    <mergeCell ref="A27:B27"/>
    <mergeCell ref="G13:H13"/>
    <mergeCell ref="E14:F14"/>
    <mergeCell ref="A25:B25"/>
    <mergeCell ref="I13:K13"/>
    <mergeCell ref="A23:T23"/>
    <mergeCell ref="L25:N25"/>
    <mergeCell ref="A26:B26"/>
    <mergeCell ref="H24:N24"/>
    <mergeCell ref="J26:K26"/>
    <mergeCell ref="L14:N14"/>
    <mergeCell ref="L27:M27"/>
    <mergeCell ref="O13:Q13"/>
    <mergeCell ref="O15:Q15"/>
    <mergeCell ref="I19:M19"/>
    <mergeCell ref="L13:N13"/>
    <mergeCell ref="J25:K25"/>
    <mergeCell ref="O19:Q19"/>
    <mergeCell ref="O24:Q25"/>
  </mergeCells>
  <pageMargins left="0.2" right="0.2" top="0.5" bottom="0.5" header="0.3" footer="0.3"/>
  <pageSetup paperSize="9" scale="46" fitToHeight="100" pageOrder="overThenDown" orientation="landscape"/>
  <headerFooter>
    <oddHeader>&amp;LsPH MIE Current&amp;RsPH MIE Current as of data date</oddHeader>
    <oddFooter>&amp;L(c) Deltek, Inc.&amp;C&amp;P of &amp;N&amp;RDate Printed: 02/08/2021 3:23 PM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61"/>
  <sheetViews>
    <sheetView zoomScale="90" workbookViewId="0">
      <selection activeCell="I29" sqref="I29"/>
    </sheetView>
  </sheetViews>
  <sheetFormatPr defaultRowHeight="15" x14ac:dyDescent="0.25"/>
  <cols>
    <col min="1" max="1" width="28.42578125" style="145" customWidth="1"/>
    <col min="2" max="10" width="13.7109375" style="145" customWidth="1"/>
    <col min="11" max="14" width="7.28515625" style="145" customWidth="1"/>
    <col min="15" max="15" width="13.7109375" style="145" customWidth="1"/>
    <col min="16" max="18" width="13.7109375" style="145" hidden="1" customWidth="1"/>
    <col min="19" max="21" width="13.7109375" style="145" customWidth="1"/>
    <col min="22" max="16384" width="9.140625" style="145"/>
  </cols>
  <sheetData>
    <row r="1" spans="1:21" ht="17.25" customHeight="1" x14ac:dyDescent="0.25">
      <c r="A1" s="145" t="s">
        <v>127</v>
      </c>
      <c r="I1" s="228" t="s">
        <v>100</v>
      </c>
      <c r="J1" s="228"/>
      <c r="K1" s="228"/>
      <c r="L1" s="228"/>
      <c r="M1" s="228"/>
      <c r="N1" s="228"/>
    </row>
    <row r="2" spans="1:21" ht="15.75" thickBot="1" x14ac:dyDescent="0.3">
      <c r="A2" s="145" t="s">
        <v>127</v>
      </c>
      <c r="B2" s="236" t="s">
        <v>61</v>
      </c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</row>
    <row r="3" spans="1:21" ht="18.75" x14ac:dyDescent="0.3">
      <c r="A3" s="145" t="s">
        <v>127</v>
      </c>
      <c r="B3" s="88"/>
      <c r="C3" s="138"/>
      <c r="D3" s="138"/>
      <c r="E3" s="138"/>
      <c r="F3" s="234" t="s">
        <v>137</v>
      </c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58"/>
      <c r="S3" s="164"/>
      <c r="T3" s="141" t="s">
        <v>205</v>
      </c>
      <c r="U3" s="147"/>
    </row>
    <row r="4" spans="1:21" ht="19.5" thickBot="1" x14ac:dyDescent="0.35">
      <c r="A4" s="145" t="s">
        <v>127</v>
      </c>
      <c r="B4" s="1"/>
      <c r="C4" s="68"/>
      <c r="D4" s="68"/>
      <c r="E4" s="68"/>
      <c r="F4" s="235" t="s">
        <v>37</v>
      </c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38" t="s">
        <v>155</v>
      </c>
      <c r="S4" s="153" t="s">
        <v>69</v>
      </c>
      <c r="T4" s="52" t="s">
        <v>14</v>
      </c>
      <c r="U4" s="80"/>
    </row>
    <row r="5" spans="1:21" ht="15.75" thickBot="1" x14ac:dyDescent="0.3">
      <c r="A5" s="145" t="s">
        <v>127</v>
      </c>
      <c r="B5" s="123" t="s">
        <v>63</v>
      </c>
      <c r="C5" s="98"/>
      <c r="D5" s="98"/>
      <c r="E5" s="100"/>
      <c r="F5" s="123" t="s">
        <v>116</v>
      </c>
      <c r="G5" s="98"/>
      <c r="H5" s="98"/>
      <c r="I5" s="98"/>
      <c r="J5" s="100"/>
      <c r="K5" s="123" t="s">
        <v>16</v>
      </c>
      <c r="L5" s="14"/>
      <c r="M5" s="14"/>
      <c r="N5" s="98"/>
      <c r="O5" s="98"/>
      <c r="P5" s="98"/>
      <c r="Q5" s="98"/>
      <c r="R5" s="100"/>
      <c r="S5" s="123" t="s">
        <v>81</v>
      </c>
      <c r="T5" s="98"/>
      <c r="U5" s="100"/>
    </row>
    <row r="6" spans="1:21" x14ac:dyDescent="0.25">
      <c r="A6" s="145" t="s">
        <v>127</v>
      </c>
      <c r="B6" s="177" t="s">
        <v>90</v>
      </c>
      <c r="C6" s="48"/>
      <c r="D6" s="48"/>
      <c r="E6" s="32"/>
      <c r="F6" s="105" t="s">
        <v>90</v>
      </c>
      <c r="G6" s="116"/>
      <c r="H6" s="116"/>
      <c r="I6" s="116"/>
      <c r="J6" s="67"/>
      <c r="K6" s="105" t="s">
        <v>90</v>
      </c>
      <c r="L6" s="152"/>
      <c r="M6" s="152"/>
      <c r="N6" s="116"/>
      <c r="O6" s="116"/>
      <c r="P6" s="116"/>
      <c r="Q6" s="116"/>
      <c r="R6" s="67"/>
      <c r="S6" s="105" t="s">
        <v>6</v>
      </c>
      <c r="T6" s="116"/>
      <c r="U6" s="67"/>
    </row>
    <row r="7" spans="1:21" ht="15.75" thickBot="1" x14ac:dyDescent="0.3">
      <c r="A7" s="145" t="s">
        <v>127</v>
      </c>
      <c r="B7" s="136" t="s">
        <v>209</v>
      </c>
      <c r="C7" s="126"/>
      <c r="D7" s="43"/>
      <c r="E7" s="174"/>
      <c r="F7" s="30" t="s">
        <v>29</v>
      </c>
      <c r="G7" s="43"/>
      <c r="H7" s="43"/>
      <c r="I7" s="43"/>
      <c r="J7" s="174"/>
      <c r="K7" s="30" t="s">
        <v>203</v>
      </c>
      <c r="L7" s="126"/>
      <c r="M7" s="126"/>
      <c r="N7" s="43"/>
      <c r="O7" s="43"/>
      <c r="P7" s="43"/>
      <c r="Q7" s="43"/>
      <c r="R7" s="174"/>
      <c r="S7" s="44"/>
      <c r="T7" s="48"/>
      <c r="U7" s="117"/>
    </row>
    <row r="8" spans="1:21" ht="15.75" thickBot="1" x14ac:dyDescent="0.3">
      <c r="A8" s="145" t="s">
        <v>127</v>
      </c>
      <c r="B8" s="105" t="s">
        <v>157</v>
      </c>
      <c r="C8" s="116"/>
      <c r="D8" s="116"/>
      <c r="E8" s="67"/>
      <c r="F8" s="105" t="s">
        <v>67</v>
      </c>
      <c r="G8" s="116"/>
      <c r="H8" s="116"/>
      <c r="I8" s="116"/>
      <c r="J8" s="67"/>
      <c r="K8" s="105" t="s">
        <v>158</v>
      </c>
      <c r="L8" s="152"/>
      <c r="M8" s="152"/>
      <c r="N8" s="116"/>
      <c r="O8" s="116"/>
      <c r="P8" s="116"/>
      <c r="Q8" s="116"/>
      <c r="R8" s="116"/>
      <c r="S8" s="75" t="s">
        <v>156</v>
      </c>
      <c r="T8" s="53"/>
      <c r="U8" s="133"/>
    </row>
    <row r="9" spans="1:21" ht="15.75" thickBot="1" x14ac:dyDescent="0.3">
      <c r="A9" s="145" t="s">
        <v>127</v>
      </c>
      <c r="B9" s="84" t="s">
        <v>200</v>
      </c>
      <c r="C9" s="101"/>
      <c r="D9" s="48"/>
      <c r="E9" s="32"/>
      <c r="F9" s="30" t="s">
        <v>177</v>
      </c>
      <c r="G9" s="43"/>
      <c r="H9" s="43"/>
      <c r="I9" s="43"/>
      <c r="J9" s="174"/>
      <c r="K9" s="30" t="s">
        <v>94</v>
      </c>
      <c r="L9" s="33"/>
      <c r="M9" s="33"/>
      <c r="N9" s="33"/>
      <c r="O9" s="43"/>
      <c r="P9" s="43"/>
      <c r="Q9" s="43"/>
      <c r="R9" s="174"/>
      <c r="S9" s="177" t="s">
        <v>35</v>
      </c>
      <c r="T9" s="48"/>
      <c r="U9" s="32"/>
    </row>
    <row r="10" spans="1:21" x14ac:dyDescent="0.25">
      <c r="A10" s="145" t="s">
        <v>127</v>
      </c>
      <c r="B10" s="129"/>
      <c r="C10" s="48"/>
      <c r="D10" s="48"/>
      <c r="E10" s="32"/>
      <c r="F10" s="105" t="s">
        <v>151</v>
      </c>
      <c r="G10" s="116"/>
      <c r="H10" s="67"/>
      <c r="I10" s="105" t="s">
        <v>210</v>
      </c>
      <c r="J10" s="67"/>
      <c r="K10" s="105" t="s">
        <v>122</v>
      </c>
      <c r="L10" s="105"/>
      <c r="M10" s="152"/>
      <c r="N10" s="116"/>
      <c r="O10" s="116"/>
      <c r="P10" s="116"/>
      <c r="Q10" s="116"/>
      <c r="R10" s="67"/>
      <c r="S10" s="129"/>
      <c r="T10" s="48"/>
      <c r="U10" s="32"/>
    </row>
    <row r="11" spans="1:21" ht="15.75" thickBot="1" x14ac:dyDescent="0.3">
      <c r="A11" s="145" t="s">
        <v>127</v>
      </c>
      <c r="B11" s="150"/>
      <c r="C11" s="43"/>
      <c r="D11" s="43"/>
      <c r="E11" s="174"/>
      <c r="F11" s="30" t="s">
        <v>0</v>
      </c>
      <c r="G11" s="43"/>
      <c r="H11" s="174"/>
      <c r="I11" s="30" t="s">
        <v>142</v>
      </c>
      <c r="J11" s="174"/>
      <c r="K11" s="103" t="s">
        <v>163</v>
      </c>
      <c r="L11" s="156" t="s">
        <v>175</v>
      </c>
      <c r="M11" s="156" t="s">
        <v>193</v>
      </c>
      <c r="N11" s="132" t="s">
        <v>206</v>
      </c>
      <c r="O11" s="142" t="s">
        <v>126</v>
      </c>
      <c r="P11" s="90"/>
      <c r="Q11" s="157"/>
      <c r="R11" s="143"/>
      <c r="S11" s="75" t="s">
        <v>41</v>
      </c>
      <c r="T11" s="53"/>
      <c r="U11" s="133"/>
    </row>
    <row r="12" spans="1:21" ht="15.75" thickBot="1" x14ac:dyDescent="0.3">
      <c r="A12" s="145" t="s">
        <v>127</v>
      </c>
      <c r="B12" s="208" t="s">
        <v>76</v>
      </c>
      <c r="C12" s="209"/>
      <c r="D12" s="209"/>
      <c r="E12" s="209"/>
      <c r="F12" s="209"/>
      <c r="G12" s="209"/>
      <c r="H12" s="209"/>
      <c r="I12" s="209"/>
      <c r="J12" s="209"/>
      <c r="K12" s="209"/>
      <c r="L12" s="209"/>
      <c r="M12" s="209"/>
      <c r="N12" s="209"/>
      <c r="O12" s="209"/>
      <c r="P12" s="209"/>
      <c r="Q12" s="209"/>
      <c r="R12" s="209"/>
      <c r="S12" s="209"/>
      <c r="T12" s="209"/>
      <c r="U12" s="210"/>
    </row>
    <row r="13" spans="1:21" x14ac:dyDescent="0.25">
      <c r="A13" s="145" t="s">
        <v>127</v>
      </c>
      <c r="B13" s="6" t="s">
        <v>40</v>
      </c>
      <c r="C13" s="141" t="s">
        <v>51</v>
      </c>
      <c r="D13" s="189" t="s">
        <v>56</v>
      </c>
      <c r="E13" s="191"/>
      <c r="F13" s="189" t="s">
        <v>97</v>
      </c>
      <c r="G13" s="191"/>
      <c r="H13" s="189" t="s">
        <v>154</v>
      </c>
      <c r="I13" s="191"/>
      <c r="J13" s="189" t="s">
        <v>190</v>
      </c>
      <c r="K13" s="190"/>
      <c r="L13" s="191"/>
      <c r="M13" s="189" t="s">
        <v>110</v>
      </c>
      <c r="N13" s="190"/>
      <c r="O13" s="191"/>
      <c r="P13" s="182" t="s">
        <v>50</v>
      </c>
      <c r="Q13" s="183"/>
      <c r="R13" s="184"/>
      <c r="S13" s="29" t="s">
        <v>201</v>
      </c>
      <c r="T13" s="35"/>
      <c r="U13" s="165"/>
    </row>
    <row r="14" spans="1:21" x14ac:dyDescent="0.25">
      <c r="A14" s="145" t="s">
        <v>127</v>
      </c>
      <c r="B14" s="82"/>
      <c r="C14" s="177" t="s">
        <v>189</v>
      </c>
      <c r="D14" s="206" t="s">
        <v>145</v>
      </c>
      <c r="E14" s="214"/>
      <c r="F14" s="206"/>
      <c r="G14" s="207"/>
      <c r="H14" s="206"/>
      <c r="I14" s="214"/>
      <c r="J14" s="215"/>
      <c r="K14" s="216"/>
      <c r="L14" s="217"/>
      <c r="M14" s="215" t="s">
        <v>60</v>
      </c>
      <c r="N14" s="216"/>
      <c r="O14" s="217"/>
      <c r="P14" s="167"/>
      <c r="Q14" s="170"/>
      <c r="R14" s="170"/>
      <c r="S14" s="94"/>
      <c r="T14" s="140"/>
      <c r="U14" s="127"/>
    </row>
    <row r="15" spans="1:21" ht="15.75" thickBot="1" x14ac:dyDescent="0.3">
      <c r="A15" s="145" t="s">
        <v>127</v>
      </c>
      <c r="B15" s="106" t="s">
        <v>65</v>
      </c>
      <c r="C15" s="106" t="s">
        <v>74</v>
      </c>
      <c r="D15" s="185" t="s">
        <v>88</v>
      </c>
      <c r="E15" s="220"/>
      <c r="F15" s="185" t="s">
        <v>80</v>
      </c>
      <c r="G15" s="186"/>
      <c r="H15" s="185" t="s">
        <v>55</v>
      </c>
      <c r="I15" s="220"/>
      <c r="J15" s="186" t="s">
        <v>58</v>
      </c>
      <c r="K15" s="186"/>
      <c r="L15" s="185"/>
      <c r="M15" s="185" t="s">
        <v>70</v>
      </c>
      <c r="N15" s="186"/>
      <c r="O15" s="220"/>
      <c r="P15" s="185" t="s">
        <v>19</v>
      </c>
      <c r="Q15" s="186"/>
      <c r="R15" s="186"/>
      <c r="S15" s="231" t="s">
        <v>82</v>
      </c>
      <c r="T15" s="232"/>
      <c r="U15" s="233"/>
    </row>
    <row r="16" spans="1:21" ht="15.75" thickBot="1" x14ac:dyDescent="0.3">
      <c r="A16" s="145" t="s">
        <v>127</v>
      </c>
      <c r="B16" s="208" t="s">
        <v>135</v>
      </c>
      <c r="C16" s="209"/>
      <c r="D16" s="209"/>
      <c r="E16" s="209"/>
      <c r="F16" s="209"/>
      <c r="G16" s="209"/>
      <c r="H16" s="209"/>
      <c r="I16" s="210"/>
      <c r="J16" s="208" t="s">
        <v>42</v>
      </c>
      <c r="K16" s="209"/>
      <c r="L16" s="209"/>
      <c r="M16" s="209"/>
      <c r="N16" s="209"/>
      <c r="O16" s="209"/>
      <c r="P16" s="209"/>
      <c r="Q16" s="209"/>
      <c r="R16" s="209"/>
      <c r="S16" s="209"/>
      <c r="T16" s="209"/>
      <c r="U16" s="210"/>
    </row>
    <row r="17" spans="1:24" x14ac:dyDescent="0.25">
      <c r="A17" s="145" t="s">
        <v>127</v>
      </c>
      <c r="B17" s="96"/>
      <c r="C17" s="15"/>
      <c r="D17" s="130" t="s">
        <v>113</v>
      </c>
      <c r="E17" s="46"/>
      <c r="F17" s="130" t="s">
        <v>183</v>
      </c>
      <c r="G17" s="46"/>
      <c r="H17" s="130" t="s">
        <v>202</v>
      </c>
      <c r="I17" s="46"/>
      <c r="J17" s="105" t="s">
        <v>186</v>
      </c>
      <c r="K17" s="65" t="s">
        <v>1</v>
      </c>
      <c r="L17" s="65"/>
      <c r="M17" s="65"/>
      <c r="N17" s="152"/>
      <c r="O17" s="110"/>
      <c r="P17" s="105" t="s">
        <v>57</v>
      </c>
      <c r="Q17" s="152"/>
      <c r="R17" s="152"/>
      <c r="S17" s="152"/>
      <c r="T17" s="152"/>
      <c r="U17" s="110"/>
    </row>
    <row r="18" spans="1:24" x14ac:dyDescent="0.25">
      <c r="A18" s="145" t="s">
        <v>127</v>
      </c>
      <c r="B18" s="96"/>
      <c r="C18" s="15"/>
      <c r="D18" s="24" t="s">
        <v>149</v>
      </c>
      <c r="E18" s="10"/>
      <c r="F18" s="24" t="s">
        <v>18</v>
      </c>
      <c r="G18" s="10"/>
      <c r="H18" s="97" t="s">
        <v>196</v>
      </c>
      <c r="I18" s="79"/>
      <c r="J18" s="44"/>
      <c r="K18" s="48"/>
      <c r="L18" s="48"/>
      <c r="M18" s="48"/>
      <c r="N18" s="48"/>
      <c r="O18" s="32"/>
      <c r="P18" s="44"/>
      <c r="Q18" s="101"/>
      <c r="R18" s="101"/>
      <c r="S18" s="48"/>
      <c r="T18" s="48"/>
      <c r="U18" s="32"/>
    </row>
    <row r="19" spans="1:24" ht="15.75" thickBot="1" x14ac:dyDescent="0.3">
      <c r="A19" s="145" t="s">
        <v>127</v>
      </c>
      <c r="B19" s="96"/>
      <c r="C19" s="15"/>
      <c r="D19" s="119" t="s">
        <v>30</v>
      </c>
      <c r="E19" s="10"/>
      <c r="F19" s="45" t="s">
        <v>111</v>
      </c>
      <c r="G19" s="148"/>
      <c r="H19" s="45" t="s">
        <v>187</v>
      </c>
      <c r="I19" s="148"/>
      <c r="J19" s="187" t="s">
        <v>138</v>
      </c>
      <c r="K19" s="188"/>
      <c r="L19" s="188"/>
      <c r="M19" s="188"/>
      <c r="N19" s="188"/>
      <c r="O19" s="51"/>
      <c r="P19" s="187" t="s">
        <v>192</v>
      </c>
      <c r="Q19" s="188"/>
      <c r="R19" s="188"/>
      <c r="S19" s="95"/>
      <c r="T19" s="95"/>
      <c r="U19" s="51"/>
    </row>
    <row r="20" spans="1:24" ht="15.75" thickBot="1" x14ac:dyDescent="0.3">
      <c r="A20" s="145" t="s">
        <v>127</v>
      </c>
      <c r="B20" s="189" t="s">
        <v>53</v>
      </c>
      <c r="C20" s="191"/>
      <c r="D20" s="18" t="s">
        <v>152</v>
      </c>
      <c r="E20" s="118"/>
      <c r="F20" s="34"/>
      <c r="G20" s="37"/>
      <c r="H20" s="34"/>
      <c r="I20" s="37"/>
      <c r="J20" s="105" t="s">
        <v>123</v>
      </c>
      <c r="K20" s="116"/>
      <c r="L20" s="116"/>
      <c r="M20" s="116"/>
      <c r="N20" s="116"/>
      <c r="O20" s="116"/>
      <c r="P20" s="116"/>
      <c r="Q20" s="116"/>
      <c r="R20" s="67"/>
      <c r="S20" s="105" t="s">
        <v>191</v>
      </c>
      <c r="T20" s="149" t="s">
        <v>9</v>
      </c>
      <c r="U20" s="67"/>
    </row>
    <row r="21" spans="1:24" ht="15.75" thickBot="1" x14ac:dyDescent="0.3">
      <c r="A21" s="145" t="s">
        <v>127</v>
      </c>
      <c r="B21" s="223" t="s">
        <v>185</v>
      </c>
      <c r="C21" s="224"/>
      <c r="D21" s="18" t="s">
        <v>184</v>
      </c>
      <c r="E21" s="118"/>
      <c r="F21" s="96"/>
      <c r="G21" s="179"/>
      <c r="H21" s="96"/>
      <c r="I21" s="179"/>
      <c r="J21" s="129"/>
      <c r="K21" s="48"/>
      <c r="L21" s="48"/>
      <c r="M21" s="48"/>
      <c r="N21" s="48"/>
      <c r="O21" s="48"/>
      <c r="P21" s="48"/>
      <c r="Q21" s="48"/>
      <c r="R21" s="32"/>
      <c r="S21" s="177"/>
      <c r="T21" s="48"/>
      <c r="U21" s="32"/>
    </row>
    <row r="22" spans="1:24" ht="15.75" thickBot="1" x14ac:dyDescent="0.3">
      <c r="A22" s="145" t="s">
        <v>127</v>
      </c>
      <c r="B22" s="221" t="s">
        <v>103</v>
      </c>
      <c r="C22" s="222"/>
      <c r="D22" s="87" t="s">
        <v>95</v>
      </c>
      <c r="E22" s="13"/>
      <c r="F22" s="124" t="s">
        <v>120</v>
      </c>
      <c r="G22" s="118"/>
      <c r="H22" s="124" t="s">
        <v>64</v>
      </c>
      <c r="I22" s="118"/>
      <c r="J22" s="43"/>
      <c r="K22" s="43"/>
      <c r="L22" s="43"/>
      <c r="M22" s="43"/>
      <c r="N22" s="43"/>
      <c r="O22" s="43"/>
      <c r="P22" s="43"/>
      <c r="Q22" s="43"/>
      <c r="R22" s="174"/>
      <c r="S22" s="150"/>
      <c r="T22" s="43"/>
      <c r="U22" s="174"/>
    </row>
    <row r="23" spans="1:24" ht="15.75" thickBot="1" x14ac:dyDescent="0.3">
      <c r="A23" s="145" t="s">
        <v>127</v>
      </c>
      <c r="B23" s="208" t="s">
        <v>46</v>
      </c>
      <c r="C23" s="209"/>
      <c r="D23" s="209"/>
      <c r="E23" s="209"/>
      <c r="F23" s="209"/>
      <c r="G23" s="209"/>
      <c r="H23" s="209"/>
      <c r="I23" s="209"/>
      <c r="J23" s="209"/>
      <c r="K23" s="209"/>
      <c r="L23" s="209"/>
      <c r="M23" s="209"/>
      <c r="N23" s="209"/>
      <c r="O23" s="209"/>
      <c r="P23" s="209"/>
      <c r="Q23" s="209"/>
      <c r="R23" s="209"/>
      <c r="S23" s="209"/>
      <c r="T23" s="209"/>
      <c r="U23" s="210"/>
    </row>
    <row r="24" spans="1:24" ht="15.75" thickBot="1" x14ac:dyDescent="0.3">
      <c r="A24" s="145" t="s">
        <v>127</v>
      </c>
      <c r="B24" s="199" t="s">
        <v>93</v>
      </c>
      <c r="C24" s="200"/>
      <c r="D24" s="201" t="s">
        <v>114</v>
      </c>
      <c r="E24" s="202"/>
      <c r="F24" s="202"/>
      <c r="G24" s="202"/>
      <c r="H24" s="203"/>
      <c r="I24" s="201" t="s">
        <v>62</v>
      </c>
      <c r="J24" s="202"/>
      <c r="K24" s="202"/>
      <c r="L24" s="202"/>
      <c r="M24" s="202"/>
      <c r="N24" s="202"/>
      <c r="O24" s="203"/>
      <c r="P24" s="194" t="s">
        <v>73</v>
      </c>
      <c r="Q24" s="195"/>
      <c r="R24" s="196"/>
      <c r="S24" s="201" t="s">
        <v>149</v>
      </c>
      <c r="T24" s="229"/>
      <c r="U24" s="230"/>
    </row>
    <row r="25" spans="1:24" ht="15.75" thickBot="1" x14ac:dyDescent="0.3">
      <c r="A25" s="145" t="s">
        <v>127</v>
      </c>
      <c r="B25" s="204"/>
      <c r="C25" s="205"/>
      <c r="D25" s="109" t="s">
        <v>144</v>
      </c>
      <c r="E25" s="148"/>
      <c r="F25" s="77" t="s">
        <v>92</v>
      </c>
      <c r="G25" s="45" t="s">
        <v>202</v>
      </c>
      <c r="H25" s="148"/>
      <c r="I25" s="45" t="s">
        <v>144</v>
      </c>
      <c r="J25" s="148"/>
      <c r="K25" s="192" t="s">
        <v>92</v>
      </c>
      <c r="L25" s="193"/>
      <c r="M25" s="211" t="s">
        <v>202</v>
      </c>
      <c r="N25" s="212"/>
      <c r="O25" s="213"/>
      <c r="P25" s="197"/>
      <c r="Q25" s="198"/>
      <c r="R25" s="198"/>
      <c r="S25" s="175" t="s">
        <v>174</v>
      </c>
      <c r="T25" s="175" t="s">
        <v>75</v>
      </c>
      <c r="U25" s="77" t="s">
        <v>202</v>
      </c>
    </row>
    <row r="26" spans="1:24" x14ac:dyDescent="0.25">
      <c r="A26" s="145" t="s">
        <v>127</v>
      </c>
      <c r="B26" s="204"/>
      <c r="C26" s="205"/>
      <c r="D26" s="181" t="s">
        <v>150</v>
      </c>
      <c r="E26" s="77" t="s">
        <v>150</v>
      </c>
      <c r="F26" s="9" t="s">
        <v>83</v>
      </c>
      <c r="G26" s="9"/>
      <c r="H26" s="9"/>
      <c r="I26" s="77" t="s">
        <v>150</v>
      </c>
      <c r="J26" s="77" t="s">
        <v>150</v>
      </c>
      <c r="K26" s="206" t="s">
        <v>83</v>
      </c>
      <c r="L26" s="214"/>
      <c r="M26" s="192"/>
      <c r="N26" s="193"/>
      <c r="O26" s="120"/>
      <c r="P26" s="77" t="s">
        <v>130</v>
      </c>
      <c r="Q26" s="77" t="s">
        <v>28</v>
      </c>
      <c r="R26" s="175"/>
      <c r="S26" s="63"/>
      <c r="T26" s="63"/>
      <c r="U26" s="9"/>
    </row>
    <row r="27" spans="1:24" x14ac:dyDescent="0.25">
      <c r="A27" s="145" t="s">
        <v>127</v>
      </c>
      <c r="B27" s="204" t="s">
        <v>167</v>
      </c>
      <c r="C27" s="205"/>
      <c r="D27" s="139" t="s">
        <v>170</v>
      </c>
      <c r="E27" s="9" t="s">
        <v>164</v>
      </c>
      <c r="F27" s="9" t="s">
        <v>164</v>
      </c>
      <c r="G27" s="9" t="s">
        <v>28</v>
      </c>
      <c r="H27" s="9" t="s">
        <v>130</v>
      </c>
      <c r="I27" s="9" t="s">
        <v>170</v>
      </c>
      <c r="J27" s="9" t="s">
        <v>164</v>
      </c>
      <c r="K27" s="206" t="s">
        <v>164</v>
      </c>
      <c r="L27" s="214"/>
      <c r="M27" s="206" t="s">
        <v>28</v>
      </c>
      <c r="N27" s="214"/>
      <c r="O27" s="9" t="s">
        <v>130</v>
      </c>
      <c r="P27" s="9" t="s">
        <v>202</v>
      </c>
      <c r="Q27" s="9" t="s">
        <v>202</v>
      </c>
      <c r="R27" s="63" t="s">
        <v>59</v>
      </c>
      <c r="S27" s="177"/>
      <c r="T27" s="177"/>
      <c r="U27" s="120"/>
    </row>
    <row r="28" spans="1:24" x14ac:dyDescent="0.25">
      <c r="A28" s="145" t="s">
        <v>127</v>
      </c>
      <c r="B28" s="225" t="s">
        <v>30</v>
      </c>
      <c r="C28" s="226"/>
      <c r="D28" s="92" t="s">
        <v>111</v>
      </c>
      <c r="E28" s="137" t="s">
        <v>187</v>
      </c>
      <c r="F28" s="137" t="s">
        <v>43</v>
      </c>
      <c r="G28" s="137" t="s">
        <v>124</v>
      </c>
      <c r="H28" s="137" t="s">
        <v>195</v>
      </c>
      <c r="I28" s="137" t="s">
        <v>54</v>
      </c>
      <c r="J28" s="137" t="s">
        <v>139</v>
      </c>
      <c r="K28" s="218" t="s">
        <v>208</v>
      </c>
      <c r="L28" s="219"/>
      <c r="M28" s="218" t="s">
        <v>8</v>
      </c>
      <c r="N28" s="219"/>
      <c r="O28" s="137" t="s">
        <v>87</v>
      </c>
      <c r="P28" s="137" t="s">
        <v>39</v>
      </c>
      <c r="Q28" s="137" t="s">
        <v>117</v>
      </c>
      <c r="R28" s="17" t="s">
        <v>24</v>
      </c>
      <c r="S28" s="17" t="s">
        <v>99</v>
      </c>
      <c r="T28" s="17" t="s">
        <v>182</v>
      </c>
      <c r="U28" s="137" t="s">
        <v>34</v>
      </c>
      <c r="W28" s="76" t="s">
        <v>115</v>
      </c>
      <c r="X28" s="76" t="s">
        <v>91</v>
      </c>
    </row>
    <row r="29" spans="1:24" ht="18" customHeight="1" x14ac:dyDescent="0.25">
      <c r="A29" s="49" t="s">
        <v>176</v>
      </c>
      <c r="B29" s="47" t="s">
        <v>52</v>
      </c>
      <c r="C29" s="11"/>
      <c r="D29" s="121" t="s">
        <v>121</v>
      </c>
      <c r="E29" s="62" t="s">
        <v>143</v>
      </c>
      <c r="F29" s="56" t="s">
        <v>159</v>
      </c>
      <c r="G29" s="74" t="s">
        <v>98</v>
      </c>
      <c r="H29" s="135" t="s">
        <v>134</v>
      </c>
      <c r="I29" s="146" t="s">
        <v>89</v>
      </c>
      <c r="J29" s="62" t="s">
        <v>161</v>
      </c>
      <c r="K29" s="237" t="s">
        <v>3</v>
      </c>
      <c r="L29" s="239"/>
      <c r="M29" s="237" t="s">
        <v>207</v>
      </c>
      <c r="N29" s="238"/>
      <c r="O29" s="25" t="s">
        <v>44</v>
      </c>
      <c r="P29" s="3" t="s">
        <v>96</v>
      </c>
      <c r="Q29" s="57" t="s">
        <v>173</v>
      </c>
      <c r="R29" s="173" t="s">
        <v>27</v>
      </c>
      <c r="S29" s="56" t="s">
        <v>21</v>
      </c>
      <c r="T29" s="2" t="s">
        <v>22</v>
      </c>
      <c r="U29" s="19" t="s">
        <v>146</v>
      </c>
      <c r="W29" s="158" t="e">
        <f>IF(I29=0,"-",(J29/I29))</f>
        <v>#VALUE!</v>
      </c>
      <c r="X29" s="158" t="e">
        <f>IF(K29=0,"-",(J29/K29))</f>
        <v>#VALUE!</v>
      </c>
    </row>
    <row r="30" spans="1:24" x14ac:dyDescent="0.25">
      <c r="A30" s="140" t="s">
        <v>112</v>
      </c>
      <c r="B30" s="54" t="s">
        <v>153</v>
      </c>
      <c r="C30" s="8"/>
      <c r="D30" s="121" t="s">
        <v>121</v>
      </c>
      <c r="E30" s="73" t="s">
        <v>143</v>
      </c>
      <c r="F30" s="56" t="s">
        <v>159</v>
      </c>
      <c r="G30" s="74" t="s">
        <v>98</v>
      </c>
      <c r="H30" s="85" t="s">
        <v>134</v>
      </c>
      <c r="I30" s="2" t="s">
        <v>89</v>
      </c>
      <c r="J30" s="73" t="s">
        <v>161</v>
      </c>
      <c r="K30" s="237" t="s">
        <v>3</v>
      </c>
      <c r="L30" s="239"/>
      <c r="M30" s="237" t="s">
        <v>207</v>
      </c>
      <c r="N30" s="238"/>
      <c r="O30" s="83" t="s">
        <v>44</v>
      </c>
      <c r="P30" s="3" t="s">
        <v>96</v>
      </c>
      <c r="Q30" s="57" t="s">
        <v>173</v>
      </c>
      <c r="R30" s="173" t="s">
        <v>27</v>
      </c>
      <c r="S30" s="56" t="s">
        <v>21</v>
      </c>
      <c r="T30" s="2" t="s">
        <v>22</v>
      </c>
      <c r="U30" s="19" t="s">
        <v>146</v>
      </c>
    </row>
    <row r="31" spans="1:24" x14ac:dyDescent="0.25">
      <c r="A31" s="140" t="s">
        <v>197</v>
      </c>
      <c r="B31" s="54" t="s">
        <v>66</v>
      </c>
      <c r="C31" s="8"/>
      <c r="D31" s="121" t="s">
        <v>121</v>
      </c>
      <c r="E31" s="73" t="s">
        <v>143</v>
      </c>
      <c r="F31" s="56" t="s">
        <v>159</v>
      </c>
      <c r="G31" s="74" t="s">
        <v>98</v>
      </c>
      <c r="H31" s="85" t="s">
        <v>134</v>
      </c>
      <c r="I31" s="2" t="s">
        <v>89</v>
      </c>
      <c r="J31" s="73" t="s">
        <v>161</v>
      </c>
      <c r="K31" s="237" t="s">
        <v>3</v>
      </c>
      <c r="L31" s="239"/>
      <c r="M31" s="237" t="s">
        <v>207</v>
      </c>
      <c r="N31" s="238"/>
      <c r="O31" s="83" t="s">
        <v>44</v>
      </c>
      <c r="P31" s="3" t="s">
        <v>96</v>
      </c>
      <c r="Q31" s="57" t="s">
        <v>173</v>
      </c>
      <c r="R31" s="173" t="s">
        <v>27</v>
      </c>
      <c r="S31" s="56" t="s">
        <v>21</v>
      </c>
      <c r="T31" s="2" t="s">
        <v>22</v>
      </c>
      <c r="U31" s="19" t="s">
        <v>146</v>
      </c>
    </row>
    <row r="32" spans="1:24" x14ac:dyDescent="0.25">
      <c r="A32" s="140" t="s">
        <v>36</v>
      </c>
      <c r="B32" s="54" t="s">
        <v>194</v>
      </c>
      <c r="C32" s="8"/>
      <c r="D32" s="172"/>
      <c r="E32" s="70"/>
      <c r="F32" s="70"/>
      <c r="G32" s="70"/>
      <c r="H32" s="70"/>
      <c r="I32" s="70"/>
      <c r="J32" s="70"/>
      <c r="K32" s="169"/>
      <c r="L32" s="169"/>
      <c r="M32" s="169"/>
      <c r="N32" s="169"/>
      <c r="O32" s="70"/>
      <c r="P32" s="70"/>
      <c r="Q32" s="70"/>
      <c r="R32" s="163"/>
      <c r="S32" s="69" t="s">
        <v>2</v>
      </c>
      <c r="T32" s="171" t="s">
        <v>132</v>
      </c>
      <c r="U32" s="19" t="s">
        <v>146</v>
      </c>
    </row>
    <row r="33" spans="1:24" s="64" customFormat="1" x14ac:dyDescent="0.25">
      <c r="A33" s="60" t="s">
        <v>79</v>
      </c>
      <c r="B33" s="144" t="s">
        <v>136</v>
      </c>
      <c r="C33" s="104"/>
      <c r="D33" s="180" t="s">
        <v>38</v>
      </c>
      <c r="E33" s="131" t="s">
        <v>38</v>
      </c>
      <c r="F33" s="114" t="s">
        <v>38</v>
      </c>
      <c r="G33" s="74" t="s">
        <v>98</v>
      </c>
      <c r="H33" s="155" t="s">
        <v>134</v>
      </c>
      <c r="I33" s="59" t="s">
        <v>38</v>
      </c>
      <c r="J33" s="125" t="s">
        <v>38</v>
      </c>
      <c r="K33" s="251" t="s">
        <v>38</v>
      </c>
      <c r="L33" s="253"/>
      <c r="M33" s="251" t="s">
        <v>207</v>
      </c>
      <c r="N33" s="252"/>
      <c r="O33" s="166" t="s">
        <v>44</v>
      </c>
      <c r="P33" s="59" t="s">
        <v>38</v>
      </c>
      <c r="Q33" s="114" t="s">
        <v>38</v>
      </c>
      <c r="R33" s="55" t="s">
        <v>38</v>
      </c>
      <c r="S33" s="114" t="s">
        <v>181</v>
      </c>
      <c r="T33" s="59" t="s">
        <v>181</v>
      </c>
      <c r="U33" s="19" t="s">
        <v>146</v>
      </c>
      <c r="W33" s="158" t="e">
        <f>IF(I33=0,"-",(J33/I33))</f>
        <v>#VALUE!</v>
      </c>
      <c r="X33" s="158" t="e">
        <f>IF(K33=0,"-",(J33/K33))</f>
        <v>#VALUE!</v>
      </c>
    </row>
    <row r="34" spans="1:24" x14ac:dyDescent="0.25">
      <c r="A34" s="140" t="s">
        <v>36</v>
      </c>
      <c r="B34" s="41" t="s">
        <v>25</v>
      </c>
      <c r="C34" s="178"/>
      <c r="D34" s="22"/>
      <c r="E34" s="93"/>
      <c r="F34" s="93"/>
      <c r="G34" s="93"/>
      <c r="H34" s="93"/>
      <c r="I34" s="93"/>
      <c r="J34" s="93"/>
      <c r="K34" s="20"/>
      <c r="L34" s="20"/>
      <c r="M34" s="20"/>
      <c r="N34" s="20"/>
      <c r="O34" s="93"/>
      <c r="P34" s="93"/>
      <c r="Q34" s="93"/>
      <c r="R34" s="99"/>
      <c r="S34" s="102" t="s">
        <v>13</v>
      </c>
      <c r="T34" s="22"/>
      <c r="U34" s="12"/>
    </row>
    <row r="35" spans="1:24" ht="15.75" thickBot="1" x14ac:dyDescent="0.3">
      <c r="A35" s="140" t="s">
        <v>36</v>
      </c>
      <c r="B35" s="113" t="s">
        <v>77</v>
      </c>
      <c r="C35" s="28"/>
      <c r="D35" s="128" t="s">
        <v>12</v>
      </c>
      <c r="E35" s="112" t="s">
        <v>12</v>
      </c>
      <c r="F35" s="72" t="s">
        <v>12</v>
      </c>
      <c r="G35" s="115" t="s">
        <v>131</v>
      </c>
      <c r="H35" s="26" t="s">
        <v>169</v>
      </c>
      <c r="I35" s="161" t="s">
        <v>12</v>
      </c>
      <c r="J35" s="112" t="s">
        <v>12</v>
      </c>
      <c r="K35" s="249" t="s">
        <v>12</v>
      </c>
      <c r="L35" s="254"/>
      <c r="M35" s="249" t="s">
        <v>129</v>
      </c>
      <c r="N35" s="250"/>
      <c r="O35" s="26" t="s">
        <v>44</v>
      </c>
      <c r="P35" s="21" t="s">
        <v>12</v>
      </c>
      <c r="Q35" s="72" t="s">
        <v>12</v>
      </c>
      <c r="R35" s="66" t="s">
        <v>12</v>
      </c>
      <c r="S35" s="161" t="s">
        <v>141</v>
      </c>
      <c r="T35" s="89"/>
      <c r="U35" s="27"/>
    </row>
    <row r="36" spans="1:24" ht="15.75" thickBot="1" x14ac:dyDescent="0.3">
      <c r="A36" s="140" t="s">
        <v>36</v>
      </c>
      <c r="B36" s="246" t="s">
        <v>7</v>
      </c>
      <c r="C36" s="247"/>
      <c r="D36" s="247"/>
      <c r="E36" s="247"/>
      <c r="F36" s="247"/>
      <c r="G36" s="247"/>
      <c r="H36" s="247"/>
      <c r="I36" s="247"/>
      <c r="J36" s="247"/>
      <c r="K36" s="247"/>
      <c r="L36" s="247"/>
      <c r="M36" s="247"/>
      <c r="N36" s="247"/>
      <c r="O36" s="247"/>
      <c r="P36" s="247"/>
      <c r="Q36" s="247"/>
      <c r="R36" s="247"/>
      <c r="S36" s="247"/>
      <c r="T36" s="247"/>
      <c r="U36" s="248"/>
    </row>
    <row r="37" spans="1:24" x14ac:dyDescent="0.25">
      <c r="A37" s="140" t="s">
        <v>36</v>
      </c>
      <c r="B37" s="7" t="s">
        <v>20</v>
      </c>
      <c r="C37" s="71"/>
      <c r="D37" s="16"/>
      <c r="E37" s="16"/>
      <c r="F37" s="16"/>
      <c r="G37" s="16"/>
      <c r="H37" s="16"/>
      <c r="I37" s="16"/>
      <c r="J37" s="16"/>
      <c r="K37" s="16"/>
      <c r="L37" s="16"/>
      <c r="M37" s="244" t="s">
        <v>178</v>
      </c>
      <c r="N37" s="245"/>
      <c r="O37" s="162" t="s">
        <v>48</v>
      </c>
      <c r="P37" s="16"/>
      <c r="Q37" s="16"/>
      <c r="R37" s="16"/>
      <c r="S37" s="16"/>
      <c r="T37" s="16"/>
      <c r="U37" s="39"/>
    </row>
    <row r="38" spans="1:24" ht="15.75" thickBot="1" x14ac:dyDescent="0.3">
      <c r="A38" s="140" t="s">
        <v>36</v>
      </c>
      <c r="B38" s="31" t="s">
        <v>211</v>
      </c>
      <c r="C38" s="81"/>
      <c r="D38" s="160"/>
      <c r="E38" s="50"/>
      <c r="F38" s="50"/>
      <c r="G38" s="50"/>
      <c r="H38" s="50"/>
      <c r="I38" s="50"/>
      <c r="J38" s="50"/>
      <c r="K38" s="50"/>
      <c r="L38" s="50"/>
      <c r="M38" s="242" t="s">
        <v>17</v>
      </c>
      <c r="N38" s="243"/>
      <c r="O38" s="134" t="s">
        <v>17</v>
      </c>
      <c r="P38" s="50"/>
      <c r="Q38" s="50"/>
      <c r="R38" s="50"/>
      <c r="S38" s="4" t="s">
        <v>120</v>
      </c>
      <c r="T38" s="4" t="s">
        <v>95</v>
      </c>
      <c r="U38" s="107" t="s">
        <v>146</v>
      </c>
    </row>
    <row r="39" spans="1:24" x14ac:dyDescent="0.25">
      <c r="A39" s="140" t="s">
        <v>36</v>
      </c>
      <c r="I39" s="241" t="s">
        <v>100</v>
      </c>
      <c r="J39" s="241"/>
      <c r="K39" s="241"/>
      <c r="L39" s="241"/>
      <c r="M39" s="241"/>
      <c r="N39" s="241"/>
    </row>
    <row r="40" spans="1:24" x14ac:dyDescent="0.25">
      <c r="A40" s="140" t="s">
        <v>36</v>
      </c>
      <c r="B40" s="207" t="s">
        <v>61</v>
      </c>
      <c r="C40" s="207"/>
      <c r="D40" s="207"/>
      <c r="E40" s="207"/>
      <c r="F40" s="207"/>
      <c r="G40" s="207"/>
      <c r="H40" s="207"/>
      <c r="I40" s="207"/>
      <c r="J40" s="207"/>
      <c r="K40" s="207"/>
      <c r="L40" s="207"/>
      <c r="M40" s="207"/>
      <c r="N40" s="207"/>
      <c r="O40" s="207"/>
      <c r="P40" s="207"/>
      <c r="Q40" s="207"/>
      <c r="R40" s="207"/>
      <c r="S40" s="207"/>
      <c r="T40" s="207"/>
      <c r="U40" s="207"/>
    </row>
    <row r="41" spans="1:24" x14ac:dyDescent="0.25">
      <c r="A41" s="140"/>
      <c r="B41" s="151"/>
      <c r="C41" s="151"/>
      <c r="D41" s="151"/>
      <c r="E41" s="151"/>
      <c r="F41" s="151"/>
      <c r="G41" s="151"/>
      <c r="H41" s="151"/>
      <c r="I41" s="151"/>
      <c r="J41" s="151"/>
      <c r="K41" s="151"/>
      <c r="L41" s="151"/>
      <c r="M41" s="151"/>
      <c r="N41" s="151"/>
      <c r="O41" s="151"/>
      <c r="P41" s="151"/>
      <c r="Q41" s="151"/>
      <c r="R41" s="151"/>
      <c r="S41" s="151"/>
      <c r="T41" s="151"/>
      <c r="U41" s="151"/>
    </row>
    <row r="42" spans="1:24" x14ac:dyDescent="0.25">
      <c r="A42" s="140" t="s">
        <v>36</v>
      </c>
      <c r="B42" s="151"/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O42" s="78" t="e">
        <f>T33-K33</f>
        <v>#VALUE!</v>
      </c>
      <c r="P42" s="151"/>
      <c r="Q42" s="151"/>
      <c r="R42" s="151"/>
      <c r="S42" s="122" t="s">
        <v>166</v>
      </c>
      <c r="T42" s="151"/>
      <c r="U42" s="151"/>
    </row>
    <row r="43" spans="1:24" x14ac:dyDescent="0.25">
      <c r="A43" s="140" t="s">
        <v>36</v>
      </c>
      <c r="B43" s="151"/>
      <c r="C43" s="151"/>
      <c r="D43" s="151"/>
      <c r="E43" s="151"/>
      <c r="F43" s="151"/>
      <c r="G43" s="151"/>
      <c r="H43" s="151"/>
      <c r="I43" s="151"/>
      <c r="J43" s="151"/>
      <c r="K43" s="151"/>
      <c r="L43" s="151"/>
      <c r="M43" s="151"/>
      <c r="O43" s="78" t="e">
        <f>S33-J33</f>
        <v>#VALUE!</v>
      </c>
      <c r="P43" s="151"/>
      <c r="Q43" s="151"/>
      <c r="R43" s="151"/>
      <c r="S43" s="122" t="s">
        <v>168</v>
      </c>
      <c r="T43" s="151"/>
      <c r="U43" s="151"/>
    </row>
    <row r="44" spans="1:24" x14ac:dyDescent="0.25">
      <c r="A44" s="140" t="s">
        <v>36</v>
      </c>
      <c r="B44" s="151"/>
      <c r="C44" s="151"/>
      <c r="D44" s="151"/>
      <c r="E44" s="151"/>
      <c r="F44" s="151"/>
      <c r="G44" s="151"/>
      <c r="H44" s="151"/>
      <c r="I44" s="151"/>
      <c r="J44" s="151"/>
      <c r="K44" s="151"/>
      <c r="L44" s="151"/>
      <c r="M44" s="151"/>
      <c r="O44" s="23" t="e">
        <f>S34/O42</f>
        <v>#VALUE!</v>
      </c>
      <c r="P44" s="151"/>
      <c r="Q44" s="151"/>
      <c r="R44" s="151"/>
      <c r="S44" s="122" t="s">
        <v>148</v>
      </c>
      <c r="T44" s="151"/>
      <c r="U44" s="151"/>
    </row>
    <row r="45" spans="1:24" x14ac:dyDescent="0.25">
      <c r="A45" s="140" t="s">
        <v>36</v>
      </c>
      <c r="B45" s="151"/>
      <c r="C45" s="151"/>
      <c r="D45" s="151"/>
      <c r="E45" s="151"/>
      <c r="F45" s="151"/>
      <c r="G45" s="151"/>
      <c r="H45" s="151"/>
      <c r="I45" s="151"/>
      <c r="J45" s="151"/>
      <c r="K45" s="151"/>
      <c r="L45" s="151"/>
      <c r="M45" s="151"/>
      <c r="O45" s="23" t="e">
        <f>S34/O43</f>
        <v>#VALUE!</v>
      </c>
      <c r="P45" s="151"/>
      <c r="Q45" s="151"/>
      <c r="R45" s="151"/>
      <c r="S45" s="122" t="s">
        <v>108</v>
      </c>
      <c r="T45" s="151"/>
      <c r="U45" s="151"/>
    </row>
    <row r="46" spans="1:24" x14ac:dyDescent="0.25">
      <c r="A46" s="140" t="s">
        <v>36</v>
      </c>
      <c r="B46" s="151"/>
      <c r="C46" s="151"/>
      <c r="D46" s="151"/>
      <c r="E46" s="151"/>
      <c r="F46" s="151"/>
      <c r="G46" s="151"/>
      <c r="H46" s="151"/>
      <c r="I46" s="151"/>
      <c r="J46" s="151"/>
      <c r="K46" s="151"/>
      <c r="L46" s="151"/>
      <c r="M46" s="151"/>
      <c r="N46" s="151"/>
      <c r="O46" s="23" t="e">
        <f>I33/S33</f>
        <v>#VALUE!</v>
      </c>
      <c r="P46" s="151"/>
      <c r="Q46" s="151"/>
      <c r="R46" s="151"/>
      <c r="S46" s="122" t="s">
        <v>118</v>
      </c>
      <c r="T46" s="151"/>
      <c r="U46" s="151"/>
    </row>
    <row r="47" spans="1:24" x14ac:dyDescent="0.25">
      <c r="A47" s="140" t="s">
        <v>36</v>
      </c>
      <c r="B47" s="151"/>
      <c r="C47" s="151"/>
      <c r="D47" s="151"/>
      <c r="E47" s="151"/>
      <c r="F47" s="151"/>
      <c r="G47" s="151"/>
      <c r="H47" s="151"/>
      <c r="I47" s="151"/>
      <c r="J47" s="151"/>
      <c r="K47" s="151"/>
      <c r="L47" s="151"/>
      <c r="M47" s="151"/>
      <c r="N47" s="151"/>
      <c r="O47" s="23" t="e">
        <f>J33/S33</f>
        <v>#VALUE!</v>
      </c>
      <c r="P47" s="151"/>
      <c r="Q47" s="151"/>
      <c r="R47" s="151"/>
      <c r="S47" s="122" t="s">
        <v>160</v>
      </c>
      <c r="T47" s="151"/>
      <c r="U47" s="151"/>
    </row>
    <row r="48" spans="1:24" x14ac:dyDescent="0.25">
      <c r="A48" s="140" t="s">
        <v>36</v>
      </c>
      <c r="B48" s="151"/>
      <c r="C48" s="151"/>
      <c r="D48" s="151"/>
      <c r="E48" s="151"/>
      <c r="F48" s="151"/>
      <c r="G48" s="151"/>
      <c r="H48" s="151"/>
      <c r="I48" s="151"/>
      <c r="J48" s="151"/>
      <c r="K48" s="151"/>
      <c r="L48" s="151"/>
      <c r="M48" s="151"/>
      <c r="N48" s="151"/>
      <c r="O48" s="23" t="e">
        <f>K33/S33</f>
        <v>#VALUE!</v>
      </c>
      <c r="P48" s="151"/>
      <c r="Q48" s="151"/>
      <c r="R48" s="151"/>
      <c r="S48" s="122" t="s">
        <v>85</v>
      </c>
      <c r="T48" s="151"/>
      <c r="U48" s="151"/>
    </row>
    <row r="49" spans="1:21" x14ac:dyDescent="0.25">
      <c r="A49" s="140"/>
      <c r="B49" s="151"/>
      <c r="C49" s="151"/>
      <c r="D49" s="151"/>
      <c r="E49" s="151"/>
      <c r="F49" s="151"/>
      <c r="G49" s="151"/>
      <c r="H49" s="151"/>
      <c r="I49" s="151"/>
      <c r="J49" s="151"/>
      <c r="K49" s="151"/>
      <c r="L49" s="151"/>
      <c r="M49" s="151"/>
      <c r="N49" s="151"/>
      <c r="O49" s="151"/>
      <c r="P49" s="151"/>
      <c r="Q49" s="151"/>
      <c r="R49" s="151"/>
      <c r="S49" s="151"/>
      <c r="T49" s="151"/>
      <c r="U49" s="151"/>
    </row>
    <row r="50" spans="1:21" x14ac:dyDescent="0.25">
      <c r="A50" s="140"/>
      <c r="B50" s="151"/>
      <c r="C50" s="151"/>
      <c r="D50" s="151"/>
      <c r="E50" s="151"/>
      <c r="F50" s="151"/>
      <c r="G50" s="151"/>
      <c r="H50" s="151"/>
      <c r="I50" s="151"/>
      <c r="J50" s="151"/>
      <c r="K50" s="151"/>
      <c r="L50" s="151"/>
      <c r="M50" s="151"/>
      <c r="N50" s="151"/>
      <c r="O50" s="151"/>
      <c r="P50" s="151"/>
      <c r="Q50" s="151"/>
      <c r="R50" s="151"/>
      <c r="S50" s="151"/>
      <c r="T50" s="151"/>
      <c r="U50" s="151"/>
    </row>
    <row r="51" spans="1:21" x14ac:dyDescent="0.25">
      <c r="A51" s="42" t="s">
        <v>5</v>
      </c>
      <c r="B51" s="151"/>
      <c r="C51" s="151"/>
      <c r="D51" s="151"/>
      <c r="E51" s="151"/>
      <c r="F51" s="151"/>
      <c r="G51" s="151"/>
      <c r="H51" s="151"/>
      <c r="I51" s="151"/>
      <c r="J51" s="151"/>
      <c r="K51" s="151"/>
      <c r="L51" s="151"/>
      <c r="M51" s="151"/>
      <c r="N51" s="151"/>
      <c r="O51" s="151"/>
      <c r="P51" s="151"/>
      <c r="Q51" s="151"/>
      <c r="R51" s="151"/>
      <c r="S51" s="151"/>
      <c r="T51" s="151"/>
      <c r="U51" s="151"/>
    </row>
    <row r="52" spans="1:21" x14ac:dyDescent="0.25">
      <c r="A52" s="42" t="s">
        <v>5</v>
      </c>
      <c r="B52" s="257" t="s">
        <v>4</v>
      </c>
      <c r="C52" s="257"/>
      <c r="D52" s="257"/>
      <c r="E52" s="257"/>
      <c r="F52" s="257"/>
      <c r="G52" s="257"/>
      <c r="H52" s="257"/>
      <c r="I52" s="257"/>
      <c r="J52" s="257"/>
      <c r="K52" s="257"/>
      <c r="L52" s="257"/>
      <c r="M52" s="257"/>
      <c r="N52" s="257"/>
      <c r="O52" s="257"/>
      <c r="P52" s="257"/>
      <c r="Q52" s="257"/>
      <c r="R52" s="257"/>
      <c r="S52" s="257"/>
      <c r="T52" s="257"/>
      <c r="U52" s="257"/>
    </row>
    <row r="53" spans="1:21" x14ac:dyDescent="0.25">
      <c r="A53" s="42" t="s">
        <v>5</v>
      </c>
      <c r="B53" s="259" t="s">
        <v>84</v>
      </c>
      <c r="C53" s="259"/>
      <c r="D53" s="259"/>
      <c r="E53" s="259"/>
      <c r="F53" s="259"/>
      <c r="G53" s="259"/>
      <c r="H53" s="259"/>
      <c r="I53" s="259"/>
      <c r="J53" s="259"/>
      <c r="K53" s="259"/>
      <c r="L53" s="259"/>
      <c r="M53" s="259"/>
      <c r="N53" s="259"/>
      <c r="O53" s="259"/>
      <c r="P53" s="259"/>
      <c r="Q53" s="259"/>
      <c r="R53" s="259"/>
      <c r="S53" s="259"/>
      <c r="T53" s="259"/>
      <c r="U53" s="259"/>
    </row>
    <row r="54" spans="1:21" x14ac:dyDescent="0.25">
      <c r="A54" s="42" t="s">
        <v>5</v>
      </c>
      <c r="B54" s="259" t="s">
        <v>198</v>
      </c>
      <c r="C54" s="259"/>
      <c r="D54" s="259"/>
      <c r="E54" s="259"/>
      <c r="F54" s="259"/>
      <c r="G54" s="259"/>
      <c r="H54" s="259"/>
      <c r="I54" s="259"/>
      <c r="J54" s="259"/>
      <c r="K54" s="259"/>
      <c r="L54" s="259"/>
      <c r="M54" s="259"/>
      <c r="N54" s="259"/>
      <c r="O54" s="259"/>
      <c r="P54" s="259"/>
      <c r="Q54" s="259"/>
      <c r="R54" s="259"/>
      <c r="S54" s="259"/>
      <c r="T54" s="259"/>
      <c r="U54" s="259"/>
    </row>
    <row r="55" spans="1:21" x14ac:dyDescent="0.25">
      <c r="A55" s="42" t="s">
        <v>5</v>
      </c>
      <c r="B55" s="259" t="s">
        <v>45</v>
      </c>
      <c r="C55" s="259"/>
      <c r="D55" s="259"/>
      <c r="E55" s="259"/>
      <c r="F55" s="259"/>
      <c r="G55" s="259"/>
      <c r="H55" s="259"/>
      <c r="I55" s="259"/>
      <c r="J55" s="259"/>
      <c r="K55" s="259"/>
      <c r="L55" s="259"/>
      <c r="M55" s="259"/>
      <c r="N55" s="259"/>
      <c r="O55" s="259"/>
      <c r="P55" s="259"/>
      <c r="Q55" s="259"/>
      <c r="R55" s="259"/>
      <c r="S55" s="259"/>
      <c r="T55" s="259"/>
      <c r="U55" s="259"/>
    </row>
    <row r="56" spans="1:21" x14ac:dyDescent="0.25">
      <c r="A56" s="42" t="s">
        <v>5</v>
      </c>
      <c r="B56" s="256" t="s">
        <v>49</v>
      </c>
      <c r="C56" s="256"/>
      <c r="D56" s="256"/>
      <c r="E56" s="256"/>
      <c r="F56" s="256"/>
      <c r="G56" s="256"/>
      <c r="H56" s="256"/>
      <c r="I56" s="256"/>
      <c r="J56" s="256"/>
      <c r="K56" s="256"/>
      <c r="L56" s="256"/>
      <c r="M56" s="256"/>
      <c r="N56" s="256"/>
      <c r="O56" s="256"/>
      <c r="P56" s="256"/>
      <c r="Q56" s="256"/>
      <c r="R56" s="256"/>
      <c r="S56" s="256"/>
      <c r="T56" s="256"/>
      <c r="U56" s="256"/>
    </row>
    <row r="57" spans="1:21" x14ac:dyDescent="0.25">
      <c r="O57" s="140"/>
      <c r="P57" s="108"/>
      <c r="Q57" s="108"/>
      <c r="R57" s="108"/>
      <c r="S57" s="61" t="s">
        <v>125</v>
      </c>
      <c r="T57" s="61" t="s">
        <v>101</v>
      </c>
      <c r="U57" s="61" t="s">
        <v>107</v>
      </c>
    </row>
    <row r="58" spans="1:21" x14ac:dyDescent="0.25">
      <c r="O58" s="140"/>
      <c r="P58" s="140"/>
      <c r="Q58" s="140"/>
      <c r="S58" s="86" t="s">
        <v>106</v>
      </c>
      <c r="T58" s="154" t="s">
        <v>105</v>
      </c>
      <c r="U58" s="36" t="s">
        <v>107</v>
      </c>
    </row>
    <row r="59" spans="1:21" x14ac:dyDescent="0.25">
      <c r="O59" s="140"/>
      <c r="P59" s="140"/>
      <c r="Q59" s="140"/>
    </row>
    <row r="61" spans="1:21" x14ac:dyDescent="0.25">
      <c r="O61" s="61"/>
    </row>
  </sheetData>
  <mergeCells count="68">
    <mergeCell ref="H14:I14"/>
    <mergeCell ref="K35:L35"/>
    <mergeCell ref="M28:N28"/>
    <mergeCell ref="I1:N1"/>
    <mergeCell ref="S24:U24"/>
    <mergeCell ref="B12:U12"/>
    <mergeCell ref="B16:I16"/>
    <mergeCell ref="S15:U15"/>
    <mergeCell ref="J15:L15"/>
    <mergeCell ref="F15:G15"/>
    <mergeCell ref="M15:O15"/>
    <mergeCell ref="F13:G13"/>
    <mergeCell ref="J14:L14"/>
    <mergeCell ref="F3:Q3"/>
    <mergeCell ref="F4:Q4"/>
    <mergeCell ref="B2:U2"/>
    <mergeCell ref="D14:E14"/>
    <mergeCell ref="M31:N31"/>
    <mergeCell ref="M33:N33"/>
    <mergeCell ref="K30:L30"/>
    <mergeCell ref="B20:C20"/>
    <mergeCell ref="K27:L27"/>
    <mergeCell ref="K33:L33"/>
    <mergeCell ref="H15:I15"/>
    <mergeCell ref="M27:N27"/>
    <mergeCell ref="B22:C22"/>
    <mergeCell ref="B21:C21"/>
    <mergeCell ref="M30:N30"/>
    <mergeCell ref="D15:E15"/>
    <mergeCell ref="B28:C28"/>
    <mergeCell ref="K29:L29"/>
    <mergeCell ref="J16:U16"/>
    <mergeCell ref="B56:U56"/>
    <mergeCell ref="B52:U52"/>
    <mergeCell ref="B53:U53"/>
    <mergeCell ref="B54:U54"/>
    <mergeCell ref="B55:U55"/>
    <mergeCell ref="I39:N39"/>
    <mergeCell ref="K28:L28"/>
    <mergeCell ref="M38:N38"/>
    <mergeCell ref="M37:N37"/>
    <mergeCell ref="M29:N29"/>
    <mergeCell ref="B36:U36"/>
    <mergeCell ref="K31:L31"/>
    <mergeCell ref="M35:N35"/>
    <mergeCell ref="B40:U40"/>
    <mergeCell ref="D13:E13"/>
    <mergeCell ref="M26:N26"/>
    <mergeCell ref="B24:C24"/>
    <mergeCell ref="D24:H24"/>
    <mergeCell ref="B27:C27"/>
    <mergeCell ref="H13:I13"/>
    <mergeCell ref="F14:G14"/>
    <mergeCell ref="B25:C25"/>
    <mergeCell ref="J13:L13"/>
    <mergeCell ref="B23:U23"/>
    <mergeCell ref="M25:O25"/>
    <mergeCell ref="B26:C26"/>
    <mergeCell ref="I24:O24"/>
    <mergeCell ref="K26:L26"/>
    <mergeCell ref="M14:O14"/>
    <mergeCell ref="P13:R13"/>
    <mergeCell ref="P15:R15"/>
    <mergeCell ref="J19:N19"/>
    <mergeCell ref="M13:O13"/>
    <mergeCell ref="K25:L25"/>
    <mergeCell ref="P19:R19"/>
    <mergeCell ref="P24:R25"/>
  </mergeCells>
  <pageMargins left="0.2" right="0.2" top="0.5" bottom="0.5" header="0.3" footer="0.3"/>
  <pageSetup paperSize="9" scale="46" fitToHeight="100" pageOrder="overThenDown" orientation="landscape"/>
  <headerFooter>
    <oddHeader>&amp;L{CostProject.Id}&amp;R{CostProject.Description}</oddHeader>
    <oddFooter>&amp;L(c) Deltek, Inc.&amp;C&amp;P of &amp;N&amp;RDate Printed: {ReportCreatedDateTime}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4"/>
  <sheetViews>
    <sheetView workbookViewId="0"/>
  </sheetViews>
  <sheetFormatPr defaultColWidth="20.85546875" defaultRowHeight="15" x14ac:dyDescent="0.25"/>
  <sheetData>
    <row r="1" spans="1:3" x14ac:dyDescent="0.25">
      <c r="A1" s="168" t="s">
        <v>47</v>
      </c>
      <c r="B1" s="168" t="s">
        <v>179</v>
      </c>
      <c r="C1" s="168" t="s">
        <v>199</v>
      </c>
    </row>
    <row r="2" spans="1:3" x14ac:dyDescent="0.25">
      <c r="A2" s="5">
        <v>44196</v>
      </c>
      <c r="B2" s="168" t="s">
        <v>128</v>
      </c>
      <c r="C2">
        <v>10488</v>
      </c>
    </row>
    <row r="3" spans="1:3" x14ac:dyDescent="0.25">
      <c r="A3" s="5">
        <v>44227</v>
      </c>
      <c r="B3" s="168" t="s">
        <v>31</v>
      </c>
      <c r="C3">
        <v>152</v>
      </c>
    </row>
    <row r="4" spans="1:3" x14ac:dyDescent="0.25">
      <c r="A4" s="5">
        <v>45930</v>
      </c>
      <c r="B4" s="168" t="s">
        <v>26</v>
      </c>
      <c r="C4">
        <v>9344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67"/>
  <sheetViews>
    <sheetView workbookViewId="0"/>
  </sheetViews>
  <sheetFormatPr defaultColWidth="20.85546875" defaultRowHeight="15" x14ac:dyDescent="0.25"/>
  <sheetData>
    <row r="1" spans="1:5" x14ac:dyDescent="0.25">
      <c r="A1" s="168" t="s">
        <v>104</v>
      </c>
      <c r="B1" s="168" t="s">
        <v>204</v>
      </c>
      <c r="C1" s="168" t="s">
        <v>47</v>
      </c>
      <c r="D1" s="168" t="s">
        <v>147</v>
      </c>
      <c r="E1" s="168" t="s">
        <v>72</v>
      </c>
    </row>
    <row r="2" spans="1:5" x14ac:dyDescent="0.25">
      <c r="A2" s="168" t="s">
        <v>11</v>
      </c>
      <c r="B2" s="168" t="s">
        <v>165</v>
      </c>
      <c r="C2" s="5">
        <v>44196</v>
      </c>
      <c r="D2" s="176">
        <v>1806314.4568</v>
      </c>
      <c r="E2" t="b">
        <v>1</v>
      </c>
    </row>
    <row r="3" spans="1:5" x14ac:dyDescent="0.25">
      <c r="A3" s="168" t="s">
        <v>11</v>
      </c>
      <c r="B3" s="168" t="s">
        <v>165</v>
      </c>
      <c r="C3" s="5">
        <v>44227</v>
      </c>
      <c r="D3" s="176">
        <v>13540.0731</v>
      </c>
      <c r="E3" t="b">
        <v>1</v>
      </c>
    </row>
    <row r="4" spans="1:5" x14ac:dyDescent="0.25">
      <c r="A4" s="168" t="s">
        <v>11</v>
      </c>
      <c r="B4" s="168" t="s">
        <v>165</v>
      </c>
      <c r="C4" s="5">
        <v>45930</v>
      </c>
      <c r="D4" s="176">
        <v>131824.00109999999</v>
      </c>
      <c r="E4" t="b">
        <v>1</v>
      </c>
    </row>
    <row r="5" spans="1:5" x14ac:dyDescent="0.25">
      <c r="A5" s="168" t="s">
        <v>11</v>
      </c>
      <c r="B5" s="168" t="s">
        <v>162</v>
      </c>
      <c r="C5" s="5">
        <v>44196</v>
      </c>
      <c r="D5" s="176">
        <v>1806314.4568</v>
      </c>
      <c r="E5" t="b">
        <v>1</v>
      </c>
    </row>
    <row r="6" spans="1:5" x14ac:dyDescent="0.25">
      <c r="A6" s="168" t="s">
        <v>11</v>
      </c>
      <c r="B6" s="168" t="s">
        <v>162</v>
      </c>
      <c r="C6" s="5">
        <v>44227</v>
      </c>
      <c r="D6" s="176">
        <v>13540.0731</v>
      </c>
      <c r="E6" t="b">
        <v>1</v>
      </c>
    </row>
    <row r="7" spans="1:5" x14ac:dyDescent="0.25">
      <c r="A7" s="168" t="s">
        <v>11</v>
      </c>
      <c r="B7" s="168" t="s">
        <v>188</v>
      </c>
      <c r="C7" s="5">
        <v>44196</v>
      </c>
      <c r="D7" s="176">
        <v>1661867.75</v>
      </c>
      <c r="E7" t="b">
        <v>1</v>
      </c>
    </row>
    <row r="8" spans="1:5" x14ac:dyDescent="0.25">
      <c r="A8" s="168" t="s">
        <v>11</v>
      </c>
      <c r="B8" s="168" t="s">
        <v>188</v>
      </c>
      <c r="C8" s="5">
        <v>44227</v>
      </c>
      <c r="D8" s="176">
        <v>20399.349999999999</v>
      </c>
      <c r="E8" t="b">
        <v>1</v>
      </c>
    </row>
    <row r="9" spans="1:5" x14ac:dyDescent="0.25">
      <c r="A9" s="168" t="s">
        <v>11</v>
      </c>
      <c r="B9" s="168" t="s">
        <v>15</v>
      </c>
      <c r="C9" s="5">
        <v>44196</v>
      </c>
      <c r="D9" s="176">
        <v>1661867.75</v>
      </c>
      <c r="E9" t="b">
        <v>1</v>
      </c>
    </row>
    <row r="10" spans="1:5" x14ac:dyDescent="0.25">
      <c r="A10" s="168" t="s">
        <v>11</v>
      </c>
      <c r="B10" s="168" t="s">
        <v>15</v>
      </c>
      <c r="C10" s="5">
        <v>44227</v>
      </c>
      <c r="D10" s="176">
        <v>20399.349999999999</v>
      </c>
      <c r="E10" t="b">
        <v>1</v>
      </c>
    </row>
    <row r="11" spans="1:5" x14ac:dyDescent="0.25">
      <c r="A11" s="168" t="s">
        <v>11</v>
      </c>
      <c r="B11" s="168" t="s">
        <v>15</v>
      </c>
      <c r="C11" s="5">
        <v>45930</v>
      </c>
      <c r="D11" s="176">
        <v>131824.00109999999</v>
      </c>
      <c r="E11" t="b">
        <v>1</v>
      </c>
    </row>
    <row r="12" spans="1:5" x14ac:dyDescent="0.25">
      <c r="A12" s="168" t="s">
        <v>86</v>
      </c>
      <c r="B12" s="168" t="s">
        <v>165</v>
      </c>
      <c r="C12" s="5">
        <v>44196</v>
      </c>
      <c r="D12" s="176">
        <v>3091105.6025</v>
      </c>
      <c r="E12" t="b">
        <v>1</v>
      </c>
    </row>
    <row r="13" spans="1:5" x14ac:dyDescent="0.25">
      <c r="A13" s="168" t="s">
        <v>86</v>
      </c>
      <c r="B13" s="168" t="s">
        <v>165</v>
      </c>
      <c r="C13" s="5">
        <v>44227</v>
      </c>
      <c r="D13" s="176">
        <v>1001180.5316</v>
      </c>
      <c r="E13" t="b">
        <v>1</v>
      </c>
    </row>
    <row r="14" spans="1:5" x14ac:dyDescent="0.25">
      <c r="A14" s="168" t="s">
        <v>86</v>
      </c>
      <c r="B14" s="168" t="s">
        <v>165</v>
      </c>
      <c r="C14" s="5">
        <v>45930</v>
      </c>
      <c r="D14" s="176">
        <v>934489.35549999995</v>
      </c>
      <c r="E14" t="b">
        <v>1</v>
      </c>
    </row>
    <row r="15" spans="1:5" x14ac:dyDescent="0.25">
      <c r="A15" s="168" t="s">
        <v>86</v>
      </c>
      <c r="B15" s="168" t="s">
        <v>162</v>
      </c>
      <c r="C15" s="5">
        <v>44196</v>
      </c>
      <c r="D15" s="176">
        <v>2541328.7185999998</v>
      </c>
      <c r="E15" t="b">
        <v>1</v>
      </c>
    </row>
    <row r="16" spans="1:5" x14ac:dyDescent="0.25">
      <c r="A16" s="168" t="s">
        <v>86</v>
      </c>
      <c r="B16" s="168" t="s">
        <v>162</v>
      </c>
      <c r="C16" s="5">
        <v>44227</v>
      </c>
      <c r="D16" s="176">
        <v>166053.4405</v>
      </c>
      <c r="E16" t="b">
        <v>1</v>
      </c>
    </row>
    <row r="17" spans="1:5" x14ac:dyDescent="0.25">
      <c r="A17" s="168" t="s">
        <v>86</v>
      </c>
      <c r="B17" s="168" t="s">
        <v>188</v>
      </c>
      <c r="C17" s="5">
        <v>44196</v>
      </c>
      <c r="D17" s="176">
        <v>2228659.35</v>
      </c>
      <c r="E17" t="b">
        <v>1</v>
      </c>
    </row>
    <row r="18" spans="1:5" x14ac:dyDescent="0.25">
      <c r="A18" s="168" t="s">
        <v>86</v>
      </c>
      <c r="B18" s="168" t="s">
        <v>188</v>
      </c>
      <c r="C18" s="5">
        <v>44227</v>
      </c>
      <c r="D18" s="176">
        <v>266595.96999999997</v>
      </c>
      <c r="E18" t="b">
        <v>1</v>
      </c>
    </row>
    <row r="19" spans="1:5" x14ac:dyDescent="0.25">
      <c r="A19" s="168" t="s">
        <v>86</v>
      </c>
      <c r="B19" s="168" t="s">
        <v>15</v>
      </c>
      <c r="C19" s="5">
        <v>44196</v>
      </c>
      <c r="D19" s="176">
        <v>2228659.35</v>
      </c>
      <c r="E19" t="b">
        <v>1</v>
      </c>
    </row>
    <row r="20" spans="1:5" x14ac:dyDescent="0.25">
      <c r="A20" s="168" t="s">
        <v>86</v>
      </c>
      <c r="B20" s="168" t="s">
        <v>15</v>
      </c>
      <c r="C20" s="5">
        <v>44227</v>
      </c>
      <c r="D20" s="176">
        <v>266595.96999999997</v>
      </c>
      <c r="E20" t="b">
        <v>1</v>
      </c>
    </row>
    <row r="21" spans="1:5" x14ac:dyDescent="0.25">
      <c r="A21" s="168" t="s">
        <v>86</v>
      </c>
      <c r="B21" s="168" t="s">
        <v>15</v>
      </c>
      <c r="C21" s="5">
        <v>45930</v>
      </c>
      <c r="D21" s="176">
        <v>2171812.5364000001</v>
      </c>
      <c r="E21" t="b">
        <v>1</v>
      </c>
    </row>
    <row r="22" spans="1:5" x14ac:dyDescent="0.25">
      <c r="A22" s="168" t="s">
        <v>171</v>
      </c>
      <c r="B22" s="168" t="s">
        <v>165</v>
      </c>
      <c r="C22" s="5">
        <v>44196</v>
      </c>
      <c r="D22" s="176">
        <v>4527963.7775999997</v>
      </c>
      <c r="E22" t="b">
        <v>1</v>
      </c>
    </row>
    <row r="23" spans="1:5" x14ac:dyDescent="0.25">
      <c r="A23" s="168" t="s">
        <v>171</v>
      </c>
      <c r="B23" s="168" t="s">
        <v>165</v>
      </c>
      <c r="C23" s="5">
        <v>44227</v>
      </c>
      <c r="D23" s="176">
        <v>435773.4743</v>
      </c>
      <c r="E23" t="b">
        <v>1</v>
      </c>
    </row>
    <row r="24" spans="1:5" x14ac:dyDescent="0.25">
      <c r="A24" s="168" t="s">
        <v>171</v>
      </c>
      <c r="B24" s="168" t="s">
        <v>165</v>
      </c>
      <c r="C24" s="5">
        <v>45930</v>
      </c>
      <c r="D24" s="176">
        <v>1106271.2156</v>
      </c>
      <c r="E24" t="b">
        <v>1</v>
      </c>
    </row>
    <row r="25" spans="1:5" x14ac:dyDescent="0.25">
      <c r="A25" s="168" t="s">
        <v>171</v>
      </c>
      <c r="B25" s="168" t="s">
        <v>162</v>
      </c>
      <c r="C25" s="5">
        <v>44196</v>
      </c>
      <c r="D25" s="176">
        <v>4284680.2149999999</v>
      </c>
      <c r="E25" t="b">
        <v>1</v>
      </c>
    </row>
    <row r="26" spans="1:5" x14ac:dyDescent="0.25">
      <c r="A26" s="168" t="s">
        <v>171</v>
      </c>
      <c r="B26" s="168" t="s">
        <v>162</v>
      </c>
      <c r="C26" s="5">
        <v>44227</v>
      </c>
      <c r="D26" s="176">
        <v>212598.008</v>
      </c>
      <c r="E26" t="b">
        <v>1</v>
      </c>
    </row>
    <row r="27" spans="1:5" x14ac:dyDescent="0.25">
      <c r="A27" s="168" t="s">
        <v>171</v>
      </c>
      <c r="B27" s="168" t="s">
        <v>188</v>
      </c>
      <c r="C27" s="5">
        <v>44196</v>
      </c>
      <c r="D27" s="176">
        <v>4511534.18</v>
      </c>
      <c r="E27" t="b">
        <v>1</v>
      </c>
    </row>
    <row r="28" spans="1:5" x14ac:dyDescent="0.25">
      <c r="A28" s="168" t="s">
        <v>171</v>
      </c>
      <c r="B28" s="168" t="s">
        <v>188</v>
      </c>
      <c r="C28" s="5">
        <v>44227</v>
      </c>
      <c r="D28" s="176">
        <v>264700.03000000003</v>
      </c>
      <c r="E28" t="b">
        <v>1</v>
      </c>
    </row>
    <row r="29" spans="1:5" x14ac:dyDescent="0.25">
      <c r="A29" s="168" t="s">
        <v>171</v>
      </c>
      <c r="B29" s="168" t="s">
        <v>15</v>
      </c>
      <c r="C29" s="5">
        <v>44196</v>
      </c>
      <c r="D29" s="176">
        <v>4511534.18</v>
      </c>
      <c r="E29" t="b">
        <v>1</v>
      </c>
    </row>
    <row r="30" spans="1:5" x14ac:dyDescent="0.25">
      <c r="A30" s="168" t="s">
        <v>171</v>
      </c>
      <c r="B30" s="168" t="s">
        <v>15</v>
      </c>
      <c r="C30" s="5">
        <v>44227</v>
      </c>
      <c r="D30" s="176">
        <v>264700.03000000003</v>
      </c>
      <c r="E30" t="b">
        <v>1</v>
      </c>
    </row>
    <row r="31" spans="1:5" x14ac:dyDescent="0.25">
      <c r="A31" s="168" t="s">
        <v>171</v>
      </c>
      <c r="B31" s="168" t="s">
        <v>15</v>
      </c>
      <c r="C31" s="5">
        <v>45930</v>
      </c>
      <c r="D31" s="176">
        <v>1599998.8744000001</v>
      </c>
      <c r="E31" t="b">
        <v>1</v>
      </c>
    </row>
    <row r="32" spans="1:5" x14ac:dyDescent="0.25">
      <c r="A32" s="168" t="s">
        <v>23</v>
      </c>
      <c r="B32" s="168" t="s">
        <v>165</v>
      </c>
      <c r="C32" s="5">
        <v>44196</v>
      </c>
      <c r="D32" s="176">
        <v>2813551.1098000002</v>
      </c>
      <c r="E32" t="b">
        <v>1</v>
      </c>
    </row>
    <row r="33" spans="1:5" x14ac:dyDescent="0.25">
      <c r="A33" s="168" t="s">
        <v>23</v>
      </c>
      <c r="B33" s="168" t="s">
        <v>165</v>
      </c>
      <c r="C33" s="5">
        <v>45930</v>
      </c>
      <c r="D33" s="176">
        <v>1329864.7124999999</v>
      </c>
      <c r="E33" t="b">
        <v>1</v>
      </c>
    </row>
    <row r="34" spans="1:5" x14ac:dyDescent="0.25">
      <c r="A34" s="168" t="s">
        <v>23</v>
      </c>
      <c r="B34" s="168" t="s">
        <v>162</v>
      </c>
      <c r="C34" s="5">
        <v>44196</v>
      </c>
      <c r="D34" s="176">
        <v>2523485.3117999998</v>
      </c>
      <c r="E34" t="b">
        <v>1</v>
      </c>
    </row>
    <row r="35" spans="1:5" x14ac:dyDescent="0.25">
      <c r="A35" s="168" t="s">
        <v>23</v>
      </c>
      <c r="B35" s="168" t="s">
        <v>162</v>
      </c>
      <c r="C35" s="5">
        <v>44227</v>
      </c>
      <c r="D35" s="176">
        <v>13771.642599999999</v>
      </c>
      <c r="E35" t="b">
        <v>1</v>
      </c>
    </row>
    <row r="36" spans="1:5" x14ac:dyDescent="0.25">
      <c r="A36" s="168" t="s">
        <v>23</v>
      </c>
      <c r="B36" s="168" t="s">
        <v>188</v>
      </c>
      <c r="C36" s="5">
        <v>44196</v>
      </c>
      <c r="D36" s="176">
        <v>2566017.9900000002</v>
      </c>
      <c r="E36" t="b">
        <v>1</v>
      </c>
    </row>
    <row r="37" spans="1:5" x14ac:dyDescent="0.25">
      <c r="A37" s="168" t="s">
        <v>23</v>
      </c>
      <c r="B37" s="168" t="s">
        <v>188</v>
      </c>
      <c r="C37" s="5">
        <v>44227</v>
      </c>
      <c r="D37" s="176">
        <v>20978.15</v>
      </c>
      <c r="E37" t="b">
        <v>1</v>
      </c>
    </row>
    <row r="38" spans="1:5" x14ac:dyDescent="0.25">
      <c r="A38" s="168" t="s">
        <v>23</v>
      </c>
      <c r="B38" s="168" t="s">
        <v>15</v>
      </c>
      <c r="C38" s="5">
        <v>44196</v>
      </c>
      <c r="D38" s="176">
        <v>2566017.9900000002</v>
      </c>
      <c r="E38" t="b">
        <v>1</v>
      </c>
    </row>
    <row r="39" spans="1:5" x14ac:dyDescent="0.25">
      <c r="A39" s="168" t="s">
        <v>23</v>
      </c>
      <c r="B39" s="168" t="s">
        <v>15</v>
      </c>
      <c r="C39" s="5">
        <v>44227</v>
      </c>
      <c r="D39" s="176">
        <v>20978.15</v>
      </c>
      <c r="E39" t="b">
        <v>1</v>
      </c>
    </row>
    <row r="40" spans="1:5" x14ac:dyDescent="0.25">
      <c r="A40" s="168" t="s">
        <v>23</v>
      </c>
      <c r="B40" s="168" t="s">
        <v>15</v>
      </c>
      <c r="C40" s="5">
        <v>45930</v>
      </c>
      <c r="D40" s="176">
        <v>1612225.3779</v>
      </c>
      <c r="E40" t="b">
        <v>1</v>
      </c>
    </row>
    <row r="41" spans="1:5" x14ac:dyDescent="0.25">
      <c r="A41" s="168" t="s">
        <v>102</v>
      </c>
      <c r="B41" s="168" t="s">
        <v>165</v>
      </c>
      <c r="C41" s="5">
        <v>44196</v>
      </c>
      <c r="D41" s="176">
        <v>4581874.1294999998</v>
      </c>
      <c r="E41" t="b">
        <v>1</v>
      </c>
    </row>
    <row r="42" spans="1:5" x14ac:dyDescent="0.25">
      <c r="A42" s="168" t="s">
        <v>102</v>
      </c>
      <c r="B42" s="168" t="s">
        <v>165</v>
      </c>
      <c r="C42" s="5">
        <v>44227</v>
      </c>
      <c r="D42" s="176">
        <v>406014.77100000001</v>
      </c>
      <c r="E42" t="b">
        <v>1</v>
      </c>
    </row>
    <row r="43" spans="1:5" x14ac:dyDescent="0.25">
      <c r="A43" s="168" t="s">
        <v>102</v>
      </c>
      <c r="B43" s="168" t="s">
        <v>165</v>
      </c>
      <c r="C43" s="5">
        <v>45930</v>
      </c>
      <c r="D43" s="176">
        <v>1302732.1510000001</v>
      </c>
      <c r="E43" t="b">
        <v>1</v>
      </c>
    </row>
    <row r="44" spans="1:5" x14ac:dyDescent="0.25">
      <c r="A44" s="168" t="s">
        <v>102</v>
      </c>
      <c r="B44" s="168" t="s">
        <v>162</v>
      </c>
      <c r="C44" s="5">
        <v>44196</v>
      </c>
      <c r="D44" s="176">
        <v>2998593.6696000001</v>
      </c>
      <c r="E44" t="b">
        <v>1</v>
      </c>
    </row>
    <row r="45" spans="1:5" x14ac:dyDescent="0.25">
      <c r="A45" s="168" t="s">
        <v>102</v>
      </c>
      <c r="B45" s="168" t="s">
        <v>162</v>
      </c>
      <c r="C45" s="5">
        <v>44227</v>
      </c>
      <c r="D45" s="176">
        <v>35236.625699999997</v>
      </c>
      <c r="E45" t="b">
        <v>1</v>
      </c>
    </row>
    <row r="46" spans="1:5" x14ac:dyDescent="0.25">
      <c r="A46" s="168" t="s">
        <v>102</v>
      </c>
      <c r="B46" s="168" t="s">
        <v>188</v>
      </c>
      <c r="C46" s="5">
        <v>44196</v>
      </c>
      <c r="D46" s="176">
        <v>2820351.02</v>
      </c>
      <c r="E46" t="b">
        <v>1</v>
      </c>
    </row>
    <row r="47" spans="1:5" x14ac:dyDescent="0.25">
      <c r="A47" s="168" t="s">
        <v>102</v>
      </c>
      <c r="B47" s="168" t="s">
        <v>188</v>
      </c>
      <c r="C47" s="5">
        <v>44227</v>
      </c>
      <c r="D47" s="176">
        <v>40063.040000000001</v>
      </c>
      <c r="E47" t="b">
        <v>1</v>
      </c>
    </row>
    <row r="48" spans="1:5" x14ac:dyDescent="0.25">
      <c r="A48" s="168" t="s">
        <v>102</v>
      </c>
      <c r="B48" s="168" t="s">
        <v>15</v>
      </c>
      <c r="C48" s="5">
        <v>44196</v>
      </c>
      <c r="D48" s="176">
        <v>2820351.02</v>
      </c>
      <c r="E48" t="b">
        <v>1</v>
      </c>
    </row>
    <row r="49" spans="1:5" x14ac:dyDescent="0.25">
      <c r="A49" s="168" t="s">
        <v>102</v>
      </c>
      <c r="B49" s="168" t="s">
        <v>15</v>
      </c>
      <c r="C49" s="5">
        <v>44227</v>
      </c>
      <c r="D49" s="176">
        <v>40063.040000000001</v>
      </c>
      <c r="E49" t="b">
        <v>1</v>
      </c>
    </row>
    <row r="50" spans="1:5" x14ac:dyDescent="0.25">
      <c r="A50" s="168" t="s">
        <v>102</v>
      </c>
      <c r="B50" s="168" t="s">
        <v>15</v>
      </c>
      <c r="C50" s="5">
        <v>45930</v>
      </c>
      <c r="D50" s="176">
        <v>3257897.8884999999</v>
      </c>
      <c r="E50" t="b">
        <v>1</v>
      </c>
    </row>
    <row r="51" spans="1:5" x14ac:dyDescent="0.25">
      <c r="A51" s="168" t="s">
        <v>180</v>
      </c>
      <c r="B51" s="168" t="s">
        <v>165</v>
      </c>
      <c r="C51" s="5">
        <v>44196</v>
      </c>
      <c r="D51" s="176">
        <v>418184.07559999998</v>
      </c>
      <c r="E51" t="b">
        <v>1</v>
      </c>
    </row>
    <row r="52" spans="1:5" x14ac:dyDescent="0.25">
      <c r="A52" s="168" t="s">
        <v>180</v>
      </c>
      <c r="B52" s="168" t="s">
        <v>165</v>
      </c>
      <c r="C52" s="5">
        <v>44227</v>
      </c>
      <c r="D52" s="176">
        <v>74423.077699999994</v>
      </c>
      <c r="E52" t="b">
        <v>1</v>
      </c>
    </row>
    <row r="53" spans="1:5" x14ac:dyDescent="0.25">
      <c r="A53" s="168" t="s">
        <v>180</v>
      </c>
      <c r="B53" s="168" t="s">
        <v>165</v>
      </c>
      <c r="C53" s="5">
        <v>45930</v>
      </c>
      <c r="D53" s="176">
        <v>752483.24250000005</v>
      </c>
      <c r="E53" t="b">
        <v>1</v>
      </c>
    </row>
    <row r="54" spans="1:5" x14ac:dyDescent="0.25">
      <c r="A54" s="168" t="s">
        <v>180</v>
      </c>
      <c r="B54" s="168" t="s">
        <v>162</v>
      </c>
      <c r="C54" s="5">
        <v>44196</v>
      </c>
      <c r="D54" s="176">
        <v>525778.24540000001</v>
      </c>
      <c r="E54" t="b">
        <v>1</v>
      </c>
    </row>
    <row r="55" spans="1:5" x14ac:dyDescent="0.25">
      <c r="A55" s="168" t="s">
        <v>180</v>
      </c>
      <c r="B55" s="168" t="s">
        <v>188</v>
      </c>
      <c r="C55" s="5">
        <v>44196</v>
      </c>
      <c r="D55" s="176">
        <v>572372.4</v>
      </c>
      <c r="E55" t="b">
        <v>1</v>
      </c>
    </row>
    <row r="56" spans="1:5" x14ac:dyDescent="0.25">
      <c r="A56" s="168" t="s">
        <v>180</v>
      </c>
      <c r="B56" s="168" t="s">
        <v>188</v>
      </c>
      <c r="C56" s="5">
        <v>44227</v>
      </c>
      <c r="D56" s="176">
        <v>4445.82</v>
      </c>
      <c r="E56" t="b">
        <v>1</v>
      </c>
    </row>
    <row r="57" spans="1:5" x14ac:dyDescent="0.25">
      <c r="A57" s="168" t="s">
        <v>180</v>
      </c>
      <c r="B57" s="168" t="s">
        <v>15</v>
      </c>
      <c r="C57" s="5">
        <v>44196</v>
      </c>
      <c r="D57" s="176">
        <v>572372.4</v>
      </c>
      <c r="E57" t="b">
        <v>1</v>
      </c>
    </row>
    <row r="58" spans="1:5" x14ac:dyDescent="0.25">
      <c r="A58" s="168" t="s">
        <v>180</v>
      </c>
      <c r="B58" s="168" t="s">
        <v>15</v>
      </c>
      <c r="C58" s="5">
        <v>44227</v>
      </c>
      <c r="D58" s="176">
        <v>4445.82</v>
      </c>
      <c r="E58" t="b">
        <v>1</v>
      </c>
    </row>
    <row r="59" spans="1:5" x14ac:dyDescent="0.25">
      <c r="A59" s="168" t="s">
        <v>180</v>
      </c>
      <c r="B59" s="168" t="s">
        <v>15</v>
      </c>
      <c r="C59" s="5">
        <v>45930</v>
      </c>
      <c r="D59" s="176">
        <v>723897.44510000001</v>
      </c>
      <c r="E59" t="b">
        <v>1</v>
      </c>
    </row>
    <row r="60" spans="1:5" x14ac:dyDescent="0.25">
      <c r="A60" s="168" t="s">
        <v>32</v>
      </c>
      <c r="B60" s="168" t="s">
        <v>165</v>
      </c>
      <c r="C60" s="5">
        <v>44196</v>
      </c>
      <c r="D60" s="176">
        <v>99147.550799999997</v>
      </c>
      <c r="E60" t="b">
        <v>1</v>
      </c>
    </row>
    <row r="61" spans="1:5" x14ac:dyDescent="0.25">
      <c r="A61" s="168" t="s">
        <v>32</v>
      </c>
      <c r="B61" s="168" t="s">
        <v>165</v>
      </c>
      <c r="C61" s="5">
        <v>45930</v>
      </c>
      <c r="D61" s="176">
        <v>71022.272700000001</v>
      </c>
      <c r="E61" t="b">
        <v>1</v>
      </c>
    </row>
    <row r="62" spans="1:5" x14ac:dyDescent="0.25">
      <c r="A62" s="168" t="s">
        <v>32</v>
      </c>
      <c r="B62" s="168" t="s">
        <v>162</v>
      </c>
      <c r="C62" s="5">
        <v>44196</v>
      </c>
      <c r="D62" s="176">
        <v>99147.550799999997</v>
      </c>
      <c r="E62" t="b">
        <v>1</v>
      </c>
    </row>
    <row r="63" spans="1:5" x14ac:dyDescent="0.25">
      <c r="A63" s="168" t="s">
        <v>32</v>
      </c>
      <c r="B63" s="168" t="s">
        <v>188</v>
      </c>
      <c r="C63" s="5">
        <v>44196</v>
      </c>
      <c r="D63" s="176">
        <v>78926.12</v>
      </c>
      <c r="E63" t="b">
        <v>1</v>
      </c>
    </row>
    <row r="64" spans="1:5" x14ac:dyDescent="0.25">
      <c r="A64" s="168" t="s">
        <v>32</v>
      </c>
      <c r="B64" s="168" t="s">
        <v>188</v>
      </c>
      <c r="C64" s="5">
        <v>44227</v>
      </c>
      <c r="D64" s="176">
        <v>163.87</v>
      </c>
      <c r="E64" t="b">
        <v>1</v>
      </c>
    </row>
    <row r="65" spans="1:5" x14ac:dyDescent="0.25">
      <c r="A65" s="168" t="s">
        <v>32</v>
      </c>
      <c r="B65" s="168" t="s">
        <v>15</v>
      </c>
      <c r="C65" s="5">
        <v>44196</v>
      </c>
      <c r="D65" s="176">
        <v>78926.12</v>
      </c>
      <c r="E65" t="b">
        <v>1</v>
      </c>
    </row>
    <row r="66" spans="1:5" x14ac:dyDescent="0.25">
      <c r="A66" s="168" t="s">
        <v>32</v>
      </c>
      <c r="B66" s="168" t="s">
        <v>15</v>
      </c>
      <c r="C66" s="5">
        <v>44227</v>
      </c>
      <c r="D66" s="176">
        <v>163.87</v>
      </c>
      <c r="E66" t="b">
        <v>1</v>
      </c>
    </row>
    <row r="67" spans="1:5" x14ac:dyDescent="0.25">
      <c r="A67" s="168" t="s">
        <v>32</v>
      </c>
      <c r="B67" s="168" t="s">
        <v>15</v>
      </c>
      <c r="C67" s="5">
        <v>45930</v>
      </c>
      <c r="D67" s="176">
        <v>72442.718099999998</v>
      </c>
      <c r="E67" t="b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Report</vt:lpstr>
      <vt:lpstr>Template</vt:lpstr>
      <vt:lpstr>Calendar</vt:lpstr>
      <vt:lpstr>Data</vt:lpstr>
      <vt:lpstr>Report!Print_Area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Sourikova,Irina V</dc:creator>
  <cp:lastModifiedBy>Sourikova,Irina V</cp:lastModifiedBy>
  <dcterms:created xsi:type="dcterms:W3CDTF">2021-02-08T20:23:35Z</dcterms:created>
  <dcterms:modified xsi:type="dcterms:W3CDTF">2021-02-08T20:23:35Z</dcterms:modified>
</cp:coreProperties>
</file>