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Y:\sPHENIX_MIE\SummaryReports\CostPerformanceReport\2020\"/>
    </mc:Choice>
  </mc:AlternateContent>
  <xr:revisionPtr revIDLastSave="0" documentId="13_ncr:1_{EA7F479E-1976-40EB-A497-4F6F78A6F7F8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Report!$A$1:$W$60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1" i="1" l="1"/>
  <c r="F36" i="1"/>
  <c r="G36" i="1"/>
  <c r="H36" i="1"/>
  <c r="I36" i="1"/>
  <c r="J36" i="1"/>
  <c r="L36" i="1"/>
  <c r="N36" i="1"/>
  <c r="O36" i="1"/>
  <c r="P36" i="1"/>
  <c r="Q36" i="1"/>
  <c r="R36" i="1"/>
  <c r="S36" i="1"/>
  <c r="T36" i="1"/>
  <c r="F37" i="1"/>
  <c r="G37" i="1"/>
  <c r="H37" i="1"/>
  <c r="I37" i="1"/>
  <c r="L37" i="1" s="1"/>
  <c r="J37" i="1"/>
  <c r="O37" i="1"/>
  <c r="P37" i="1"/>
  <c r="Q37" i="1"/>
  <c r="R37" i="1"/>
  <c r="T37" i="1" s="1"/>
  <c r="S37" i="1"/>
  <c r="T38" i="1"/>
  <c r="N37" i="1" l="1"/>
  <c r="O47" i="2"/>
  <c r="O46" i="2"/>
  <c r="O45" i="2"/>
  <c r="O44" i="2"/>
  <c r="O43" i="2"/>
  <c r="O42" i="2"/>
  <c r="X33" i="2"/>
  <c r="W33" i="2"/>
  <c r="X29" i="2"/>
  <c r="W29" i="2"/>
  <c r="T44" i="1"/>
  <c r="E39" i="1"/>
  <c r="E41" i="1" s="1"/>
  <c r="D39" i="1"/>
  <c r="G39" i="1" s="1"/>
  <c r="G41" i="1" s="1"/>
  <c r="C39" i="1"/>
  <c r="C41" i="1" s="1"/>
  <c r="S35" i="1"/>
  <c r="R35" i="1"/>
  <c r="Q35" i="1"/>
  <c r="P35" i="1"/>
  <c r="O35" i="1"/>
  <c r="J35" i="1"/>
  <c r="I35" i="1"/>
  <c r="N35" i="1" s="1"/>
  <c r="H35" i="1"/>
  <c r="G35" i="1"/>
  <c r="F35" i="1"/>
  <c r="A35" i="1"/>
  <c r="S34" i="1"/>
  <c r="R34" i="1"/>
  <c r="Q34" i="1"/>
  <c r="P34" i="1"/>
  <c r="O34" i="1"/>
  <c r="J34" i="1"/>
  <c r="I34" i="1"/>
  <c r="H34" i="1"/>
  <c r="G34" i="1"/>
  <c r="F34" i="1"/>
  <c r="A34" i="1"/>
  <c r="S33" i="1"/>
  <c r="R33" i="1"/>
  <c r="Q33" i="1"/>
  <c r="P33" i="1"/>
  <c r="O33" i="1"/>
  <c r="J33" i="1"/>
  <c r="I33" i="1"/>
  <c r="N33" i="1" s="1"/>
  <c r="H33" i="1"/>
  <c r="G33" i="1"/>
  <c r="F33" i="1"/>
  <c r="A33" i="1"/>
  <c r="S32" i="1"/>
  <c r="R32" i="1"/>
  <c r="Q32" i="1"/>
  <c r="P32" i="1"/>
  <c r="O32" i="1"/>
  <c r="J32" i="1"/>
  <c r="I32" i="1"/>
  <c r="H32" i="1"/>
  <c r="G32" i="1"/>
  <c r="F32" i="1"/>
  <c r="A32" i="1"/>
  <c r="S31" i="1"/>
  <c r="R31" i="1"/>
  <c r="Q31" i="1"/>
  <c r="P31" i="1"/>
  <c r="O31" i="1"/>
  <c r="J31" i="1"/>
  <c r="I31" i="1"/>
  <c r="H31" i="1"/>
  <c r="G31" i="1"/>
  <c r="F31" i="1"/>
  <c r="A31" i="1"/>
  <c r="S30" i="1"/>
  <c r="R30" i="1"/>
  <c r="Q30" i="1"/>
  <c r="P30" i="1"/>
  <c r="O30" i="1"/>
  <c r="J30" i="1"/>
  <c r="I30" i="1"/>
  <c r="N30" i="1" s="1"/>
  <c r="H30" i="1"/>
  <c r="G30" i="1"/>
  <c r="F30" i="1"/>
  <c r="A30" i="1"/>
  <c r="S29" i="1"/>
  <c r="R29" i="1"/>
  <c r="Q29" i="1"/>
  <c r="P29" i="1"/>
  <c r="O29" i="1"/>
  <c r="J29" i="1"/>
  <c r="I29" i="1"/>
  <c r="H29" i="1"/>
  <c r="G29" i="1"/>
  <c r="F29" i="1"/>
  <c r="A29" i="1"/>
  <c r="G22" i="1"/>
  <c r="I15" i="1"/>
  <c r="G15" i="1"/>
  <c r="E15" i="1"/>
  <c r="N11" i="1"/>
  <c r="L11" i="1"/>
  <c r="J11" i="1"/>
  <c r="S39" i="1" l="1"/>
  <c r="N31" i="1"/>
  <c r="H39" i="1"/>
  <c r="H41" i="1" s="1"/>
  <c r="N29" i="1"/>
  <c r="W34" i="1"/>
  <c r="T35" i="1"/>
  <c r="T33" i="1"/>
  <c r="P39" i="1"/>
  <c r="P41" i="1" s="1"/>
  <c r="L43" i="1" s="1"/>
  <c r="W32" i="1"/>
  <c r="R39" i="1"/>
  <c r="R41" i="1" s="1"/>
  <c r="W33" i="1"/>
  <c r="O39" i="1"/>
  <c r="O41" i="1" s="1"/>
  <c r="N43" i="1" s="1"/>
  <c r="W35" i="1"/>
  <c r="Q39" i="1"/>
  <c r="Q41" i="1" s="1"/>
  <c r="W30" i="1"/>
  <c r="T31" i="1"/>
  <c r="T34" i="1"/>
  <c r="W31" i="1"/>
  <c r="T32" i="1"/>
  <c r="N34" i="1"/>
  <c r="W29" i="1"/>
  <c r="T30" i="1"/>
  <c r="N32" i="1"/>
  <c r="T29" i="1"/>
  <c r="I39" i="1"/>
  <c r="L29" i="1"/>
  <c r="V29" i="1"/>
  <c r="L30" i="1"/>
  <c r="V30" i="1"/>
  <c r="L31" i="1"/>
  <c r="V31" i="1"/>
  <c r="L32" i="1"/>
  <c r="V32" i="1"/>
  <c r="L33" i="1"/>
  <c r="V33" i="1"/>
  <c r="L34" i="1"/>
  <c r="V34" i="1"/>
  <c r="L35" i="1"/>
  <c r="V35" i="1"/>
  <c r="F39" i="1"/>
  <c r="F41" i="1" s="1"/>
  <c r="J39" i="1"/>
  <c r="T39" i="1"/>
  <c r="D41" i="1"/>
  <c r="N52" i="1" l="1"/>
  <c r="N49" i="1"/>
  <c r="N50" i="1" s="1"/>
  <c r="I41" i="1"/>
  <c r="L39" i="1"/>
  <c r="L41" i="1" s="1"/>
  <c r="L44" i="1" s="1"/>
  <c r="N53" i="1"/>
  <c r="N39" i="1"/>
  <c r="V39" i="1"/>
  <c r="N54" i="1"/>
  <c r="J41" i="1"/>
  <c r="W39" i="1"/>
  <c r="N48" i="1"/>
  <c r="N41" i="1" l="1"/>
  <c r="N44" i="1" s="1"/>
</calcChain>
</file>

<file path=xl/sharedStrings.xml><?xml version="1.0" encoding="utf-8"?>
<sst xmlns="http://schemas.openxmlformats.org/spreadsheetml/2006/main" count="599" uniqueCount="213">
  <si>
    <t>{CostProject.ContractType}</t>
  </si>
  <si>
    <t>(Last, First, Middle Initial)</t>
  </si>
  <si>
    <t>{CostProject.Ub}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</si>
  <si>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</si>
  <si>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</si>
  <si>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</si>
  <si>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</si>
  <si>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</si>
  <si>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</si>
  <si>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</si>
  <si>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 xml:space="preserve">Filter: </t>
  </si>
  <si>
    <t>1.01A</t>
  </si>
  <si>
    <t>{=Cell[R-2,C]}</t>
  </si>
  <si>
    <t>{CostProject.Mr}</t>
  </si>
  <si>
    <t>OMB No. 0704-0188</t>
  </si>
  <si>
    <t>EAC</t>
  </si>
  <si>
    <t>3.  PROGRAM</t>
  </si>
  <si>
    <t>{=Cell[R-3,C]+Cell[R-1,C]}</t>
  </si>
  <si>
    <t>BASE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</si>
  <si>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</si>
  <si>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</si>
  <si>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</si>
  <si>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</si>
  <si>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1.04A</t>
  </si>
  <si>
    <t>(13)</t>
  </si>
  <si>
    <t>f. Contingency</t>
  </si>
  <si>
    <t>ATCOMPLETE</t>
  </si>
  <si>
    <t>{=(CostSet7.Period1.Value+CostSet7.Period2.Value+CostSet7.Period3.Value)}</t>
  </si>
  <si>
    <t>SCHEDULE</t>
  </si>
  <si>
    <t>{CostProject.ContractName}</t>
  </si>
  <si>
    <t>(1)</t>
  </si>
  <si>
    <t>TODATE</t>
  </si>
  <si>
    <t>1.07A</t>
  </si>
  <si>
    <t>O'Brien, Edward</t>
  </si>
  <si>
    <t>(16)</t>
  </si>
  <si>
    <r>
      <t xml:space="preserve"> b.  TO  </t>
    </r>
    <r>
      <rPr>
        <i/>
        <sz val="10"/>
        <rFont val="Calibri"/>
        <family val="2"/>
      </rPr>
      <t>(YYYYMMDD)</t>
    </r>
  </si>
  <si>
    <t>&lt;Footer&gt;{Report}</t>
  </si>
  <si>
    <t>FORMAT 1 - WORK BREAKDOWN STRUCTURE</t>
  </si>
  <si>
    <t>{Column.Total}</t>
  </si>
  <si>
    <t>(12a)</t>
  </si>
  <si>
    <t>a.  QUANTITY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</si>
  <si>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</si>
  <si>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</si>
  <si>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</si>
  <si>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</si>
  <si>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</si>
  <si>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</si>
  <si>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</si>
  <si>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</si>
  <si>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</si>
  <si>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</si>
  <si>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</si>
  <si>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</si>
  <si>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</si>
  <si>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</si>
  <si>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{=CostProject.Fee+CostProject.Ctc}</t>
  </si>
  <si>
    <t>c.  ESTIMATED COST OF</t>
  </si>
  <si>
    <t>b.  TITLE</t>
  </si>
  <si>
    <t>{=CostProject.Lre+(CostProject.Cbb*(CostProject.FeePct/100))}</t>
  </si>
  <si>
    <t>BUDGET</t>
  </si>
  <si>
    <t xml:space="preserve">      </t>
  </si>
  <si>
    <t>CLASSIFICATION (When Filled In)</t>
  </si>
  <si>
    <t>CUMULATIVE TO DATE</t>
  </si>
  <si>
    <t>1.  CONTRACTOR</t>
  </si>
  <si>
    <t>{=Cell[R,C-2]-Cell[R,C-4]}</t>
  </si>
  <si>
    <t>{CostProject.Quantity}</t>
  </si>
  <si>
    <t>c. GENERAL AND ADMINISTRATIVE</t>
  </si>
  <si>
    <t>b.  NUMBER</t>
  </si>
  <si>
    <t>Project Director</t>
  </si>
  <si>
    <t>{ReportSetting.ScaleCaption}</t>
  </si>
  <si>
    <t>{CostProject.Ceiling}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</si>
  <si>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</si>
  <si>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</si>
  <si>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</si>
  <si>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</si>
  <si>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</si>
  <si>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</si>
  <si>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</si>
  <si>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Cost Sets: Scheduled, Performed, Actuals, Estimate at complete,  ,  , Over target baseline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</si>
  <si>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</si>
  <si>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</si>
  <si>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</si>
  <si>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</si>
  <si>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</si>
  <si>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</si>
  <si>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% Spent</t>
  </si>
  <si>
    <t>1.02A</t>
  </si>
  <si>
    <t>(11)</t>
  </si>
  <si>
    <t>{CostProject.Auw}</t>
  </si>
  <si>
    <t>{=(CostSet1.Period1.Value+CostSet1.Period2.Value)}</t>
  </si>
  <si>
    <t>a.  NAME</t>
  </si>
  <si>
    <t>CPI</t>
  </si>
  <si>
    <t>ACTUAL</t>
  </si>
  <si>
    <t>{CriteriaN.Title}{Down}{Replace}</t>
  </si>
  <si>
    <t>{CostProject.ContractPhase}</t>
  </si>
  <si>
    <t>{CostProject.Lre}</t>
  </si>
  <si>
    <t>{=(CostSet5.Period1.Value+CostSet5.Period2.Value+CostSet5.Period3.Value)}</t>
  </si>
  <si>
    <t>d.  TARGET PROFIT/FEE</t>
  </si>
  <si>
    <t>{=Cell[R,C-2] - Cell[R, C-3]}{HIGHLIGHT(Cell[R,C-3],S,P,S48)}</t>
  </si>
  <si>
    <t>(14)</t>
  </si>
  <si>
    <t>{CostProject.Classification}</t>
  </si>
  <si>
    <t>%</t>
  </si>
  <si>
    <t>1.05A</t>
  </si>
  <si>
    <t>c.  MOST LIKELY</t>
  </si>
  <si>
    <t>CA (3)</t>
  </si>
  <si>
    <t>Percent</t>
  </si>
  <si>
    <t>Dollar</t>
  </si>
  <si>
    <t>Both</t>
  </si>
  <si>
    <t>% Contingency on Remaining Work</t>
  </si>
  <si>
    <t>Criteria: CA (3)</t>
  </si>
  <si>
    <t>g.  CONTRACT CEILING</t>
  </si>
  <si>
    <t>(2)</t>
  </si>
  <si>
    <t>&lt;Footer&gt;{Report}{SortCodeC}</t>
  </si>
  <si>
    <t>MANAGEMENT ESTIMATE</t>
  </si>
  <si>
    <t>CURRENT PERIOD</t>
  </si>
  <si>
    <t>SPI</t>
  </si>
  <si>
    <t>2.  CONTRACT</t>
  </si>
  <si>
    <t>(12b)</t>
  </si>
  <si>
    <t>% Planned</t>
  </si>
  <si>
    <t>Brookhaven National Laboratory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</si>
  <si>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</si>
  <si>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</si>
  <si>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</si>
  <si>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</si>
  <si>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</si>
  <si>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</si>
  <si>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</si>
  <si>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</si>
  <si>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</si>
  <si>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</si>
  <si>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</si>
  <si>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</si>
  <si>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</si>
  <si>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Calendar: 18 Previous, Todate, At Completion</t>
  </si>
  <si>
    <t>{=Cell[R,C-3] - Cell[R, C-2]}{HIGHLIGHT(Cell[R,C-3],C,P,S48)}</t>
  </si>
  <si>
    <t>6.  ESTIMATED COST AT COMPLETION</t>
  </si>
  <si>
    <t>e. SUBTOTAL</t>
  </si>
  <si>
    <t>CONTRACT PERFORMANCE REPORT</t>
  </si>
  <si>
    <t>{CostProject.ContractRepName}</t>
  </si>
  <si>
    <t>(8)</t>
  </si>
  <si>
    <t>sPHENIX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</si>
  <si>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</si>
  <si>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</si>
  <si>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</si>
  <si>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</si>
  <si>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</si>
  <si>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</si>
  <si>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</si>
  <si>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</si>
  <si>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</si>
  <si>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</si>
  <si>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</si>
  <si>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</si>
  <si>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</si>
  <si>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 xml:space="preserve">DOLLARS IN </t>
  </si>
  <si>
    <t>{CostProject.PeriodStartDate}{NoCellFormat}</t>
  </si>
  <si>
    <t>b.  LOCATION (Address and ZIP Code)</t>
  </si>
  <si>
    <t xml:space="preserve">b.  PHASE </t>
  </si>
  <si>
    <t>{CostSet3.Period2.Value}</t>
  </si>
  <si>
    <t>% Complete</t>
  </si>
  <si>
    <t>{=(CostSet2.Period1.Value+CostSet2.Period2.Value)}</t>
  </si>
  <si>
    <t>Progress</t>
  </si>
  <si>
    <t>{=if(CostProject.EvmsAcceptance.Id=0,"X"," ")}</t>
  </si>
  <si>
    <t>PERFORMED</t>
  </si>
  <si>
    <t>Budget</t>
  </si>
  <si>
    <t>ETC</t>
  </si>
  <si>
    <t>ITEM</t>
  </si>
  <si>
    <t>BCWR</t>
  </si>
  <si>
    <t>{=Cell[R-2,C]}{HIGHLIGHT(Cell[R,C-3],C,P,S48)}</t>
  </si>
  <si>
    <t>SCHEDULED</t>
  </si>
  <si>
    <t>1.03A</t>
  </si>
  <si>
    <t>sPH MIE Current as of data date</t>
  </si>
  <si>
    <t>{=(CostSet6.Period1.Value+CostSet6.Period2.Value+CostSet6.Period3.Value)}</t>
  </si>
  <si>
    <t>BUDGETED</t>
  </si>
  <si>
    <t xml:space="preserve">NO </t>
  </si>
  <si>
    <t>&lt;Header&gt;{CriteriaN}</t>
  </si>
  <si>
    <t>{CostProject.ContractNumber}</t>
  </si>
  <si>
    <t>{=Cell[R-2,C+4]}</t>
  </si>
  <si>
    <t>18 Label</t>
  </si>
  <si>
    <t>1.06A</t>
  </si>
  <si>
    <t>{=Column.Total+Cell[R-1,C]}</t>
  </si>
  <si>
    <t>(15)</t>
  </si>
  <si>
    <t>CONTRACT BUDGET</t>
  </si>
  <si>
    <t>{CostProject.EacWorstCase}</t>
  </si>
  <si>
    <t>b.  WORST CASE</t>
  </si>
  <si>
    <t xml:space="preserve">a.  NAME </t>
  </si>
  <si>
    <t>(3)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</si>
  <si>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</si>
  <si>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</si>
  <si>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</si>
  <si>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</si>
  <si>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</si>
  <si>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</si>
  <si>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</si>
  <si>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</si>
  <si>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</si>
  <si>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</si>
  <si>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</si>
  <si>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</si>
  <si>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</si>
  <si>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</si>
  <si>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</si>
  <si>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</si>
  <si>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</si>
  <si>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</si>
  <si>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</si>
  <si>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</si>
  <si>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</si>
  <si>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</si>
  <si>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d.  SHARE RATIO</t>
  </si>
  <si>
    <t>b. TOTAL CONTRACT VARIANCE</t>
  </si>
  <si>
    <t>Brookhaven Science Associates</t>
  </si>
  <si>
    <t>% Contingency on ETC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</si>
</sst>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\-mmm\-yy;@"/>
    <numFmt numFmtId="165" formatCode="&quot;$&quot;#,##0"/>
    <numFmt numFmtId="166" formatCode="yyyy\ /\ mm\ /\ dd"/>
    <numFmt numFmtId="167" formatCode="&quot;$&quot;#,##0.00;\-&quot;$&quot;#,##0.0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i/>
      <sz val="11"/>
      <color indexed="10"/>
      <name val="Calibri"/>
      <family val="2"/>
    </font>
    <font>
      <i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52"/>
        <bgColor indexed="47"/>
      </patternFill>
    </fill>
    <fill>
      <patternFill patternType="mediumGray">
        <fgColor indexed="9"/>
        <bgColor indexed="29"/>
      </patternFill>
    </fill>
    <fill>
      <patternFill patternType="lightDown">
        <fgColor indexed="9"/>
        <bgColor indexed="43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9">
    <xf numFmtId="0" fontId="0" fillId="0" borderId="0" xfId="0"/>
    <xf numFmtId="3" fontId="1" fillId="0" borderId="1" xfId="1" applyNumberFormat="1" applyFont="1" applyBorder="1"/>
    <xf numFmtId="0" fontId="2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3" fontId="1" fillId="0" borderId="4" xfId="0" applyNumberFormat="1" applyFont="1" applyFill="1" applyBorder="1"/>
    <xf numFmtId="0" fontId="3" fillId="0" borderId="5" xfId="0" applyFont="1" applyBorder="1" applyAlignment="1">
      <alignment horizontal="center"/>
    </xf>
    <xf numFmtId="0" fontId="4" fillId="0" borderId="6" xfId="0" applyFont="1" applyFill="1" applyBorder="1"/>
    <xf numFmtId="3" fontId="1" fillId="0" borderId="9" xfId="1" applyNumberFormat="1" applyFont="1" applyBorder="1"/>
    <xf numFmtId="0" fontId="5" fillId="0" borderId="11" xfId="0" applyFont="1" applyBorder="1"/>
    <xf numFmtId="0" fontId="3" fillId="0" borderId="3" xfId="0" applyFont="1" applyBorder="1" applyAlignment="1">
      <alignment horizontal="left"/>
    </xf>
    <xf numFmtId="0" fontId="3" fillId="0" borderId="13" xfId="0" applyFont="1" applyBorder="1"/>
    <xf numFmtId="0" fontId="6" fillId="0" borderId="8" xfId="0" applyFont="1" applyBorder="1" applyAlignment="1">
      <alignment horizontal="centerContinuous"/>
    </xf>
    <xf numFmtId="0" fontId="8" fillId="2" borderId="11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167" fontId="0" fillId="0" borderId="0" xfId="0" applyNumberFormat="1"/>
    <xf numFmtId="0" fontId="9" fillId="0" borderId="15" xfId="0" applyFont="1" applyBorder="1"/>
    <xf numFmtId="3" fontId="1" fillId="0" borderId="16" xfId="0" applyNumberFormat="1" applyFont="1" applyBorder="1"/>
    <xf numFmtId="0" fontId="3" fillId="0" borderId="17" xfId="0" applyNumberFormat="1" applyFont="1" applyFill="1" applyBorder="1" applyAlignment="1" applyProtection="1"/>
    <xf numFmtId="0" fontId="3" fillId="0" borderId="17" xfId="0" applyFont="1" applyBorder="1" applyAlignment="1">
      <alignment horizontal="right"/>
    </xf>
    <xf numFmtId="0" fontId="10" fillId="2" borderId="8" xfId="0" applyFont="1" applyFill="1" applyBorder="1"/>
    <xf numFmtId="0" fontId="2" fillId="0" borderId="8" xfId="0" applyFont="1" applyBorder="1" applyAlignment="1">
      <alignment horizontal="centerContinuous"/>
    </xf>
    <xf numFmtId="3" fontId="11" fillId="0" borderId="11" xfId="0" applyNumberFormat="1" applyFont="1" applyBorder="1" applyAlignment="1"/>
    <xf numFmtId="0" fontId="10" fillId="2" borderId="3" xfId="0" applyFont="1" applyFill="1" applyBorder="1"/>
    <xf numFmtId="3" fontId="1" fillId="0" borderId="11" xfId="0" applyNumberFormat="1" applyFont="1" applyBorder="1"/>
    <xf numFmtId="0" fontId="12" fillId="0" borderId="0" xfId="0" applyFont="1" applyBorder="1"/>
    <xf numFmtId="3" fontId="1" fillId="0" borderId="18" xfId="0" applyNumberFormat="1" applyFont="1" applyBorder="1"/>
    <xf numFmtId="0" fontId="3" fillId="0" borderId="0" xfId="0" applyFont="1" applyBorder="1" applyAlignment="1">
      <alignment horizontal="center"/>
    </xf>
    <xf numFmtId="0" fontId="13" fillId="0" borderId="3" xfId="0" applyFont="1" applyBorder="1" applyAlignment="1"/>
    <xf numFmtId="0" fontId="1" fillId="0" borderId="22" xfId="0" applyFont="1" applyFill="1" applyBorder="1"/>
    <xf numFmtId="3" fontId="8" fillId="2" borderId="10" xfId="1" applyNumberFormat="1" applyFont="1" applyFill="1" applyBorder="1"/>
    <xf numFmtId="3" fontId="1" fillId="0" borderId="23" xfId="1" applyNumberFormat="1" applyFont="1" applyBorder="1"/>
    <xf numFmtId="0" fontId="3" fillId="0" borderId="24" xfId="0" applyFont="1" applyBorder="1" applyAlignment="1">
      <alignment horizontal="center"/>
    </xf>
    <xf numFmtId="3" fontId="1" fillId="0" borderId="25" xfId="0" applyNumberFormat="1" applyFont="1" applyBorder="1"/>
    <xf numFmtId="3" fontId="1" fillId="0" borderId="26" xfId="0" applyNumberFormat="1" applyFont="1" applyBorder="1"/>
    <xf numFmtId="3" fontId="6" fillId="0" borderId="14" xfId="0" applyNumberFormat="1" applyFont="1" applyFill="1" applyBorder="1" applyAlignment="1" applyProtection="1"/>
    <xf numFmtId="166" fontId="6" fillId="0" borderId="22" xfId="0" applyNumberFormat="1" applyFont="1" applyFill="1" applyBorder="1" applyAlignment="1" applyProtection="1"/>
    <xf numFmtId="0" fontId="3" fillId="0" borderId="19" xfId="0" applyFont="1" applyBorder="1"/>
    <xf numFmtId="3" fontId="1" fillId="0" borderId="30" xfId="0" applyNumberFormat="1" applyFont="1" applyBorder="1"/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19" xfId="0" applyFont="1" applyBorder="1"/>
    <xf numFmtId="0" fontId="1" fillId="0" borderId="0" xfId="0" applyFont="1"/>
    <xf numFmtId="0" fontId="3" fillId="0" borderId="32" xfId="0" applyFont="1" applyBorder="1"/>
    <xf numFmtId="0" fontId="4" fillId="0" borderId="33" xfId="0" applyFont="1" applyFill="1" applyBorder="1"/>
    <xf numFmtId="3" fontId="11" fillId="0" borderId="12" xfId="0" applyNumberFormat="1" applyFont="1" applyBorder="1" applyAlignment="1"/>
    <xf numFmtId="3" fontId="1" fillId="0" borderId="11" xfId="1" applyNumberFormat="1" applyFont="1" applyBorder="1"/>
    <xf numFmtId="0" fontId="8" fillId="2" borderId="21" xfId="0" applyFont="1" applyFill="1" applyBorder="1"/>
    <xf numFmtId="3" fontId="1" fillId="0" borderId="12" xfId="0" applyNumberFormat="1" applyFont="1" applyBorder="1"/>
    <xf numFmtId="0" fontId="7" fillId="0" borderId="0" xfId="0" applyFont="1"/>
    <xf numFmtId="3" fontId="2" fillId="0" borderId="7" xfId="0" applyNumberFormat="1" applyFont="1" applyFill="1" applyBorder="1" applyAlignment="1" applyProtection="1">
      <alignment horizontal="centerContinuous"/>
    </xf>
    <xf numFmtId="0" fontId="2" fillId="0" borderId="17" xfId="0" applyNumberFormat="1" applyFont="1" applyBorder="1"/>
    <xf numFmtId="0" fontId="10" fillId="0" borderId="31" xfId="0" applyFont="1" applyBorder="1"/>
    <xf numFmtId="3" fontId="8" fillId="2" borderId="11" xfId="1" applyNumberFormat="1" applyFont="1" applyFill="1" applyBorder="1" applyAlignment="1">
      <alignment horizontal="right"/>
    </xf>
    <xf numFmtId="3" fontId="1" fillId="0" borderId="0" xfId="0" applyNumberFormat="1" applyFont="1" applyBorder="1"/>
    <xf numFmtId="166" fontId="2" fillId="0" borderId="22" xfId="0" applyNumberFormat="1" applyFont="1" applyBorder="1"/>
    <xf numFmtId="0" fontId="10" fillId="2" borderId="19" xfId="0" applyFont="1" applyFill="1" applyBorder="1"/>
    <xf numFmtId="0" fontId="2" fillId="0" borderId="19" xfId="0" applyFont="1" applyBorder="1" applyAlignment="1">
      <alignment horizontal="centerContinuous"/>
    </xf>
    <xf numFmtId="0" fontId="3" fillId="0" borderId="3" xfId="0" applyNumberFormat="1" applyFont="1" applyFill="1" applyBorder="1" applyAlignment="1" applyProtection="1"/>
    <xf numFmtId="0" fontId="6" fillId="0" borderId="19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1" fillId="0" borderId="15" xfId="0" applyFont="1" applyBorder="1"/>
    <xf numFmtId="3" fontId="6" fillId="0" borderId="2" xfId="0" applyNumberFormat="1" applyFont="1" applyFill="1" applyBorder="1" applyAlignment="1" applyProtection="1">
      <alignment horizontal="centerContinuous"/>
    </xf>
    <xf numFmtId="3" fontId="2" fillId="0" borderId="20" xfId="0" applyNumberFormat="1" applyFont="1" applyFill="1" applyBorder="1" applyAlignment="1" applyProtection="1">
      <alignment horizontal="center"/>
    </xf>
    <xf numFmtId="3" fontId="11" fillId="0" borderId="10" xfId="0" applyNumberFormat="1" applyFont="1" applyBorder="1" applyAlignment="1"/>
    <xf numFmtId="0" fontId="10" fillId="0" borderId="8" xfId="0" applyNumberFormat="1" applyFont="1" applyFill="1" applyBorder="1" applyAlignment="1" applyProtection="1"/>
    <xf numFmtId="3" fontId="2" fillId="0" borderId="2" xfId="0" applyNumberFormat="1" applyFont="1" applyFill="1" applyBorder="1" applyAlignment="1" applyProtection="1">
      <alignment horizontal="centerContinuous"/>
    </xf>
    <xf numFmtId="0" fontId="3" fillId="0" borderId="15" xfId="0" applyFont="1" applyBorder="1"/>
    <xf numFmtId="3" fontId="1" fillId="0" borderId="39" xfId="1" applyNumberFormat="1" applyFont="1" applyBorder="1"/>
    <xf numFmtId="0" fontId="1" fillId="0" borderId="27" xfId="0" applyNumberFormat="1" applyFont="1" applyBorder="1"/>
    <xf numFmtId="0" fontId="3" fillId="0" borderId="17" xfId="0" applyFont="1" applyFill="1" applyBorder="1" applyAlignment="1" applyProtection="1">
      <alignment horizontal="centerContinuous"/>
    </xf>
    <xf numFmtId="0" fontId="8" fillId="2" borderId="11" xfId="0" applyFont="1" applyFill="1" applyBorder="1"/>
    <xf numFmtId="3" fontId="1" fillId="0" borderId="12" xfId="1" applyNumberFormat="1" applyFont="1" applyBorder="1"/>
    <xf numFmtId="3" fontId="1" fillId="0" borderId="40" xfId="0" applyNumberFormat="1" applyFont="1" applyBorder="1"/>
    <xf numFmtId="0" fontId="3" fillId="0" borderId="17" xfId="0" applyFont="1" applyBorder="1"/>
    <xf numFmtId="0" fontId="1" fillId="0" borderId="21" xfId="0" applyNumberFormat="1" applyFont="1" applyBorder="1"/>
    <xf numFmtId="3" fontId="8" fillId="2" borderId="33" xfId="1" applyNumberFormat="1" applyFont="1" applyFill="1" applyBorder="1"/>
    <xf numFmtId="3" fontId="1" fillId="0" borderId="22" xfId="1" applyNumberFormat="1" applyFont="1" applyBorder="1"/>
    <xf numFmtId="0" fontId="2" fillId="0" borderId="42" xfId="0" applyNumberFormat="1" applyFont="1" applyBorder="1" applyAlignment="1">
      <alignment horizontal="left"/>
    </xf>
    <xf numFmtId="0" fontId="5" fillId="0" borderId="43" xfId="0" applyFont="1" applyFill="1" applyBorder="1"/>
    <xf numFmtId="0" fontId="3" fillId="0" borderId="44" xfId="0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Continuous"/>
    </xf>
    <xf numFmtId="0" fontId="10" fillId="0" borderId="15" xfId="0" applyFont="1" applyBorder="1"/>
    <xf numFmtId="3" fontId="1" fillId="0" borderId="11" xfId="0" applyNumberFormat="1" applyFont="1" applyFill="1" applyBorder="1"/>
    <xf numFmtId="0" fontId="2" fillId="0" borderId="20" xfId="0" applyNumberFormat="1" applyFont="1" applyBorder="1" applyAlignment="1">
      <alignment horizontal="left"/>
    </xf>
    <xf numFmtId="0" fontId="2" fillId="0" borderId="15" xfId="0" applyFont="1" applyBorder="1"/>
    <xf numFmtId="0" fontId="1" fillId="0" borderId="45" xfId="0" applyFont="1" applyBorder="1"/>
    <xf numFmtId="0" fontId="8" fillId="2" borderId="25" xfId="0" applyFont="1" applyFill="1" applyBorder="1"/>
    <xf numFmtId="3" fontId="1" fillId="0" borderId="46" xfId="1" applyNumberFormat="1" applyFont="1" applyBorder="1"/>
    <xf numFmtId="0" fontId="10" fillId="0" borderId="29" xfId="0" applyFont="1" applyBorder="1"/>
    <xf numFmtId="0" fontId="3" fillId="0" borderId="19" xfId="0" applyFont="1" applyBorder="1" applyAlignment="1">
      <alignment horizontal="center"/>
    </xf>
    <xf numFmtId="0" fontId="10" fillId="0" borderId="17" xfId="0" applyFont="1" applyBorder="1"/>
    <xf numFmtId="0" fontId="14" fillId="3" borderId="44" xfId="0" applyFont="1" applyFill="1" applyBorder="1" applyAlignment="1"/>
    <xf numFmtId="0" fontId="2" fillId="0" borderId="17" xfId="0" applyFont="1" applyBorder="1"/>
    <xf numFmtId="1" fontId="1" fillId="0" borderId="0" xfId="0" applyNumberFormat="1" applyFont="1" applyBorder="1"/>
    <xf numFmtId="3" fontId="11" fillId="0" borderId="18" xfId="0" applyNumberFormat="1" applyFont="1" applyBorder="1" applyAlignment="1"/>
    <xf numFmtId="0" fontId="10" fillId="0" borderId="20" xfId="0" applyFont="1" applyBorder="1"/>
    <xf numFmtId="0" fontId="3" fillId="0" borderId="27" xfId="0" applyFont="1" applyBorder="1" applyAlignment="1">
      <alignment horizontal="center"/>
    </xf>
    <xf numFmtId="1" fontId="1" fillId="0" borderId="0" xfId="0" applyNumberFormat="1" applyFont="1"/>
    <xf numFmtId="3" fontId="1" fillId="0" borderId="10" xfId="1" applyNumberFormat="1" applyFont="1" applyBorder="1"/>
    <xf numFmtId="0" fontId="3" fillId="0" borderId="5" xfId="0" applyFont="1" applyBorder="1"/>
    <xf numFmtId="14" fontId="0" fillId="0" borderId="0" xfId="0" applyNumberFormat="1"/>
    <xf numFmtId="0" fontId="3" fillId="0" borderId="17" xfId="0" applyFont="1" applyBorder="1" applyAlignment="1">
      <alignment horizontal="centerContinuous"/>
    </xf>
    <xf numFmtId="0" fontId="8" fillId="2" borderId="12" xfId="0" applyFont="1" applyFill="1" applyBorder="1"/>
    <xf numFmtId="166" fontId="2" fillId="0" borderId="20" xfId="0" applyNumberFormat="1" applyFont="1" applyFill="1" applyBorder="1" applyAlignment="1" applyProtection="1">
      <alignment horizontal="centerContinuous"/>
    </xf>
    <xf numFmtId="2" fontId="1" fillId="0" borderId="44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Continuous"/>
    </xf>
    <xf numFmtId="0" fontId="0" fillId="0" borderId="0" xfId="0" applyNumberFormat="1"/>
    <xf numFmtId="0" fontId="8" fillId="2" borderId="22" xfId="0" applyFont="1" applyFill="1" applyBorder="1"/>
    <xf numFmtId="0" fontId="3" fillId="0" borderId="20" xfId="0" applyFont="1" applyBorder="1" applyAlignment="1">
      <alignment horizontal="left"/>
    </xf>
    <xf numFmtId="3" fontId="1" fillId="0" borderId="41" xfId="0" applyNumberFormat="1" applyFont="1" applyFill="1" applyBorder="1"/>
    <xf numFmtId="0" fontId="1" fillId="0" borderId="0" xfId="0" applyFont="1" applyBorder="1"/>
    <xf numFmtId="0" fontId="10" fillId="2" borderId="17" xfId="0" applyFont="1" applyFill="1" applyBorder="1"/>
    <xf numFmtId="165" fontId="3" fillId="0" borderId="0" xfId="0" applyNumberFormat="1" applyFont="1" applyBorder="1" applyAlignment="1">
      <alignment horizontal="center"/>
    </xf>
    <xf numFmtId="3" fontId="10" fillId="2" borderId="12" xfId="1" applyNumberFormat="1" applyFont="1" applyFill="1" applyBorder="1"/>
    <xf numFmtId="0" fontId="6" fillId="0" borderId="17" xfId="0" applyFont="1" applyBorder="1" applyAlignment="1">
      <alignment horizontal="left"/>
    </xf>
    <xf numFmtId="0" fontId="13" fillId="0" borderId="15" xfId="0" applyFont="1" applyBorder="1" applyAlignment="1"/>
    <xf numFmtId="3" fontId="1" fillId="0" borderId="18" xfId="1" applyNumberFormat="1" applyFont="1" applyFill="1" applyBorder="1"/>
    <xf numFmtId="0" fontId="10" fillId="0" borderId="14" xfId="0" applyFont="1" applyBorder="1" applyAlignment="1"/>
    <xf numFmtId="0" fontId="10" fillId="0" borderId="41" xfId="0" applyFont="1" applyBorder="1"/>
    <xf numFmtId="0" fontId="6" fillId="0" borderId="14" xfId="0" applyFont="1" applyBorder="1"/>
    <xf numFmtId="0" fontId="1" fillId="0" borderId="0" xfId="0" applyFont="1"/>
    <xf numFmtId="166" fontId="3" fillId="0" borderId="14" xfId="0" applyNumberFormat="1" applyFont="1" applyFill="1" applyBorder="1" applyAlignment="1" applyProtection="1">
      <alignment horizontal="centerContinuous"/>
    </xf>
    <xf numFmtId="3" fontId="1" fillId="0" borderId="4" xfId="1" applyNumberFormat="1" applyFont="1" applyBorder="1"/>
    <xf numFmtId="0" fontId="10" fillId="0" borderId="14" xfId="0" applyFont="1" applyBorder="1"/>
    <xf numFmtId="0" fontId="2" fillId="0" borderId="42" xfId="0" applyFont="1" applyBorder="1" applyAlignment="1">
      <alignment horizontal="left"/>
    </xf>
    <xf numFmtId="0" fontId="3" fillId="0" borderId="22" xfId="0" applyNumberFormat="1" applyFont="1" applyFill="1" applyBorder="1" applyAlignment="1" applyProtection="1"/>
    <xf numFmtId="0" fontId="2" fillId="0" borderId="2" xfId="0" applyNumberFormat="1" applyFont="1" applyBorder="1" applyAlignment="1">
      <alignment horizontal="left"/>
    </xf>
    <xf numFmtId="0" fontId="3" fillId="0" borderId="24" xfId="0" applyFont="1" applyBorder="1"/>
    <xf numFmtId="3" fontId="8" fillId="2" borderId="11" xfId="1" applyNumberFormat="1" applyFont="1" applyFill="1" applyBorder="1"/>
    <xf numFmtId="0" fontId="2" fillId="0" borderId="0" xfId="0" applyFont="1" applyFill="1" applyBorder="1" applyAlignment="1" applyProtection="1">
      <alignment horizontal="centerContinuous"/>
    </xf>
    <xf numFmtId="0" fontId="6" fillId="0" borderId="0" xfId="0" applyFont="1" applyBorder="1"/>
    <xf numFmtId="3" fontId="1" fillId="0" borderId="18" xfId="1" applyNumberFormat="1" applyFont="1" applyBorder="1"/>
    <xf numFmtId="0" fontId="4" fillId="0" borderId="27" xfId="0" applyFont="1" applyFill="1" applyBorder="1"/>
    <xf numFmtId="0" fontId="2" fillId="0" borderId="20" xfId="0" applyFont="1" applyBorder="1" applyAlignment="1">
      <alignment horizontal="left"/>
    </xf>
    <xf numFmtId="0" fontId="10" fillId="0" borderId="19" xfId="0" applyNumberFormat="1" applyFont="1" applyFill="1" applyBorder="1" applyAlignment="1" applyProtection="1"/>
    <xf numFmtId="3" fontId="1" fillId="0" borderId="46" xfId="0" applyNumberFormat="1" applyFont="1" applyFill="1" applyBorder="1"/>
    <xf numFmtId="0" fontId="1" fillId="0" borderId="8" xfId="0" applyFont="1" applyBorder="1"/>
    <xf numFmtId="0" fontId="13" fillId="0" borderId="20" xfId="0" applyFont="1" applyBorder="1" applyAlignment="1"/>
    <xf numFmtId="0" fontId="10" fillId="0" borderId="0" xfId="0" applyFont="1" applyBorder="1"/>
    <xf numFmtId="0" fontId="8" fillId="0" borderId="29" xfId="0" applyFont="1" applyBorder="1"/>
    <xf numFmtId="0" fontId="15" fillId="4" borderId="44" xfId="0" applyFont="1" applyFill="1" applyBorder="1" applyAlignment="1"/>
    <xf numFmtId="0" fontId="3" fillId="0" borderId="14" xfId="0" applyFont="1" applyBorder="1" applyAlignment="1">
      <alignment horizontal="centerContinuous"/>
    </xf>
    <xf numFmtId="3" fontId="1" fillId="0" borderId="43" xfId="1" applyNumberFormat="1" applyFont="1" applyBorder="1"/>
    <xf numFmtId="0" fontId="6" fillId="0" borderId="2" xfId="0" applyFont="1" applyBorder="1"/>
    <xf numFmtId="3" fontId="1" fillId="0" borderId="26" xfId="1" applyNumberFormat="1" applyFont="1" applyBorder="1"/>
    <xf numFmtId="0" fontId="8" fillId="2" borderId="10" xfId="0" applyFont="1" applyFill="1" applyBorder="1"/>
    <xf numFmtId="0" fontId="10" fillId="0" borderId="24" xfId="0" applyFont="1" applyBorder="1"/>
    <xf numFmtId="0" fontId="3" fillId="0" borderId="8" xfId="0" applyFont="1" applyBorder="1"/>
    <xf numFmtId="0" fontId="16" fillId="5" borderId="44" xfId="0" applyFont="1" applyFill="1" applyBorder="1" applyAlignment="1"/>
    <xf numFmtId="1" fontId="4" fillId="0" borderId="10" xfId="0" applyNumberFormat="1" applyFont="1" applyBorder="1"/>
    <xf numFmtId="0" fontId="10" fillId="0" borderId="2" xfId="0" applyFont="1" applyBorder="1"/>
    <xf numFmtId="3" fontId="1" fillId="0" borderId="27" xfId="0" applyNumberFormat="1" applyFont="1" applyBorder="1"/>
    <xf numFmtId="0" fontId="3" fillId="0" borderId="3" xfId="0" applyFont="1" applyBorder="1"/>
    <xf numFmtId="3" fontId="1" fillId="0" borderId="30" xfId="1" applyNumberFormat="1" applyFont="1" applyBorder="1"/>
    <xf numFmtId="0" fontId="3" fillId="0" borderId="17" xfId="0" applyFont="1" applyBorder="1" applyAlignment="1">
      <alignment horizontal="center"/>
    </xf>
    <xf numFmtId="3" fontId="11" fillId="0" borderId="21" xfId="0" applyNumberFormat="1" applyFont="1" applyBorder="1" applyAlignment="1"/>
    <xf numFmtId="0" fontId="6" fillId="0" borderId="15" xfId="0" applyFont="1" applyBorder="1" applyAlignment="1">
      <alignment horizontal="center"/>
    </xf>
    <xf numFmtId="1" fontId="5" fillId="0" borderId="11" xfId="0" applyNumberFormat="1" applyFont="1" applyBorder="1"/>
    <xf numFmtId="0" fontId="3" fillId="0" borderId="47" xfId="0" applyFont="1" applyBorder="1" applyAlignment="1">
      <alignment horizontal="center"/>
    </xf>
    <xf numFmtId="0" fontId="10" fillId="0" borderId="8" xfId="0" applyFont="1" applyBorder="1"/>
    <xf numFmtId="3" fontId="1" fillId="0" borderId="10" xfId="0" applyNumberFormat="1" applyFont="1" applyFill="1" applyBorder="1"/>
    <xf numFmtId="166" fontId="10" fillId="0" borderId="2" xfId="0" applyNumberFormat="1" applyFont="1" applyFill="1" applyBorder="1" applyAlignment="1" applyProtection="1">
      <alignment horizontal="centerContinuous"/>
    </xf>
    <xf numFmtId="0" fontId="4" fillId="0" borderId="10" xfId="0" applyFont="1" applyFill="1" applyBorder="1"/>
    <xf numFmtId="0" fontId="6" fillId="0" borderId="14" xfId="0" applyFont="1" applyBorder="1" applyAlignment="1">
      <alignment horizontal="left"/>
    </xf>
    <xf numFmtId="3" fontId="6" fillId="0" borderId="31" xfId="0" applyNumberFormat="1" applyFont="1" applyFill="1" applyBorder="1" applyAlignment="1" applyProtection="1">
      <alignment horizontal="centerContinuous"/>
    </xf>
    <xf numFmtId="0" fontId="3" fillId="0" borderId="0" xfId="0" applyFont="1" applyBorder="1" applyAlignment="1">
      <alignment horizontal="left"/>
    </xf>
    <xf numFmtId="0" fontId="8" fillId="2" borderId="6" xfId="0" applyFont="1" applyFill="1" applyBorder="1"/>
    <xf numFmtId="164" fontId="17" fillId="0" borderId="22" xfId="0" applyNumberFormat="1" applyFont="1" applyFill="1" applyBorder="1" applyAlignment="1" applyProtection="1"/>
    <xf numFmtId="3" fontId="2" fillId="0" borderId="31" xfId="0" applyNumberFormat="1" applyFont="1" applyFill="1" applyBorder="1" applyAlignment="1" applyProtection="1">
      <alignment horizontal="centerContinuous"/>
    </xf>
    <xf numFmtId="3" fontId="1" fillId="0" borderId="10" xfId="0" applyNumberFormat="1" applyFont="1" applyBorder="1"/>
    <xf numFmtId="0" fontId="13" fillId="0" borderId="14" xfId="0" applyFont="1" applyBorder="1" applyAlignment="1"/>
    <xf numFmtId="0" fontId="1" fillId="0" borderId="25" xfId="0" applyFont="1" applyFill="1" applyBorder="1"/>
    <xf numFmtId="0" fontId="10" fillId="2" borderId="0" xfId="0" applyFont="1" applyFill="1" applyBorder="1"/>
    <xf numFmtId="0" fontId="4" fillId="0" borderId="10" xfId="0" applyFont="1" applyBorder="1"/>
    <xf numFmtId="0" fontId="5" fillId="0" borderId="11" xfId="0" applyFont="1" applyFill="1" applyBorder="1"/>
    <xf numFmtId="0" fontId="8" fillId="0" borderId="7" xfId="0" applyFont="1" applyBorder="1"/>
    <xf numFmtId="3" fontId="8" fillId="2" borderId="39" xfId="1" applyNumberFormat="1" applyFont="1" applyFill="1" applyBorder="1"/>
    <xf numFmtId="0" fontId="6" fillId="0" borderId="2" xfId="0" applyFont="1" applyBorder="1" applyAlignment="1">
      <alignment horizontal="centerContinuous"/>
    </xf>
    <xf numFmtId="3" fontId="1" fillId="0" borderId="23" xfId="0" applyNumberFormat="1" applyFont="1" applyBorder="1"/>
    <xf numFmtId="3" fontId="8" fillId="2" borderId="12" xfId="1" applyNumberFormat="1" applyFont="1" applyFill="1" applyBorder="1"/>
    <xf numFmtId="3" fontId="1" fillId="0" borderId="33" xfId="1" applyNumberFormat="1" applyFont="1" applyBorder="1"/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2" xfId="0" applyFont="1" applyFill="1" applyBorder="1"/>
    <xf numFmtId="3" fontId="1" fillId="0" borderId="6" xfId="1" applyNumberFormat="1" applyFont="1" applyBorder="1"/>
    <xf numFmtId="3" fontId="1" fillId="0" borderId="32" xfId="1" applyNumberFormat="1" applyFont="1" applyBorder="1"/>
    <xf numFmtId="3" fontId="1" fillId="0" borderId="41" xfId="1" applyNumberFormat="1" applyFont="1" applyBorder="1"/>
    <xf numFmtId="3" fontId="8" fillId="2" borderId="6" xfId="1" applyNumberFormat="1" applyFont="1" applyFill="1" applyBorder="1"/>
    <xf numFmtId="3" fontId="8" fillId="2" borderId="41" xfId="1" applyNumberFormat="1" applyFont="1" applyFill="1" applyBorder="1"/>
    <xf numFmtId="2" fontId="1" fillId="6" borderId="44" xfId="0" applyNumberFormat="1" applyFont="1" applyFill="1" applyBorder="1" applyAlignment="1">
      <alignment horizontal="center"/>
    </xf>
    <xf numFmtId="2" fontId="1" fillId="7" borderId="4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3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left"/>
    </xf>
    <xf numFmtId="3" fontId="2" fillId="0" borderId="20" xfId="0" applyNumberFormat="1" applyFont="1" applyFill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</xf>
    <xf numFmtId="3" fontId="2" fillId="0" borderId="20" xfId="0" applyNumberFormat="1" applyFont="1" applyFill="1" applyBorder="1" applyAlignment="1" applyProtection="1">
      <alignment horizontal="left"/>
    </xf>
    <xf numFmtId="3" fontId="2" fillId="0" borderId="14" xfId="0" applyNumberFormat="1" applyFont="1" applyFill="1" applyBorder="1" applyAlignment="1" applyProtection="1">
      <alignment horizontal="left"/>
    </xf>
    <xf numFmtId="0" fontId="3" fillId="0" borderId="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/>
    </xf>
    <xf numFmtId="0" fontId="3" fillId="0" borderId="19" xfId="0" applyNumberFormat="1" applyFont="1" applyFill="1" applyBorder="1" applyAlignment="1" applyProtection="1">
      <alignment horizontal="center"/>
    </xf>
    <xf numFmtId="0" fontId="8" fillId="0" borderId="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" fontId="2" fillId="0" borderId="2" xfId="0" applyNumberFormat="1" applyFont="1" applyFill="1" applyBorder="1" applyAlignment="1" applyProtection="1">
      <alignment horizontal="center"/>
    </xf>
    <xf numFmtId="0" fontId="3" fillId="0" borderId="2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7" xfId="0" applyNumberFormat="1" applyFont="1" applyFill="1" applyBorder="1" applyAlignment="1" applyProtection="1">
      <alignment horizontal="center"/>
    </xf>
    <xf numFmtId="0" fontId="3" fillId="0" borderId="25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/>
    <xf numFmtId="0" fontId="1" fillId="0" borderId="31" xfId="0" applyFont="1" applyBorder="1"/>
    <xf numFmtId="166" fontId="2" fillId="0" borderId="20" xfId="0" applyNumberFormat="1" applyFont="1" applyFill="1" applyBorder="1" applyAlignment="1" applyProtection="1">
      <alignment horizontal="center"/>
    </xf>
    <xf numFmtId="166" fontId="2" fillId="0" borderId="14" xfId="0" applyNumberFormat="1" applyFont="1" applyFill="1" applyBorder="1" applyAlignment="1" applyProtection="1">
      <alignment horizontal="center"/>
    </xf>
    <xf numFmtId="166" fontId="2" fillId="0" borderId="2" xfId="0" applyNumberFormat="1" applyFont="1" applyFill="1" applyBorder="1" applyAlignment="1" applyProtection="1">
      <alignment horizontal="center"/>
    </xf>
    <xf numFmtId="0" fontId="13" fillId="0" borderId="15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38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3" fontId="1" fillId="0" borderId="20" xfId="0" applyNumberFormat="1" applyFont="1" applyFill="1" applyBorder="1" applyAlignment="1">
      <alignment horizontal="right"/>
    </xf>
    <xf numFmtId="3" fontId="1" fillId="0" borderId="37" xfId="0" applyNumberFormat="1" applyFont="1" applyFill="1" applyBorder="1" applyAlignment="1">
      <alignment horizontal="right"/>
    </xf>
    <xf numFmtId="3" fontId="1" fillId="0" borderId="36" xfId="0" applyNumberFormat="1" applyFont="1" applyFill="1" applyBorder="1" applyAlignment="1">
      <alignment horizontal="right"/>
    </xf>
    <xf numFmtId="3" fontId="1" fillId="0" borderId="28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5" fillId="0" borderId="29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3" fontId="1" fillId="0" borderId="6" xfId="1" applyNumberFormat="1" applyFont="1" applyBorder="1" applyAlignment="1">
      <alignment horizontal="right"/>
    </xf>
    <xf numFmtId="3" fontId="1" fillId="0" borderId="34" xfId="1" applyNumberFormat="1" applyFont="1" applyBorder="1" applyAlignment="1">
      <alignment horizontal="right"/>
    </xf>
    <xf numFmtId="3" fontId="1" fillId="0" borderId="10" xfId="1" applyNumberFormat="1" applyFont="1" applyBorder="1" applyAlignment="1">
      <alignment horizontal="right"/>
    </xf>
    <xf numFmtId="3" fontId="1" fillId="0" borderId="38" xfId="1" applyNumberFormat="1" applyFont="1" applyBorder="1" applyAlignment="1">
      <alignment horizontal="right"/>
    </xf>
    <xf numFmtId="3" fontId="1" fillId="0" borderId="12" xfId="1" applyNumberFormat="1" applyFont="1" applyBorder="1" applyAlignment="1">
      <alignment horizontal="right"/>
    </xf>
    <xf numFmtId="3" fontId="1" fillId="0" borderId="41" xfId="1" applyNumberFormat="1" applyFont="1" applyBorder="1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/>
    <xf numFmtId="0" fontId="7" fillId="0" borderId="0" xfId="0" applyNumberFormat="1" applyFont="1"/>
    <xf numFmtId="0" fontId="7" fillId="0" borderId="0" xfId="0" applyFont="1"/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0"/>
  <sheetViews>
    <sheetView tabSelected="1" zoomScale="70" zoomScaleNormal="70" workbookViewId="0">
      <pane ySplit="28" topLeftCell="A29" activePane="bottomLeft" state="frozen"/>
      <selection pane="bottomLeft" activeCell="AC51" sqref="AC51"/>
    </sheetView>
  </sheetViews>
  <sheetFormatPr defaultColWidth="8.85546875" defaultRowHeight="15" x14ac:dyDescent="0.25"/>
  <cols>
    <col min="1" max="9" width="13.7109375" style="120" customWidth="1"/>
    <col min="10" max="13" width="7.28515625" style="120" customWidth="1"/>
    <col min="14" max="14" width="13.7109375" style="120" customWidth="1"/>
    <col min="15" max="17" width="13.7109375" style="120" hidden="1" customWidth="1"/>
    <col min="18" max="20" width="13.7109375" style="120" customWidth="1"/>
    <col min="21" max="16384" width="8.85546875" style="120"/>
  </cols>
  <sheetData>
    <row r="1" spans="1:20" ht="17.25" customHeight="1" x14ac:dyDescent="0.25">
      <c r="H1" s="235" t="s">
        <v>195</v>
      </c>
      <c r="I1" s="236"/>
      <c r="J1" s="236"/>
      <c r="K1" s="236"/>
      <c r="L1" s="236"/>
      <c r="M1" s="236"/>
    </row>
    <row r="2" spans="1:20" x14ac:dyDescent="0.25">
      <c r="A2" s="244" t="s">
        <v>61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1:20" ht="18.75" x14ac:dyDescent="0.3">
      <c r="A3" s="27"/>
      <c r="B3" s="115"/>
      <c r="C3" s="115"/>
      <c r="D3" s="115"/>
      <c r="E3" s="242" t="s">
        <v>137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156"/>
      <c r="R3" s="136"/>
      <c r="S3" s="9" t="s">
        <v>204</v>
      </c>
      <c r="T3" s="11"/>
    </row>
    <row r="4" spans="1:20" ht="18.75" x14ac:dyDescent="0.3">
      <c r="A4" s="137"/>
      <c r="B4" s="170"/>
      <c r="C4" s="170"/>
      <c r="D4" s="170"/>
      <c r="E4" s="243" t="s">
        <v>37</v>
      </c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117" t="s">
        <v>154</v>
      </c>
      <c r="R4" s="126" t="s">
        <v>71</v>
      </c>
      <c r="S4" s="108" t="s">
        <v>14</v>
      </c>
      <c r="T4" s="177"/>
    </row>
    <row r="5" spans="1:20" x14ac:dyDescent="0.25">
      <c r="A5" s="175" t="s">
        <v>63</v>
      </c>
      <c r="B5" s="88"/>
      <c r="C5" s="88"/>
      <c r="D5" s="51"/>
      <c r="E5" s="175" t="s">
        <v>116</v>
      </c>
      <c r="F5" s="88"/>
      <c r="G5" s="88"/>
      <c r="H5" s="88"/>
      <c r="I5" s="51"/>
      <c r="J5" s="175" t="s">
        <v>16</v>
      </c>
      <c r="K5" s="139"/>
      <c r="L5" s="139"/>
      <c r="M5" s="88"/>
      <c r="N5" s="88"/>
      <c r="O5" s="88"/>
      <c r="P5" s="88"/>
      <c r="Q5" s="51"/>
      <c r="R5" s="175" t="s">
        <v>81</v>
      </c>
      <c r="S5" s="88"/>
      <c r="T5" s="51"/>
    </row>
    <row r="6" spans="1:20" x14ac:dyDescent="0.25">
      <c r="A6" s="73" t="s">
        <v>90</v>
      </c>
      <c r="B6" s="138"/>
      <c r="C6" s="138"/>
      <c r="D6" s="40"/>
      <c r="E6" s="152" t="s">
        <v>90</v>
      </c>
      <c r="F6" s="81"/>
      <c r="G6" s="81"/>
      <c r="H6" s="81"/>
      <c r="I6" s="159"/>
      <c r="J6" s="152" t="s">
        <v>90</v>
      </c>
      <c r="K6" s="66"/>
      <c r="L6" s="66"/>
      <c r="M6" s="81"/>
      <c r="N6" s="81"/>
      <c r="O6" s="81"/>
      <c r="P6" s="81"/>
      <c r="Q6" s="159"/>
      <c r="R6" s="152" t="s">
        <v>6</v>
      </c>
      <c r="S6" s="81"/>
      <c r="T6" s="159"/>
    </row>
    <row r="7" spans="1:20" x14ac:dyDescent="0.25">
      <c r="A7" s="83" t="s">
        <v>211</v>
      </c>
      <c r="B7" s="163"/>
      <c r="C7" s="123"/>
      <c r="D7" s="150"/>
      <c r="E7" s="77" t="s">
        <v>140</v>
      </c>
      <c r="F7" s="123"/>
      <c r="G7" s="123"/>
      <c r="H7" s="123"/>
      <c r="I7" s="150"/>
      <c r="J7" s="77" t="s">
        <v>171</v>
      </c>
      <c r="K7" s="163"/>
      <c r="L7" s="163"/>
      <c r="M7" s="123"/>
      <c r="N7" s="123"/>
      <c r="O7" s="123"/>
      <c r="P7" s="123"/>
      <c r="Q7" s="150"/>
      <c r="R7" s="114"/>
      <c r="S7" s="138"/>
      <c r="T7" s="58"/>
    </row>
    <row r="8" spans="1:20" x14ac:dyDescent="0.25">
      <c r="A8" s="152" t="s">
        <v>156</v>
      </c>
      <c r="B8" s="81"/>
      <c r="C8" s="81"/>
      <c r="D8" s="159"/>
      <c r="E8" s="152" t="s">
        <v>67</v>
      </c>
      <c r="F8" s="81"/>
      <c r="G8" s="81"/>
      <c r="H8" s="81"/>
      <c r="I8" s="159"/>
      <c r="J8" s="152" t="s">
        <v>157</v>
      </c>
      <c r="K8" s="66"/>
      <c r="L8" s="66"/>
      <c r="M8" s="81"/>
      <c r="N8" s="81"/>
      <c r="O8" s="81"/>
      <c r="P8" s="81"/>
      <c r="Q8" s="81"/>
      <c r="R8" s="103">
        <v>44013</v>
      </c>
      <c r="S8" s="121"/>
      <c r="T8" s="161"/>
    </row>
    <row r="9" spans="1:20" x14ac:dyDescent="0.25">
      <c r="A9" s="50" t="s">
        <v>119</v>
      </c>
      <c r="B9" s="130"/>
      <c r="C9" s="138"/>
      <c r="D9" s="40"/>
      <c r="E9" s="77" t="s">
        <v>195</v>
      </c>
      <c r="F9" s="123"/>
      <c r="G9" s="123"/>
      <c r="H9" s="123"/>
      <c r="I9" s="150"/>
      <c r="J9" s="77" t="s">
        <v>195</v>
      </c>
      <c r="K9" s="34"/>
      <c r="L9" s="34"/>
      <c r="M9" s="34"/>
      <c r="N9" s="123"/>
      <c r="O9" s="123"/>
      <c r="P9" s="123"/>
      <c r="Q9" s="150"/>
      <c r="R9" s="73" t="s">
        <v>35</v>
      </c>
      <c r="S9" s="138"/>
      <c r="T9" s="40"/>
    </row>
    <row r="10" spans="1:20" x14ac:dyDescent="0.25">
      <c r="A10" s="90"/>
      <c r="B10" s="138"/>
      <c r="C10" s="138"/>
      <c r="D10" s="40"/>
      <c r="E10" s="152" t="s">
        <v>150</v>
      </c>
      <c r="F10" s="81"/>
      <c r="G10" s="159"/>
      <c r="H10" s="152" t="s">
        <v>209</v>
      </c>
      <c r="I10" s="159"/>
      <c r="J10" s="152" t="s">
        <v>122</v>
      </c>
      <c r="K10" s="152"/>
      <c r="L10" s="66"/>
      <c r="M10" s="81"/>
      <c r="N10" s="81"/>
      <c r="O10" s="81"/>
      <c r="P10" s="81"/>
      <c r="Q10" s="159"/>
      <c r="R10" s="90"/>
      <c r="S10" s="138"/>
      <c r="T10" s="40"/>
    </row>
    <row r="11" spans="1:20" x14ac:dyDescent="0.25">
      <c r="A11" s="95"/>
      <c r="B11" s="123"/>
      <c r="C11" s="123"/>
      <c r="D11" s="150"/>
      <c r="E11" s="77" t="s">
        <v>195</v>
      </c>
      <c r="F11" s="123"/>
      <c r="G11" s="150"/>
      <c r="H11" s="77" t="s">
        <v>195</v>
      </c>
      <c r="I11" s="150"/>
      <c r="J11" s="42" t="str">
        <f>IF(1=0,"X"," ")</f>
        <v xml:space="preserve"> </v>
      </c>
      <c r="K11" s="10" t="s">
        <v>174</v>
      </c>
      <c r="L11" s="10" t="str">
        <f>IF(1=1,"X"," ")</f>
        <v>X</v>
      </c>
      <c r="M11" s="125" t="s">
        <v>205</v>
      </c>
      <c r="N11" s="167">
        <f>IF(OR(1=0,1=1), IF(DATE(2008, 9, 15)=0, " ", DATE(2008, 9, 15)), IF(1=2, "N/A"," "))</f>
        <v>39706</v>
      </c>
      <c r="O11" s="54"/>
      <c r="P11" s="35"/>
      <c r="Q11" s="118"/>
      <c r="R11" s="103">
        <v>44043</v>
      </c>
      <c r="S11" s="121"/>
      <c r="T11" s="161"/>
    </row>
    <row r="12" spans="1:20" x14ac:dyDescent="0.25">
      <c r="A12" s="212" t="s">
        <v>76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4"/>
    </row>
    <row r="13" spans="1:20" x14ac:dyDescent="0.25">
      <c r="A13" s="99" t="s">
        <v>40</v>
      </c>
      <c r="B13" s="9" t="s">
        <v>51</v>
      </c>
      <c r="C13" s="200" t="s">
        <v>56</v>
      </c>
      <c r="D13" s="202"/>
      <c r="E13" s="200" t="s">
        <v>97</v>
      </c>
      <c r="F13" s="202"/>
      <c r="G13" s="200" t="s">
        <v>153</v>
      </c>
      <c r="H13" s="202"/>
      <c r="I13" s="200" t="s">
        <v>189</v>
      </c>
      <c r="J13" s="201"/>
      <c r="K13" s="202"/>
      <c r="L13" s="200" t="s">
        <v>110</v>
      </c>
      <c r="M13" s="201"/>
      <c r="N13" s="202"/>
      <c r="O13" s="193" t="s">
        <v>50</v>
      </c>
      <c r="P13" s="194"/>
      <c r="Q13" s="195"/>
      <c r="R13" s="57" t="s">
        <v>200</v>
      </c>
      <c r="S13" s="60"/>
      <c r="T13" s="64"/>
    </row>
    <row r="14" spans="1:20" x14ac:dyDescent="0.25">
      <c r="A14" s="146"/>
      <c r="B14" s="73" t="s">
        <v>188</v>
      </c>
      <c r="C14" s="191" t="s">
        <v>145</v>
      </c>
      <c r="D14" s="192"/>
      <c r="E14" s="191"/>
      <c r="F14" s="245"/>
      <c r="G14" s="191"/>
      <c r="H14" s="192"/>
      <c r="I14" s="221"/>
      <c r="J14" s="222"/>
      <c r="K14" s="223"/>
      <c r="L14" s="221" t="s">
        <v>60</v>
      </c>
      <c r="M14" s="222"/>
      <c r="N14" s="223"/>
      <c r="O14" s="69"/>
      <c r="P14" s="129"/>
      <c r="Q14" s="129"/>
      <c r="R14" s="17"/>
      <c r="S14" s="110"/>
      <c r="T14" s="134"/>
    </row>
    <row r="15" spans="1:20" x14ac:dyDescent="0.25">
      <c r="A15" s="62">
        <v>1</v>
      </c>
      <c r="B15" s="62">
        <v>0</v>
      </c>
      <c r="C15" s="196">
        <v>0</v>
      </c>
      <c r="D15" s="226"/>
      <c r="E15" s="196">
        <f>0*(0/100)</f>
        <v>0</v>
      </c>
      <c r="F15" s="197"/>
      <c r="G15" s="196">
        <f>0+0</f>
        <v>0</v>
      </c>
      <c r="H15" s="226"/>
      <c r="I15" s="197">
        <f>0+(0*(0/100))</f>
        <v>0</v>
      </c>
      <c r="J15" s="197"/>
      <c r="K15" s="196"/>
      <c r="L15" s="196">
        <v>0</v>
      </c>
      <c r="M15" s="197"/>
      <c r="N15" s="226"/>
      <c r="O15" s="196">
        <v>0</v>
      </c>
      <c r="P15" s="197"/>
      <c r="Q15" s="197"/>
      <c r="R15" s="239"/>
      <c r="S15" s="240"/>
      <c r="T15" s="241"/>
    </row>
    <row r="16" spans="1:20" x14ac:dyDescent="0.25">
      <c r="A16" s="212" t="s">
        <v>135</v>
      </c>
      <c r="B16" s="213"/>
      <c r="C16" s="213"/>
      <c r="D16" s="213"/>
      <c r="E16" s="213"/>
      <c r="F16" s="213"/>
      <c r="G16" s="213"/>
      <c r="H16" s="214"/>
      <c r="I16" s="212" t="s">
        <v>42</v>
      </c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4"/>
    </row>
    <row r="17" spans="1:23" x14ac:dyDescent="0.25">
      <c r="A17" s="111"/>
      <c r="B17" s="172"/>
      <c r="C17" s="3" t="s">
        <v>113</v>
      </c>
      <c r="D17" s="20"/>
      <c r="E17" s="3" t="s">
        <v>182</v>
      </c>
      <c r="F17" s="20"/>
      <c r="G17" s="3" t="s">
        <v>201</v>
      </c>
      <c r="H17" s="20"/>
      <c r="I17" s="152" t="s">
        <v>185</v>
      </c>
      <c r="J17" s="84" t="s">
        <v>1</v>
      </c>
      <c r="K17" s="84"/>
      <c r="L17" s="84"/>
      <c r="M17" s="66"/>
      <c r="N17" s="147"/>
      <c r="O17" s="152" t="s">
        <v>57</v>
      </c>
      <c r="P17" s="66"/>
      <c r="Q17" s="66"/>
      <c r="R17" s="66"/>
      <c r="S17" s="66"/>
      <c r="T17" s="147"/>
    </row>
    <row r="18" spans="1:23" x14ac:dyDescent="0.25">
      <c r="A18" s="111"/>
      <c r="B18" s="172"/>
      <c r="C18" s="101" t="s">
        <v>148</v>
      </c>
      <c r="D18" s="56"/>
      <c r="E18" s="101" t="s">
        <v>18</v>
      </c>
      <c r="F18" s="56"/>
      <c r="G18" s="18" t="s">
        <v>195</v>
      </c>
      <c r="H18" s="36"/>
      <c r="I18" s="114"/>
      <c r="J18" s="138"/>
      <c r="K18" s="138"/>
      <c r="L18" s="138"/>
      <c r="M18" s="138"/>
      <c r="N18" s="40"/>
      <c r="O18" s="114"/>
      <c r="P18" s="130"/>
      <c r="Q18" s="130"/>
      <c r="R18" s="138"/>
      <c r="S18" s="138"/>
      <c r="T18" s="40"/>
    </row>
    <row r="19" spans="1:23" x14ac:dyDescent="0.25">
      <c r="A19" s="111"/>
      <c r="B19" s="172"/>
      <c r="C19" s="80" t="s">
        <v>30</v>
      </c>
      <c r="D19" s="56"/>
      <c r="E19" s="105" t="s">
        <v>111</v>
      </c>
      <c r="F19" s="2"/>
      <c r="G19" s="105" t="s">
        <v>186</v>
      </c>
      <c r="H19" s="2"/>
      <c r="I19" s="198" t="s">
        <v>33</v>
      </c>
      <c r="J19" s="199"/>
      <c r="K19" s="199"/>
      <c r="L19" s="199"/>
      <c r="M19" s="199"/>
      <c r="N19" s="143"/>
      <c r="O19" s="198" t="s">
        <v>68</v>
      </c>
      <c r="P19" s="199"/>
      <c r="Q19" s="199"/>
      <c r="R19" s="119"/>
      <c r="S19" s="119"/>
      <c r="T19" s="143"/>
    </row>
    <row r="20" spans="1:23" x14ac:dyDescent="0.25">
      <c r="A20" s="200" t="s">
        <v>53</v>
      </c>
      <c r="B20" s="202"/>
      <c r="C20" s="168">
        <v>0</v>
      </c>
      <c r="D20" s="164"/>
      <c r="E20" s="22"/>
      <c r="F20" s="19"/>
      <c r="G20" s="22"/>
      <c r="H20" s="19"/>
      <c r="I20" s="152" t="s">
        <v>123</v>
      </c>
      <c r="J20" s="81"/>
      <c r="K20" s="81"/>
      <c r="L20" s="81"/>
      <c r="M20" s="81"/>
      <c r="N20" s="81"/>
      <c r="O20" s="81"/>
      <c r="P20" s="81"/>
      <c r="Q20" s="159"/>
      <c r="R20" s="152" t="s">
        <v>190</v>
      </c>
      <c r="S20" s="15" t="s">
        <v>9</v>
      </c>
      <c r="T20" s="159"/>
    </row>
    <row r="21" spans="1:23" x14ac:dyDescent="0.25">
      <c r="A21" s="229" t="s">
        <v>184</v>
      </c>
      <c r="B21" s="230"/>
      <c r="C21" s="168">
        <v>0</v>
      </c>
      <c r="D21" s="164"/>
      <c r="E21" s="111"/>
      <c r="F21" s="55"/>
      <c r="G21" s="111"/>
      <c r="H21" s="55"/>
      <c r="I21" s="90"/>
      <c r="J21" s="138"/>
      <c r="K21" s="138"/>
      <c r="L21" s="138"/>
      <c r="M21" s="138"/>
      <c r="N21" s="138"/>
      <c r="O21" s="138"/>
      <c r="P21" s="138"/>
      <c r="Q21" s="40"/>
      <c r="R21" s="73"/>
      <c r="S21" s="138"/>
      <c r="T21" s="40"/>
    </row>
    <row r="22" spans="1:23" x14ac:dyDescent="0.25">
      <c r="A22" s="227" t="s">
        <v>103</v>
      </c>
      <c r="B22" s="228"/>
      <c r="C22" s="65">
        <v>0</v>
      </c>
      <c r="D22" s="61"/>
      <c r="E22" s="49">
        <v>0</v>
      </c>
      <c r="F22" s="164"/>
      <c r="G22" s="49">
        <f>E22-C22</f>
        <v>0</v>
      </c>
      <c r="H22" s="164"/>
      <c r="I22" s="123"/>
      <c r="J22" s="123"/>
      <c r="K22" s="123"/>
      <c r="L22" s="123"/>
      <c r="M22" s="123"/>
      <c r="N22" s="123"/>
      <c r="O22" s="123"/>
      <c r="P22" s="123"/>
      <c r="Q22" s="150"/>
      <c r="R22" s="95"/>
      <c r="S22" s="123"/>
      <c r="T22" s="150"/>
    </row>
    <row r="23" spans="1:23" x14ac:dyDescent="0.25">
      <c r="A23" s="212" t="s">
        <v>46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4"/>
    </row>
    <row r="24" spans="1:23" x14ac:dyDescent="0.25">
      <c r="A24" s="233" t="s">
        <v>104</v>
      </c>
      <c r="B24" s="234"/>
      <c r="C24" s="218" t="s">
        <v>114</v>
      </c>
      <c r="D24" s="219"/>
      <c r="E24" s="219"/>
      <c r="F24" s="219"/>
      <c r="G24" s="220"/>
      <c r="H24" s="218" t="s">
        <v>62</v>
      </c>
      <c r="I24" s="219"/>
      <c r="J24" s="219"/>
      <c r="K24" s="219"/>
      <c r="L24" s="219"/>
      <c r="M24" s="219"/>
      <c r="N24" s="220"/>
      <c r="O24" s="205" t="s">
        <v>73</v>
      </c>
      <c r="P24" s="206"/>
      <c r="Q24" s="207"/>
      <c r="R24" s="218" t="s">
        <v>148</v>
      </c>
      <c r="S24" s="237"/>
      <c r="T24" s="238"/>
    </row>
    <row r="25" spans="1:23" x14ac:dyDescent="0.25">
      <c r="A25" s="210"/>
      <c r="B25" s="211"/>
      <c r="C25" s="141" t="s">
        <v>144</v>
      </c>
      <c r="D25" s="2"/>
      <c r="E25" s="5" t="s">
        <v>92</v>
      </c>
      <c r="F25" s="105" t="s">
        <v>201</v>
      </c>
      <c r="G25" s="2"/>
      <c r="H25" s="105" t="s">
        <v>144</v>
      </c>
      <c r="I25" s="2"/>
      <c r="J25" s="203" t="s">
        <v>92</v>
      </c>
      <c r="K25" s="204"/>
      <c r="L25" s="215" t="s">
        <v>201</v>
      </c>
      <c r="M25" s="216"/>
      <c r="N25" s="217"/>
      <c r="O25" s="208"/>
      <c r="P25" s="209"/>
      <c r="Q25" s="209"/>
      <c r="R25" s="39" t="s">
        <v>173</v>
      </c>
      <c r="S25" s="39" t="s">
        <v>75</v>
      </c>
      <c r="T25" s="5" t="s">
        <v>201</v>
      </c>
    </row>
    <row r="26" spans="1:23" x14ac:dyDescent="0.25">
      <c r="A26" s="210"/>
      <c r="B26" s="211"/>
      <c r="C26" s="38" t="s">
        <v>149</v>
      </c>
      <c r="D26" s="5" t="s">
        <v>149</v>
      </c>
      <c r="E26" s="31" t="s">
        <v>83</v>
      </c>
      <c r="F26" s="31"/>
      <c r="G26" s="31"/>
      <c r="H26" s="5" t="s">
        <v>149</v>
      </c>
      <c r="I26" s="5" t="s">
        <v>149</v>
      </c>
      <c r="J26" s="191" t="s">
        <v>83</v>
      </c>
      <c r="K26" s="192"/>
      <c r="L26" s="203"/>
      <c r="M26" s="204"/>
      <c r="N26" s="127"/>
      <c r="O26" s="5" t="s">
        <v>130</v>
      </c>
      <c r="P26" s="5" t="s">
        <v>28</v>
      </c>
      <c r="Q26" s="39"/>
      <c r="R26" s="154"/>
      <c r="S26" s="154"/>
      <c r="T26" s="31"/>
    </row>
    <row r="27" spans="1:23" x14ac:dyDescent="0.25">
      <c r="A27" s="210" t="s">
        <v>166</v>
      </c>
      <c r="B27" s="211"/>
      <c r="C27" s="89" t="s">
        <v>169</v>
      </c>
      <c r="D27" s="31" t="s">
        <v>163</v>
      </c>
      <c r="E27" s="31" t="s">
        <v>163</v>
      </c>
      <c r="F27" s="31" t="s">
        <v>28</v>
      </c>
      <c r="G27" s="31" t="s">
        <v>130</v>
      </c>
      <c r="H27" s="31" t="s">
        <v>169</v>
      </c>
      <c r="I27" s="31" t="s">
        <v>163</v>
      </c>
      <c r="J27" s="191" t="s">
        <v>163</v>
      </c>
      <c r="K27" s="192"/>
      <c r="L27" s="191" t="s">
        <v>28</v>
      </c>
      <c r="M27" s="192"/>
      <c r="N27" s="31" t="s">
        <v>130</v>
      </c>
      <c r="O27" s="31" t="s">
        <v>201</v>
      </c>
      <c r="P27" s="31" t="s">
        <v>201</v>
      </c>
      <c r="Q27" s="154" t="s">
        <v>59</v>
      </c>
      <c r="R27" s="73"/>
      <c r="S27" s="73"/>
      <c r="T27" s="127"/>
    </row>
    <row r="28" spans="1:23" x14ac:dyDescent="0.25">
      <c r="A28" s="231" t="s">
        <v>30</v>
      </c>
      <c r="B28" s="232"/>
      <c r="C28" s="59" t="s">
        <v>111</v>
      </c>
      <c r="D28" s="158" t="s">
        <v>186</v>
      </c>
      <c r="E28" s="158" t="s">
        <v>43</v>
      </c>
      <c r="F28" s="158" t="s">
        <v>124</v>
      </c>
      <c r="G28" s="158" t="s">
        <v>194</v>
      </c>
      <c r="H28" s="158" t="s">
        <v>54</v>
      </c>
      <c r="I28" s="158" t="s">
        <v>139</v>
      </c>
      <c r="J28" s="224" t="s">
        <v>207</v>
      </c>
      <c r="K28" s="225"/>
      <c r="L28" s="224" t="s">
        <v>8</v>
      </c>
      <c r="M28" s="225"/>
      <c r="N28" s="158" t="s">
        <v>87</v>
      </c>
      <c r="O28" s="158" t="s">
        <v>39</v>
      </c>
      <c r="P28" s="158" t="s">
        <v>117</v>
      </c>
      <c r="Q28" s="96" t="s">
        <v>24</v>
      </c>
      <c r="R28" s="96" t="s">
        <v>99</v>
      </c>
      <c r="S28" s="96" t="s">
        <v>181</v>
      </c>
      <c r="T28" s="158" t="s">
        <v>34</v>
      </c>
      <c r="V28" s="79" t="s">
        <v>115</v>
      </c>
      <c r="W28" s="79" t="s">
        <v>91</v>
      </c>
    </row>
    <row r="29" spans="1:23" ht="18" customHeight="1" x14ac:dyDescent="0.25">
      <c r="A29" s="68" t="str">
        <f>CONCATENATE(REPT("   ",1-1),"1.01A"," Project Management")</f>
        <v>1.01A Project Management</v>
      </c>
      <c r="B29" s="74"/>
      <c r="C29" s="33">
        <v>23924.546999999999</v>
      </c>
      <c r="D29" s="16">
        <v>23924.546999999999</v>
      </c>
      <c r="E29" s="25">
        <v>19603.43</v>
      </c>
      <c r="F29" s="72">
        <f t="shared" ref="F29:F37" si="0">D29 - C29</f>
        <v>0</v>
      </c>
      <c r="G29" s="32">
        <f t="shared" ref="G29:G37" si="1">D29 - E29</f>
        <v>4321.1169999999984</v>
      </c>
      <c r="H29" s="151">
        <f t="shared" ref="H29:I29" si="2">(1693245.0134+23924.547)</f>
        <v>1717169.5604000001</v>
      </c>
      <c r="I29" s="16">
        <f t="shared" si="2"/>
        <v>1717169.5604000001</v>
      </c>
      <c r="J29" s="246">
        <f>(1544798.69+19603.43)</f>
        <v>1564402.1199999999</v>
      </c>
      <c r="K29" s="248"/>
      <c r="L29" s="246">
        <f t="shared" ref="L29:L37" si="3">I29 - H29</f>
        <v>0</v>
      </c>
      <c r="M29" s="247"/>
      <c r="N29" s="155">
        <f t="shared" ref="N29:N37" si="4">I29 - J29</f>
        <v>152767.4404000002</v>
      </c>
      <c r="O29" s="63">
        <f t="shared" ref="O29:Q37" si="5">(0+0+0)</f>
        <v>0</v>
      </c>
      <c r="P29" s="94">
        <f t="shared" si="5"/>
        <v>0</v>
      </c>
      <c r="Q29" s="44">
        <f t="shared" si="5"/>
        <v>0</v>
      </c>
      <c r="R29" s="25">
        <f>(1693245.0134+23924.547+234508.9706)</f>
        <v>1951678.531</v>
      </c>
      <c r="S29" s="169">
        <f>(1544798.69+19603.43+234508.9706)</f>
        <v>1798911.0905999998</v>
      </c>
      <c r="T29" s="178">
        <f t="shared" ref="T29:T39" si="6">R29 - S29</f>
        <v>152767.4404000002</v>
      </c>
      <c r="V29" s="189">
        <f t="shared" ref="V29:V35" si="7">IF(H29=0,"-",(I29/H29))</f>
        <v>1</v>
      </c>
      <c r="W29" s="189">
        <f t="shared" ref="W29:W35" si="8">IF(J29=0,"-",(I29/J29))</f>
        <v>1.0976522841838134</v>
      </c>
    </row>
    <row r="30" spans="1:23" ht="18" customHeight="1" x14ac:dyDescent="0.25">
      <c r="A30" s="68" t="str">
        <f>CONCATENATE(REPT("   ",1-1),"1.02A"," TPC")</f>
        <v>1.02A TPC</v>
      </c>
      <c r="B30" s="74"/>
      <c r="C30" s="33">
        <v>70945.121299999999</v>
      </c>
      <c r="D30" s="16">
        <v>216680.41519999999</v>
      </c>
      <c r="E30" s="25">
        <v>52664.04</v>
      </c>
      <c r="F30" s="72">
        <f t="shared" si="0"/>
        <v>145735.29389999999</v>
      </c>
      <c r="G30" s="32">
        <f t="shared" si="1"/>
        <v>164016.37519999998</v>
      </c>
      <c r="H30" s="151">
        <f>(2240066.5577+70945.1213)</f>
        <v>2311011.6789999995</v>
      </c>
      <c r="I30" s="16">
        <f>(1697152.6215+216680.4152)</f>
        <v>1913833.0366999998</v>
      </c>
      <c r="J30" s="246">
        <f>(1673727.05+52664.04)</f>
        <v>1726391.09</v>
      </c>
      <c r="K30" s="248"/>
      <c r="L30" s="246">
        <f t="shared" si="3"/>
        <v>-397178.64229999972</v>
      </c>
      <c r="M30" s="247"/>
      <c r="N30" s="155">
        <f t="shared" si="4"/>
        <v>187441.94669999974</v>
      </c>
      <c r="O30" s="63">
        <f t="shared" si="5"/>
        <v>0</v>
      </c>
      <c r="P30" s="94">
        <f t="shared" si="5"/>
        <v>0</v>
      </c>
      <c r="Q30" s="44">
        <f t="shared" si="5"/>
        <v>0</v>
      </c>
      <c r="R30" s="25">
        <f>(2240066.5577+70945.1213+1869123.0632)</f>
        <v>4180134.7421999993</v>
      </c>
      <c r="S30" s="169">
        <f>(1673727.05+52664.04+2269843.4304)</f>
        <v>3996234.5203999998</v>
      </c>
      <c r="T30" s="178">
        <f t="shared" si="6"/>
        <v>183900.22179999948</v>
      </c>
      <c r="V30" s="190">
        <f t="shared" si="7"/>
        <v>0.82813646252455841</v>
      </c>
      <c r="W30" s="189">
        <f t="shared" si="8"/>
        <v>1.1085744405110429</v>
      </c>
    </row>
    <row r="31" spans="1:23" ht="18" customHeight="1" x14ac:dyDescent="0.25">
      <c r="A31" s="68" t="str">
        <f>CONCATENATE(REPT("   ",1-1),"1.03A"," EMCal")</f>
        <v>1.03A EMCal</v>
      </c>
      <c r="B31" s="74"/>
      <c r="C31" s="33">
        <v>88565.214500000002</v>
      </c>
      <c r="D31" s="16">
        <v>91325.728900000002</v>
      </c>
      <c r="E31" s="25">
        <v>177695.44</v>
      </c>
      <c r="F31" s="72">
        <f t="shared" si="0"/>
        <v>2760.5144</v>
      </c>
      <c r="G31" s="32">
        <f t="shared" si="1"/>
        <v>-86369.7111</v>
      </c>
      <c r="H31" s="151">
        <f>(3662345.4458+88565.2145)</f>
        <v>3750910.6602999996</v>
      </c>
      <c r="I31" s="16">
        <f>(3481394.9539+91325.7289)</f>
        <v>3572720.6828000001</v>
      </c>
      <c r="J31" s="246">
        <f>(3514453.18+177695.44)</f>
        <v>3692148.62</v>
      </c>
      <c r="K31" s="248"/>
      <c r="L31" s="246">
        <f t="shared" si="3"/>
        <v>-178189.97749999957</v>
      </c>
      <c r="M31" s="247"/>
      <c r="N31" s="155">
        <f t="shared" si="4"/>
        <v>-119427.93720000004</v>
      </c>
      <c r="O31" s="63">
        <f t="shared" si="5"/>
        <v>0</v>
      </c>
      <c r="P31" s="94">
        <f t="shared" si="5"/>
        <v>0</v>
      </c>
      <c r="Q31" s="44">
        <f t="shared" si="5"/>
        <v>0</v>
      </c>
      <c r="R31" s="25">
        <f>(3662345.4458+88565.2145+1504182.9216)</f>
        <v>5255093.5818999996</v>
      </c>
      <c r="S31" s="169">
        <f>(3514453.18+177695.44+1989056.7277)</f>
        <v>5681205.3476999998</v>
      </c>
      <c r="T31" s="178">
        <f t="shared" si="6"/>
        <v>-426111.76580000017</v>
      </c>
      <c r="V31" s="189">
        <f t="shared" si="7"/>
        <v>0.95249420910341065</v>
      </c>
      <c r="W31" s="189">
        <f t="shared" si="8"/>
        <v>0.96765354012212001</v>
      </c>
    </row>
    <row r="32" spans="1:23" ht="18" customHeight="1" x14ac:dyDescent="0.25">
      <c r="A32" s="68" t="str">
        <f>CONCATENATE(REPT("   ",1-1),"1.04A"," HCal")</f>
        <v>1.04A HCal</v>
      </c>
      <c r="B32" s="74"/>
      <c r="C32" s="33">
        <v>254507.01</v>
      </c>
      <c r="D32" s="16">
        <v>92325.210699999996</v>
      </c>
      <c r="E32" s="25">
        <v>207364.14</v>
      </c>
      <c r="F32" s="72">
        <f t="shared" si="0"/>
        <v>-162181.79930000001</v>
      </c>
      <c r="G32" s="32">
        <f t="shared" si="1"/>
        <v>-115038.92930000002</v>
      </c>
      <c r="H32" s="151">
        <f>(1992449.6765+254507.01)</f>
        <v>2246956.6864999998</v>
      </c>
      <c r="I32" s="16">
        <f>(1928367.4847+92325.2107)</f>
        <v>2020692.6953999999</v>
      </c>
      <c r="J32" s="246">
        <f>(1648603.46+207364.14)</f>
        <v>1855967.6</v>
      </c>
      <c r="K32" s="248"/>
      <c r="L32" s="246">
        <f t="shared" si="3"/>
        <v>-226263.99109999998</v>
      </c>
      <c r="M32" s="247"/>
      <c r="N32" s="155">
        <f t="shared" si="4"/>
        <v>164725.09539999976</v>
      </c>
      <c r="O32" s="63">
        <f t="shared" si="5"/>
        <v>0</v>
      </c>
      <c r="P32" s="94">
        <f t="shared" si="5"/>
        <v>0</v>
      </c>
      <c r="Q32" s="44">
        <f t="shared" si="5"/>
        <v>0</v>
      </c>
      <c r="R32" s="25">
        <f>(1992449.6765+254507.01+1786153.1056)</f>
        <v>4033109.7920999997</v>
      </c>
      <c r="S32" s="169">
        <f>(1648603.46+207364.14+2253457.7022)</f>
        <v>4109425.3022000003</v>
      </c>
      <c r="T32" s="178">
        <f t="shared" si="6"/>
        <v>-76315.510100000538</v>
      </c>
      <c r="V32" s="189">
        <f t="shared" si="7"/>
        <v>0.89930202372861801</v>
      </c>
      <c r="W32" s="189">
        <f t="shared" si="8"/>
        <v>1.088754294740921</v>
      </c>
    </row>
    <row r="33" spans="1:23" ht="18" customHeight="1" x14ac:dyDescent="0.25">
      <c r="A33" s="68" t="str">
        <f>CONCATENATE(REPT("   ",1-1),"1.05A"," Calorimeter Electronics")</f>
        <v>1.05A Calorimeter Electronics</v>
      </c>
      <c r="B33" s="74"/>
      <c r="C33" s="33">
        <v>10880.4015</v>
      </c>
      <c r="D33" s="16">
        <v>191.5291</v>
      </c>
      <c r="E33" s="25">
        <v>65232.08</v>
      </c>
      <c r="F33" s="72">
        <f t="shared" si="0"/>
        <v>-10688.8724</v>
      </c>
      <c r="G33" s="32">
        <f t="shared" si="1"/>
        <v>-65040.550900000002</v>
      </c>
      <c r="H33" s="151">
        <f>(2310655.0049+10880.4015)</f>
        <v>2321535.4064000002</v>
      </c>
      <c r="I33" s="16">
        <f>(2251424.8893+191.5291)</f>
        <v>2251616.4183999998</v>
      </c>
      <c r="J33" s="246">
        <f>(2159554.12+65232.08)</f>
        <v>2224786.2000000002</v>
      </c>
      <c r="K33" s="248"/>
      <c r="L33" s="246">
        <f t="shared" si="3"/>
        <v>-69918.988000000361</v>
      </c>
      <c r="M33" s="247"/>
      <c r="N33" s="155">
        <f t="shared" si="4"/>
        <v>26830.218399999663</v>
      </c>
      <c r="O33" s="63">
        <f t="shared" si="5"/>
        <v>0</v>
      </c>
      <c r="P33" s="94">
        <f t="shared" si="5"/>
        <v>0</v>
      </c>
      <c r="Q33" s="44">
        <f t="shared" si="5"/>
        <v>0</v>
      </c>
      <c r="R33" s="25">
        <f>(2310655.0049+10880.4015+3041931.0213)</f>
        <v>5363466.4276999999</v>
      </c>
      <c r="S33" s="169">
        <f>(2159554.12+65232.08+3911971.8904)</f>
        <v>6136758.0904000001</v>
      </c>
      <c r="T33" s="178">
        <f t="shared" si="6"/>
        <v>-773291.66270000022</v>
      </c>
      <c r="V33" s="189">
        <f t="shared" si="7"/>
        <v>0.96988243737000612</v>
      </c>
      <c r="W33" s="189">
        <f t="shared" si="8"/>
        <v>1.01205968393727</v>
      </c>
    </row>
    <row r="34" spans="1:23" ht="18" customHeight="1" x14ac:dyDescent="0.25">
      <c r="A34" s="68" t="str">
        <f>CONCATENATE(REPT("   ",1-1),"1.06A"," DAQ &amp; Trigger")</f>
        <v>1.06A DAQ &amp; Trigger</v>
      </c>
      <c r="B34" s="74"/>
      <c r="C34" s="33">
        <v>0</v>
      </c>
      <c r="D34" s="16">
        <v>0</v>
      </c>
      <c r="E34" s="25">
        <v>30443.4</v>
      </c>
      <c r="F34" s="72">
        <f t="shared" si="0"/>
        <v>0</v>
      </c>
      <c r="G34" s="32">
        <f t="shared" si="1"/>
        <v>-30443.4</v>
      </c>
      <c r="H34" s="151">
        <f>(242014.251+0)</f>
        <v>242014.25099999999</v>
      </c>
      <c r="I34" s="16">
        <f>(322827.4875+0)</f>
        <v>322827.48749999999</v>
      </c>
      <c r="J34" s="246">
        <f>(275360.14+30443.4)</f>
        <v>305803.54000000004</v>
      </c>
      <c r="K34" s="248"/>
      <c r="L34" s="246">
        <f t="shared" si="3"/>
        <v>80813.236499999999</v>
      </c>
      <c r="M34" s="247"/>
      <c r="N34" s="155">
        <f t="shared" si="4"/>
        <v>17023.947499999951</v>
      </c>
      <c r="O34" s="63">
        <f t="shared" si="5"/>
        <v>0</v>
      </c>
      <c r="P34" s="94">
        <f t="shared" si="5"/>
        <v>0</v>
      </c>
      <c r="Q34" s="44">
        <f t="shared" si="5"/>
        <v>0</v>
      </c>
      <c r="R34" s="25">
        <f>(242014.251+0+1003076.1449)</f>
        <v>1245090.3958999999</v>
      </c>
      <c r="S34" s="169">
        <f>(275360.14+30443.4+922646.5259)</f>
        <v>1228450.0659</v>
      </c>
      <c r="T34" s="178">
        <f t="shared" si="6"/>
        <v>16640.329999999842</v>
      </c>
      <c r="V34" s="189">
        <f t="shared" si="7"/>
        <v>1.3339193298166561</v>
      </c>
      <c r="W34" s="189">
        <f t="shared" si="8"/>
        <v>1.0556695566702725</v>
      </c>
    </row>
    <row r="35" spans="1:23" ht="18" customHeight="1" x14ac:dyDescent="0.25">
      <c r="A35" s="68" t="str">
        <f>CONCATENATE(REPT("   ",1-1),"1.07A"," MinBias Trigger Detector")</f>
        <v>1.07A MinBias Trigger Detector</v>
      </c>
      <c r="B35" s="74"/>
      <c r="C35" s="33">
        <v>0</v>
      </c>
      <c r="D35" s="16">
        <v>0</v>
      </c>
      <c r="E35" s="25">
        <v>0</v>
      </c>
      <c r="F35" s="72">
        <f t="shared" si="0"/>
        <v>0</v>
      </c>
      <c r="G35" s="32">
        <f t="shared" si="1"/>
        <v>0</v>
      </c>
      <c r="H35" s="151">
        <f t="shared" ref="H35:I35" si="9">(99147.5508+0)</f>
        <v>99147.550799999997</v>
      </c>
      <c r="I35" s="16">
        <f t="shared" si="9"/>
        <v>99147.550799999997</v>
      </c>
      <c r="J35" s="246">
        <f>(78303.81+0)</f>
        <v>78303.81</v>
      </c>
      <c r="K35" s="248"/>
      <c r="L35" s="246">
        <f t="shared" si="3"/>
        <v>0</v>
      </c>
      <c r="M35" s="247"/>
      <c r="N35" s="155">
        <f t="shared" si="4"/>
        <v>20843.7408</v>
      </c>
      <c r="O35" s="63">
        <f t="shared" si="5"/>
        <v>0</v>
      </c>
      <c r="P35" s="94">
        <f t="shared" si="5"/>
        <v>0</v>
      </c>
      <c r="Q35" s="44">
        <f t="shared" si="5"/>
        <v>0</v>
      </c>
      <c r="R35" s="25">
        <f>(99147.5508+0+71022.2727)</f>
        <v>170169.8235</v>
      </c>
      <c r="S35" s="169">
        <f>(78303.81+0+71022.2727)</f>
        <v>149326.0827</v>
      </c>
      <c r="T35" s="178">
        <f t="shared" si="6"/>
        <v>20843.7408</v>
      </c>
      <c r="V35" s="189">
        <f t="shared" si="7"/>
        <v>1</v>
      </c>
      <c r="W35" s="189">
        <f t="shared" si="8"/>
        <v>1.2661906336358346</v>
      </c>
    </row>
    <row r="36" spans="1:23" x14ac:dyDescent="0.25">
      <c r="A36" s="173" t="s">
        <v>152</v>
      </c>
      <c r="B36" s="8"/>
      <c r="C36" s="33">
        <v>0</v>
      </c>
      <c r="D36" s="37">
        <v>0</v>
      </c>
      <c r="E36" s="25">
        <v>0</v>
      </c>
      <c r="F36" s="72">
        <f t="shared" si="0"/>
        <v>0</v>
      </c>
      <c r="G36" s="47">
        <f t="shared" si="1"/>
        <v>0</v>
      </c>
      <c r="H36" s="169">
        <f t="shared" ref="H36:J37" si="10">(0+0)</f>
        <v>0</v>
      </c>
      <c r="I36" s="37">
        <f t="shared" si="10"/>
        <v>0</v>
      </c>
      <c r="J36" s="246">
        <f t="shared" si="10"/>
        <v>0</v>
      </c>
      <c r="K36" s="248"/>
      <c r="L36" s="246">
        <f t="shared" si="3"/>
        <v>0</v>
      </c>
      <c r="M36" s="247"/>
      <c r="N36" s="21">
        <f t="shared" si="4"/>
        <v>0</v>
      </c>
      <c r="O36" s="63">
        <f t="shared" si="5"/>
        <v>0</v>
      </c>
      <c r="P36" s="94">
        <f t="shared" si="5"/>
        <v>0</v>
      </c>
      <c r="Q36" s="44">
        <f t="shared" si="5"/>
        <v>0</v>
      </c>
      <c r="R36" s="25">
        <f t="shared" ref="R36:S37" si="11">(0+0+0)</f>
        <v>0</v>
      </c>
      <c r="S36" s="169">
        <f t="shared" si="11"/>
        <v>0</v>
      </c>
      <c r="T36" s="178">
        <f t="shared" si="6"/>
        <v>0</v>
      </c>
    </row>
    <row r="37" spans="1:23" x14ac:dyDescent="0.25">
      <c r="A37" s="173" t="s">
        <v>66</v>
      </c>
      <c r="B37" s="8"/>
      <c r="C37" s="33">
        <v>0</v>
      </c>
      <c r="D37" s="37">
        <v>0</v>
      </c>
      <c r="E37" s="25">
        <v>0</v>
      </c>
      <c r="F37" s="72">
        <f t="shared" si="0"/>
        <v>0</v>
      </c>
      <c r="G37" s="47">
        <f t="shared" si="1"/>
        <v>0</v>
      </c>
      <c r="H37" s="169">
        <f t="shared" si="10"/>
        <v>0</v>
      </c>
      <c r="I37" s="37">
        <f t="shared" si="10"/>
        <v>0</v>
      </c>
      <c r="J37" s="246">
        <f t="shared" si="10"/>
        <v>0</v>
      </c>
      <c r="K37" s="248"/>
      <c r="L37" s="246">
        <f t="shared" si="3"/>
        <v>0</v>
      </c>
      <c r="M37" s="247"/>
      <c r="N37" s="21">
        <f t="shared" si="4"/>
        <v>0</v>
      </c>
      <c r="O37" s="63">
        <f t="shared" si="5"/>
        <v>0</v>
      </c>
      <c r="P37" s="94">
        <f t="shared" si="5"/>
        <v>0</v>
      </c>
      <c r="Q37" s="44">
        <f t="shared" si="5"/>
        <v>0</v>
      </c>
      <c r="R37" s="25">
        <f t="shared" si="11"/>
        <v>0</v>
      </c>
      <c r="S37" s="169">
        <f t="shared" si="11"/>
        <v>0</v>
      </c>
      <c r="T37" s="178">
        <f t="shared" si="6"/>
        <v>0</v>
      </c>
    </row>
    <row r="38" spans="1:23" x14ac:dyDescent="0.25">
      <c r="A38" s="173" t="s">
        <v>193</v>
      </c>
      <c r="B38" s="8"/>
      <c r="C38" s="145"/>
      <c r="D38" s="70"/>
      <c r="E38" s="70"/>
      <c r="F38" s="70"/>
      <c r="G38" s="70"/>
      <c r="H38" s="70"/>
      <c r="I38" s="70"/>
      <c r="J38" s="12"/>
      <c r="K38" s="12"/>
      <c r="L38" s="12"/>
      <c r="M38" s="12"/>
      <c r="N38" s="70"/>
      <c r="O38" s="70"/>
      <c r="P38" s="70"/>
      <c r="Q38" s="102"/>
      <c r="R38" s="82">
        <v>0</v>
      </c>
      <c r="S38" s="160">
        <v>0</v>
      </c>
      <c r="T38" s="178">
        <f t="shared" si="6"/>
        <v>0</v>
      </c>
    </row>
    <row r="39" spans="1:23" x14ac:dyDescent="0.25">
      <c r="A39" s="149" t="s">
        <v>136</v>
      </c>
      <c r="B39" s="157"/>
      <c r="C39" s="144">
        <f>C29+C30+C31+C32+C33+C34+C35</f>
        <v>448822.29430000001</v>
      </c>
      <c r="D39" s="45">
        <f>D29+D30+D31+D32+D33+D34+D35</f>
        <v>424447.43089999998</v>
      </c>
      <c r="E39" s="131">
        <f>E29+E30+E31+E32+E33+E34+E35</f>
        <v>553002.53</v>
      </c>
      <c r="F39" s="72">
        <f>D39 - C39</f>
        <v>-24374.863400000031</v>
      </c>
      <c r="G39" s="30">
        <f>D39 - E39</f>
        <v>-128555.09910000005</v>
      </c>
      <c r="H39" s="98">
        <f>H29+H30+H31+H32+H33+H34+H35</f>
        <v>12688745.794399999</v>
      </c>
      <c r="I39" s="153">
        <f>I29+I30+I31+I32+I33+I34+I35</f>
        <v>11898007.432</v>
      </c>
      <c r="J39" s="260">
        <f>J29+J30+J31+J32+J33+J34+J35</f>
        <v>11447802.979999999</v>
      </c>
      <c r="K39" s="262"/>
      <c r="L39" s="260">
        <f>I39 - H39</f>
        <v>-790738.36239999905</v>
      </c>
      <c r="M39" s="261"/>
      <c r="N39" s="23">
        <f>I39 - J39</f>
        <v>450204.45200000145</v>
      </c>
      <c r="O39" s="98">
        <f>O29+O30+O31+O32+O33+O34+O35</f>
        <v>0</v>
      </c>
      <c r="P39" s="131">
        <f>P29+P30+P31+P32+P33+P34+P35</f>
        <v>0</v>
      </c>
      <c r="Q39" s="71">
        <f>Q29+Q30+Q31+Q32+Q33+Q34+Q35</f>
        <v>0</v>
      </c>
      <c r="R39" s="131">
        <f>R29+R30+R31+R32+R33+R34+R35+R38</f>
        <v>22198743.294299997</v>
      </c>
      <c r="S39" s="98">
        <f>S29+S30+S31+S32+S33+S34+S35+S38</f>
        <v>23100310.499900002</v>
      </c>
      <c r="T39" s="178">
        <f t="shared" si="6"/>
        <v>-901567.20560000464</v>
      </c>
      <c r="U39" s="97"/>
      <c r="V39" s="189">
        <f>IF(H39=0,"-",(I39/H39))</f>
        <v>0.93768191315260008</v>
      </c>
      <c r="W39" s="189">
        <f>IF(J39=0,"-",(I39/J39))</f>
        <v>1.0393267121024476</v>
      </c>
    </row>
    <row r="40" spans="1:23" x14ac:dyDescent="0.25">
      <c r="A40" s="162" t="s">
        <v>25</v>
      </c>
      <c r="B40" s="174"/>
      <c r="C40" s="29"/>
      <c r="D40" s="128"/>
      <c r="E40" s="128"/>
      <c r="F40" s="128"/>
      <c r="G40" s="128"/>
      <c r="H40" s="128"/>
      <c r="I40" s="128"/>
      <c r="J40" s="52"/>
      <c r="K40" s="52"/>
      <c r="L40" s="52"/>
      <c r="M40" s="52"/>
      <c r="N40" s="128"/>
      <c r="O40" s="128"/>
      <c r="P40" s="128"/>
      <c r="Q40" s="113"/>
      <c r="R40" s="116">
        <v>4801257</v>
      </c>
      <c r="S40" s="29"/>
      <c r="T40" s="179"/>
    </row>
    <row r="41" spans="1:23" ht="15.75" thickBot="1" x14ac:dyDescent="0.3">
      <c r="A41" s="6" t="s">
        <v>77</v>
      </c>
      <c r="B41" s="183"/>
      <c r="C41" s="184">
        <f t="shared" ref="C41:J41" si="12">C39</f>
        <v>448822.29430000001</v>
      </c>
      <c r="D41" s="7">
        <f t="shared" si="12"/>
        <v>424447.43089999998</v>
      </c>
      <c r="E41" s="122">
        <f t="shared" si="12"/>
        <v>553002.53</v>
      </c>
      <c r="F41" s="76">
        <f t="shared" si="12"/>
        <v>-24374.863400000031</v>
      </c>
      <c r="G41" s="87">
        <f t="shared" si="12"/>
        <v>-128555.09910000005</v>
      </c>
      <c r="H41" s="76">
        <f t="shared" si="12"/>
        <v>12688745.794399999</v>
      </c>
      <c r="I41" s="7">
        <f t="shared" si="12"/>
        <v>11898007.432</v>
      </c>
      <c r="J41" s="258">
        <f t="shared" si="12"/>
        <v>11447802.979999999</v>
      </c>
      <c r="K41" s="263"/>
      <c r="L41" s="258">
        <f>L39</f>
        <v>-790738.36239999905</v>
      </c>
      <c r="M41" s="259"/>
      <c r="N41" s="87">
        <f>I41 - J41</f>
        <v>450204.45200000145</v>
      </c>
      <c r="O41" s="185">
        <f t="shared" ref="O41:Q41" si="13">O39</f>
        <v>0</v>
      </c>
      <c r="P41" s="122">
        <f t="shared" si="13"/>
        <v>0</v>
      </c>
      <c r="Q41" s="186">
        <f t="shared" si="13"/>
        <v>0</v>
      </c>
      <c r="R41" s="76">
        <f>R39 + R40</f>
        <v>27000000.294299997</v>
      </c>
      <c r="S41" s="187"/>
      <c r="T41" s="188"/>
    </row>
    <row r="42" spans="1:23" hidden="1" x14ac:dyDescent="0.25">
      <c r="A42" s="255" t="s">
        <v>7</v>
      </c>
      <c r="B42" s="256"/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7"/>
    </row>
    <row r="43" spans="1:23" hidden="1" x14ac:dyDescent="0.25">
      <c r="A43" s="132" t="s">
        <v>20</v>
      </c>
      <c r="B43" s="171"/>
      <c r="C43" s="46"/>
      <c r="D43" s="46"/>
      <c r="E43" s="46"/>
      <c r="F43" s="46"/>
      <c r="G43" s="46"/>
      <c r="H43" s="46"/>
      <c r="I43" s="46"/>
      <c r="J43" s="46"/>
      <c r="K43" s="46"/>
      <c r="L43" s="253">
        <f>P41</f>
        <v>0</v>
      </c>
      <c r="M43" s="254"/>
      <c r="N43" s="85">
        <f>O41</f>
        <v>0</v>
      </c>
      <c r="O43" s="46"/>
      <c r="P43" s="46"/>
      <c r="Q43" s="46"/>
      <c r="R43" s="46"/>
      <c r="S43" s="46"/>
      <c r="T43" s="86"/>
    </row>
    <row r="44" spans="1:23" hidden="1" x14ac:dyDescent="0.25">
      <c r="A44" s="6" t="s">
        <v>210</v>
      </c>
      <c r="B44" s="28"/>
      <c r="C44" s="166"/>
      <c r="D44" s="107"/>
      <c r="E44" s="107"/>
      <c r="F44" s="107"/>
      <c r="G44" s="107"/>
      <c r="H44" s="107"/>
      <c r="I44" s="107"/>
      <c r="J44" s="107"/>
      <c r="K44" s="107"/>
      <c r="L44" s="251">
        <f>L41+L43</f>
        <v>-790738.36239999905</v>
      </c>
      <c r="M44" s="252"/>
      <c r="N44" s="135">
        <f>N41+N43</f>
        <v>450204.45200000145</v>
      </c>
      <c r="O44" s="107"/>
      <c r="P44" s="107"/>
      <c r="Q44" s="107"/>
      <c r="R44" s="4">
        <v>0</v>
      </c>
      <c r="S44" s="4">
        <v>0</v>
      </c>
      <c r="T44" s="109">
        <f>R44 - S44</f>
        <v>0</v>
      </c>
    </row>
    <row r="45" spans="1:23" hidden="1" x14ac:dyDescent="0.25">
      <c r="H45" s="249" t="s">
        <v>195</v>
      </c>
      <c r="I45" s="250"/>
      <c r="J45" s="250"/>
      <c r="K45" s="250"/>
      <c r="L45" s="250"/>
      <c r="M45" s="250"/>
    </row>
    <row r="46" spans="1:23" hidden="1" x14ac:dyDescent="0.25">
      <c r="A46" s="245" t="s">
        <v>61</v>
      </c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</row>
    <row r="47" spans="1:23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3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N48" s="112">
        <f>S39-J39</f>
        <v>11652507.519900003</v>
      </c>
      <c r="O48" s="26"/>
      <c r="P48" s="26"/>
      <c r="Q48" s="26"/>
      <c r="R48" s="165" t="s">
        <v>165</v>
      </c>
      <c r="S48" s="26"/>
      <c r="T48" s="26"/>
    </row>
    <row r="49" spans="1:20" x14ac:dyDescent="0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N49" s="112">
        <f>R39-I39</f>
        <v>10300735.862299997</v>
      </c>
      <c r="O49" s="26"/>
      <c r="P49" s="26"/>
      <c r="Q49" s="26"/>
      <c r="R49" s="165" t="s">
        <v>167</v>
      </c>
      <c r="S49" s="26"/>
      <c r="T49" s="26"/>
    </row>
    <row r="50" spans="1:20" x14ac:dyDescent="0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N50" s="181">
        <f>R40/N49</f>
        <v>0.46610815617283019</v>
      </c>
      <c r="O50" s="26"/>
      <c r="P50" s="26"/>
      <c r="Q50" s="26"/>
      <c r="R50" s="165" t="s">
        <v>108</v>
      </c>
      <c r="S50" s="26"/>
      <c r="T50" s="26"/>
    </row>
    <row r="51" spans="1:20" x14ac:dyDescent="0.25">
      <c r="A51" s="18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N51" s="181">
        <f>R40/N48</f>
        <v>0.41203637859065739</v>
      </c>
      <c r="O51" s="182"/>
      <c r="P51" s="182"/>
      <c r="Q51" s="182"/>
      <c r="R51" s="165" t="s">
        <v>212</v>
      </c>
      <c r="S51" s="182"/>
      <c r="T51" s="182"/>
    </row>
    <row r="52" spans="1:20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181">
        <f>H39/R39</f>
        <v>0.57159748307275149</v>
      </c>
      <c r="O52" s="26"/>
      <c r="P52" s="26"/>
      <c r="Q52" s="26"/>
      <c r="R52" s="165" t="s">
        <v>118</v>
      </c>
      <c r="S52" s="26"/>
      <c r="T52" s="26"/>
    </row>
    <row r="53" spans="1:20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181">
        <f>I39/R39</f>
        <v>0.53597662148086866</v>
      </c>
      <c r="O53" s="26"/>
      <c r="P53" s="26"/>
      <c r="Q53" s="26"/>
      <c r="R53" s="165" t="s">
        <v>159</v>
      </c>
      <c r="S53" s="26"/>
      <c r="T53" s="26"/>
    </row>
    <row r="54" spans="1:20" x14ac:dyDescent="0.2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181">
        <f>J39/R39</f>
        <v>0.51569599360786644</v>
      </c>
      <c r="O54" s="26"/>
      <c r="P54" s="26"/>
      <c r="Q54" s="26"/>
      <c r="R54" s="165" t="s">
        <v>85</v>
      </c>
      <c r="S54" s="26"/>
      <c r="T54" s="26"/>
    </row>
    <row r="55" spans="1:20" x14ac:dyDescent="0.2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x14ac:dyDescent="0.25">
      <c r="A56" s="266" t="s">
        <v>4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</row>
    <row r="57" spans="1:20" x14ac:dyDescent="0.25">
      <c r="A57" s="267" t="s">
        <v>109</v>
      </c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  <c r="Q57" s="268"/>
      <c r="R57" s="268"/>
      <c r="S57" s="268"/>
      <c r="T57" s="268"/>
    </row>
    <row r="58" spans="1:20" x14ac:dyDescent="0.25">
      <c r="A58" s="267" t="s">
        <v>133</v>
      </c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  <c r="O58" s="268"/>
      <c r="P58" s="268"/>
      <c r="Q58" s="268"/>
      <c r="R58" s="268"/>
      <c r="S58" s="268"/>
      <c r="T58" s="268"/>
    </row>
    <row r="59" spans="1:20" x14ac:dyDescent="0.25">
      <c r="A59" s="267" t="s">
        <v>78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268"/>
      <c r="T59" s="268"/>
    </row>
    <row r="60" spans="1:20" x14ac:dyDescent="0.25">
      <c r="A60" s="264" t="s">
        <v>10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</row>
  </sheetData>
  <mergeCells count="80">
    <mergeCell ref="A60:T60"/>
    <mergeCell ref="A56:T56"/>
    <mergeCell ref="A57:T57"/>
    <mergeCell ref="A58:T58"/>
    <mergeCell ref="A59:T59"/>
    <mergeCell ref="L35:M35"/>
    <mergeCell ref="J35:K35"/>
    <mergeCell ref="A46:T46"/>
    <mergeCell ref="H45:M45"/>
    <mergeCell ref="L44:M44"/>
    <mergeCell ref="L43:M43"/>
    <mergeCell ref="A42:T42"/>
    <mergeCell ref="J37:K37"/>
    <mergeCell ref="L41:M41"/>
    <mergeCell ref="L37:M37"/>
    <mergeCell ref="L39:M39"/>
    <mergeCell ref="J36:K36"/>
    <mergeCell ref="J39:K39"/>
    <mergeCell ref="L36:M36"/>
    <mergeCell ref="J41:K41"/>
    <mergeCell ref="L32:M32"/>
    <mergeCell ref="J32:K32"/>
    <mergeCell ref="L33:M33"/>
    <mergeCell ref="J33:K33"/>
    <mergeCell ref="L34:M34"/>
    <mergeCell ref="J34:K34"/>
    <mergeCell ref="L29:M29"/>
    <mergeCell ref="J29:K29"/>
    <mergeCell ref="L30:M30"/>
    <mergeCell ref="J30:K30"/>
    <mergeCell ref="L31:M31"/>
    <mergeCell ref="J31:K31"/>
    <mergeCell ref="H1:M1"/>
    <mergeCell ref="R24:T24"/>
    <mergeCell ref="A12:T12"/>
    <mergeCell ref="A16:H16"/>
    <mergeCell ref="R15:T15"/>
    <mergeCell ref="I15:K15"/>
    <mergeCell ref="E15:F15"/>
    <mergeCell ref="L15:N15"/>
    <mergeCell ref="E13:F13"/>
    <mergeCell ref="I14:K14"/>
    <mergeCell ref="E3:P3"/>
    <mergeCell ref="E4:P4"/>
    <mergeCell ref="A2:T2"/>
    <mergeCell ref="C13:D13"/>
    <mergeCell ref="G13:H13"/>
    <mergeCell ref="E14:F14"/>
    <mergeCell ref="J28:K28"/>
    <mergeCell ref="C14:D14"/>
    <mergeCell ref="A20:B20"/>
    <mergeCell ref="J27:K27"/>
    <mergeCell ref="G15:H15"/>
    <mergeCell ref="A22:B22"/>
    <mergeCell ref="A21:B21"/>
    <mergeCell ref="C15:D15"/>
    <mergeCell ref="A28:B28"/>
    <mergeCell ref="I16:T16"/>
    <mergeCell ref="G14:H14"/>
    <mergeCell ref="L28:M28"/>
    <mergeCell ref="L26:M26"/>
    <mergeCell ref="A24:B24"/>
    <mergeCell ref="C24:G24"/>
    <mergeCell ref="A27:B27"/>
    <mergeCell ref="A25:B25"/>
    <mergeCell ref="I13:K13"/>
    <mergeCell ref="A23:T23"/>
    <mergeCell ref="L25:N25"/>
    <mergeCell ref="A26:B26"/>
    <mergeCell ref="H24:N24"/>
    <mergeCell ref="J26:K26"/>
    <mergeCell ref="L14:N14"/>
    <mergeCell ref="L27:M27"/>
    <mergeCell ref="O13:Q13"/>
    <mergeCell ref="O15:Q15"/>
    <mergeCell ref="I19:M19"/>
    <mergeCell ref="L13:N13"/>
    <mergeCell ref="J25:K25"/>
    <mergeCell ref="O19:Q19"/>
    <mergeCell ref="O24:Q25"/>
  </mergeCells>
  <pageMargins left="0.2" right="0.2" top="0.5" bottom="0.5" header="0.3" footer="0.3"/>
  <pageSetup paperSize="9" scale="46" fitToHeight="100" pageOrder="overThenDown" orientation="landscape"/>
  <headerFooter>
    <oddHeader>&amp;LsPH MIE Current&amp;RsPH MIE Current as of data date</oddHeader>
    <oddFooter>&amp;L(c) Deltek, Inc.&amp;C&amp;P of &amp;N&amp;RDate Printed: 08/17/2020 10:19 AM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60"/>
  <sheetViews>
    <sheetView topLeftCell="A10" zoomScale="90" workbookViewId="0">
      <selection activeCell="O43" sqref="O43"/>
    </sheetView>
  </sheetViews>
  <sheetFormatPr defaultRowHeight="15" x14ac:dyDescent="0.25"/>
  <cols>
    <col min="1" max="1" width="28.42578125" style="120" customWidth="1"/>
    <col min="2" max="10" width="13.7109375" style="120" customWidth="1"/>
    <col min="11" max="14" width="7.28515625" style="120" customWidth="1"/>
    <col min="15" max="15" width="13.7109375" style="120" customWidth="1"/>
    <col min="16" max="18" width="13.7109375" style="120" hidden="1" customWidth="1"/>
    <col min="19" max="21" width="13.7109375" style="120" customWidth="1"/>
    <col min="22" max="16384" width="9.140625" style="120"/>
  </cols>
  <sheetData>
    <row r="1" spans="1:21" ht="17.25" customHeight="1" x14ac:dyDescent="0.25">
      <c r="A1" s="120" t="s">
        <v>127</v>
      </c>
      <c r="I1" s="236" t="s">
        <v>100</v>
      </c>
      <c r="J1" s="236"/>
      <c r="K1" s="236"/>
      <c r="L1" s="236"/>
      <c r="M1" s="236"/>
      <c r="N1" s="236"/>
    </row>
    <row r="2" spans="1:21" ht="15.75" thickBot="1" x14ac:dyDescent="0.3">
      <c r="A2" s="120" t="s">
        <v>127</v>
      </c>
      <c r="B2" s="244" t="s">
        <v>61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</row>
    <row r="3" spans="1:21" ht="18.75" x14ac:dyDescent="0.3">
      <c r="A3" s="120" t="s">
        <v>127</v>
      </c>
      <c r="B3" s="27"/>
      <c r="C3" s="115"/>
      <c r="D3" s="115"/>
      <c r="E3" s="115"/>
      <c r="F3" s="242" t="s">
        <v>137</v>
      </c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156"/>
      <c r="S3" s="136"/>
      <c r="T3" s="9" t="s">
        <v>204</v>
      </c>
      <c r="U3" s="11"/>
    </row>
    <row r="4" spans="1:21" ht="19.5" thickBot="1" x14ac:dyDescent="0.35">
      <c r="A4" s="120" t="s">
        <v>127</v>
      </c>
      <c r="B4" s="137"/>
      <c r="C4" s="170"/>
      <c r="D4" s="170"/>
      <c r="E4" s="170"/>
      <c r="F4" s="243" t="s">
        <v>37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117" t="s">
        <v>154</v>
      </c>
      <c r="S4" s="13" t="s">
        <v>69</v>
      </c>
      <c r="T4" s="108" t="s">
        <v>14</v>
      </c>
      <c r="U4" s="177"/>
    </row>
    <row r="5" spans="1:21" ht="15.75" thickBot="1" x14ac:dyDescent="0.3">
      <c r="A5" s="120" t="s">
        <v>127</v>
      </c>
      <c r="B5" s="175" t="s">
        <v>63</v>
      </c>
      <c r="C5" s="88"/>
      <c r="D5" s="88"/>
      <c r="E5" s="51"/>
      <c r="F5" s="175" t="s">
        <v>116</v>
      </c>
      <c r="G5" s="88"/>
      <c r="H5" s="88"/>
      <c r="I5" s="88"/>
      <c r="J5" s="51"/>
      <c r="K5" s="175" t="s">
        <v>16</v>
      </c>
      <c r="L5" s="139"/>
      <c r="M5" s="139"/>
      <c r="N5" s="88"/>
      <c r="O5" s="88"/>
      <c r="P5" s="88"/>
      <c r="Q5" s="88"/>
      <c r="R5" s="51"/>
      <c r="S5" s="175" t="s">
        <v>81</v>
      </c>
      <c r="T5" s="88"/>
      <c r="U5" s="51"/>
    </row>
    <row r="6" spans="1:21" x14ac:dyDescent="0.25">
      <c r="A6" s="120" t="s">
        <v>127</v>
      </c>
      <c r="B6" s="73" t="s">
        <v>90</v>
      </c>
      <c r="C6" s="138"/>
      <c r="D6" s="138"/>
      <c r="E6" s="40"/>
      <c r="F6" s="152" t="s">
        <v>90</v>
      </c>
      <c r="G6" s="81"/>
      <c r="H6" s="81"/>
      <c r="I6" s="81"/>
      <c r="J6" s="159"/>
      <c r="K6" s="152" t="s">
        <v>90</v>
      </c>
      <c r="L6" s="66"/>
      <c r="M6" s="66"/>
      <c r="N6" s="81"/>
      <c r="O6" s="81"/>
      <c r="P6" s="81"/>
      <c r="Q6" s="81"/>
      <c r="R6" s="159"/>
      <c r="S6" s="152" t="s">
        <v>6</v>
      </c>
      <c r="T6" s="81"/>
      <c r="U6" s="159"/>
    </row>
    <row r="7" spans="1:21" ht="15.75" thickBot="1" x14ac:dyDescent="0.3">
      <c r="A7" s="120" t="s">
        <v>127</v>
      </c>
      <c r="B7" s="133" t="s">
        <v>208</v>
      </c>
      <c r="C7" s="163"/>
      <c r="D7" s="123"/>
      <c r="E7" s="150"/>
      <c r="F7" s="124" t="s">
        <v>29</v>
      </c>
      <c r="G7" s="123"/>
      <c r="H7" s="123"/>
      <c r="I7" s="123"/>
      <c r="J7" s="150"/>
      <c r="K7" s="124" t="s">
        <v>202</v>
      </c>
      <c r="L7" s="163"/>
      <c r="M7" s="163"/>
      <c r="N7" s="123"/>
      <c r="O7" s="123"/>
      <c r="P7" s="123"/>
      <c r="Q7" s="123"/>
      <c r="R7" s="150"/>
      <c r="S7" s="114"/>
      <c r="T7" s="138"/>
      <c r="U7" s="58"/>
    </row>
    <row r="8" spans="1:21" ht="15.75" thickBot="1" x14ac:dyDescent="0.3">
      <c r="A8" s="120" t="s">
        <v>127</v>
      </c>
      <c r="B8" s="152" t="s">
        <v>156</v>
      </c>
      <c r="C8" s="81"/>
      <c r="D8" s="81"/>
      <c r="E8" s="159"/>
      <c r="F8" s="152" t="s">
        <v>67</v>
      </c>
      <c r="G8" s="81"/>
      <c r="H8" s="81"/>
      <c r="I8" s="81"/>
      <c r="J8" s="159"/>
      <c r="K8" s="152" t="s">
        <v>157</v>
      </c>
      <c r="L8" s="66"/>
      <c r="M8" s="66"/>
      <c r="N8" s="81"/>
      <c r="O8" s="81"/>
      <c r="P8" s="81"/>
      <c r="Q8" s="81"/>
      <c r="R8" s="81"/>
      <c r="S8" s="103" t="s">
        <v>155</v>
      </c>
      <c r="T8" s="121"/>
      <c r="U8" s="161"/>
    </row>
    <row r="9" spans="1:21" ht="15.75" thickBot="1" x14ac:dyDescent="0.3">
      <c r="A9" s="120" t="s">
        <v>127</v>
      </c>
      <c r="B9" s="92" t="s">
        <v>199</v>
      </c>
      <c r="C9" s="130"/>
      <c r="D9" s="138"/>
      <c r="E9" s="40"/>
      <c r="F9" s="124" t="s">
        <v>176</v>
      </c>
      <c r="G9" s="123"/>
      <c r="H9" s="123"/>
      <c r="I9" s="123"/>
      <c r="J9" s="150"/>
      <c r="K9" s="124" t="s">
        <v>94</v>
      </c>
      <c r="L9" s="34"/>
      <c r="M9" s="34"/>
      <c r="N9" s="34"/>
      <c r="O9" s="123"/>
      <c r="P9" s="123"/>
      <c r="Q9" s="123"/>
      <c r="R9" s="150"/>
      <c r="S9" s="73" t="s">
        <v>35</v>
      </c>
      <c r="T9" s="138"/>
      <c r="U9" s="40"/>
    </row>
    <row r="10" spans="1:21" x14ac:dyDescent="0.25">
      <c r="A10" s="120" t="s">
        <v>127</v>
      </c>
      <c r="B10" s="90"/>
      <c r="C10" s="138"/>
      <c r="D10" s="138"/>
      <c r="E10" s="40"/>
      <c r="F10" s="152" t="s">
        <v>150</v>
      </c>
      <c r="G10" s="81"/>
      <c r="H10" s="159"/>
      <c r="I10" s="152" t="s">
        <v>209</v>
      </c>
      <c r="J10" s="159"/>
      <c r="K10" s="152" t="s">
        <v>122</v>
      </c>
      <c r="L10" s="152"/>
      <c r="M10" s="66"/>
      <c r="N10" s="81"/>
      <c r="O10" s="81"/>
      <c r="P10" s="81"/>
      <c r="Q10" s="81"/>
      <c r="R10" s="159"/>
      <c r="S10" s="90"/>
      <c r="T10" s="138"/>
      <c r="U10" s="40"/>
    </row>
    <row r="11" spans="1:21" ht="15.75" thickBot="1" x14ac:dyDescent="0.3">
      <c r="A11" s="120" t="s">
        <v>127</v>
      </c>
      <c r="B11" s="95"/>
      <c r="C11" s="123"/>
      <c r="D11" s="123"/>
      <c r="E11" s="150"/>
      <c r="F11" s="124" t="s">
        <v>0</v>
      </c>
      <c r="G11" s="123"/>
      <c r="H11" s="150"/>
      <c r="I11" s="124" t="s">
        <v>142</v>
      </c>
      <c r="J11" s="150"/>
      <c r="K11" s="42" t="s">
        <v>162</v>
      </c>
      <c r="L11" s="10" t="s">
        <v>174</v>
      </c>
      <c r="M11" s="10" t="s">
        <v>192</v>
      </c>
      <c r="N11" s="125" t="s">
        <v>205</v>
      </c>
      <c r="O11" s="167" t="s">
        <v>126</v>
      </c>
      <c r="P11" s="54"/>
      <c r="Q11" s="35"/>
      <c r="R11" s="118"/>
      <c r="S11" s="103" t="s">
        <v>41</v>
      </c>
      <c r="T11" s="121"/>
      <c r="U11" s="161"/>
    </row>
    <row r="12" spans="1:21" ht="15.75" thickBot="1" x14ac:dyDescent="0.3">
      <c r="A12" s="120" t="s">
        <v>127</v>
      </c>
      <c r="B12" s="212" t="s">
        <v>76</v>
      </c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4"/>
    </row>
    <row r="13" spans="1:21" x14ac:dyDescent="0.25">
      <c r="A13" s="120" t="s">
        <v>127</v>
      </c>
      <c r="B13" s="99" t="s">
        <v>40</v>
      </c>
      <c r="C13" s="9" t="s">
        <v>51</v>
      </c>
      <c r="D13" s="200" t="s">
        <v>56</v>
      </c>
      <c r="E13" s="202"/>
      <c r="F13" s="200" t="s">
        <v>97</v>
      </c>
      <c r="G13" s="202"/>
      <c r="H13" s="200" t="s">
        <v>153</v>
      </c>
      <c r="I13" s="202"/>
      <c r="J13" s="200" t="s">
        <v>189</v>
      </c>
      <c r="K13" s="201"/>
      <c r="L13" s="202"/>
      <c r="M13" s="200" t="s">
        <v>110</v>
      </c>
      <c r="N13" s="201"/>
      <c r="O13" s="202"/>
      <c r="P13" s="193" t="s">
        <v>50</v>
      </c>
      <c r="Q13" s="194"/>
      <c r="R13" s="195"/>
      <c r="S13" s="57" t="s">
        <v>200</v>
      </c>
      <c r="T13" s="60"/>
      <c r="U13" s="64"/>
    </row>
    <row r="14" spans="1:21" x14ac:dyDescent="0.25">
      <c r="A14" s="120" t="s">
        <v>127</v>
      </c>
      <c r="B14" s="146"/>
      <c r="C14" s="73" t="s">
        <v>188</v>
      </c>
      <c r="D14" s="191" t="s">
        <v>145</v>
      </c>
      <c r="E14" s="192"/>
      <c r="F14" s="191"/>
      <c r="G14" s="245"/>
      <c r="H14" s="191"/>
      <c r="I14" s="192"/>
      <c r="J14" s="221"/>
      <c r="K14" s="222"/>
      <c r="L14" s="223"/>
      <c r="M14" s="221" t="s">
        <v>60</v>
      </c>
      <c r="N14" s="222"/>
      <c r="O14" s="223"/>
      <c r="P14" s="69"/>
      <c r="Q14" s="129"/>
      <c r="R14" s="129"/>
      <c r="S14" s="17"/>
      <c r="T14" s="110"/>
      <c r="U14" s="134"/>
    </row>
    <row r="15" spans="1:21" ht="15.75" thickBot="1" x14ac:dyDescent="0.3">
      <c r="A15" s="120" t="s">
        <v>127</v>
      </c>
      <c r="B15" s="62" t="s">
        <v>65</v>
      </c>
      <c r="C15" s="62" t="s">
        <v>74</v>
      </c>
      <c r="D15" s="196" t="s">
        <v>88</v>
      </c>
      <c r="E15" s="226"/>
      <c r="F15" s="196" t="s">
        <v>80</v>
      </c>
      <c r="G15" s="197"/>
      <c r="H15" s="196" t="s">
        <v>55</v>
      </c>
      <c r="I15" s="226"/>
      <c r="J15" s="197" t="s">
        <v>58</v>
      </c>
      <c r="K15" s="197"/>
      <c r="L15" s="196"/>
      <c r="M15" s="196" t="s">
        <v>70</v>
      </c>
      <c r="N15" s="197"/>
      <c r="O15" s="226"/>
      <c r="P15" s="196" t="s">
        <v>19</v>
      </c>
      <c r="Q15" s="197"/>
      <c r="R15" s="197"/>
      <c r="S15" s="239" t="s">
        <v>82</v>
      </c>
      <c r="T15" s="240"/>
      <c r="U15" s="241"/>
    </row>
    <row r="16" spans="1:21" ht="15.75" thickBot="1" x14ac:dyDescent="0.3">
      <c r="A16" s="120" t="s">
        <v>127</v>
      </c>
      <c r="B16" s="212" t="s">
        <v>135</v>
      </c>
      <c r="C16" s="213"/>
      <c r="D16" s="213"/>
      <c r="E16" s="213"/>
      <c r="F16" s="213"/>
      <c r="G16" s="213"/>
      <c r="H16" s="213"/>
      <c r="I16" s="214"/>
      <c r="J16" s="212" t="s">
        <v>42</v>
      </c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4"/>
    </row>
    <row r="17" spans="1:24" x14ac:dyDescent="0.25">
      <c r="A17" s="120" t="s">
        <v>127</v>
      </c>
      <c r="B17" s="111"/>
      <c r="C17" s="172"/>
      <c r="D17" s="3" t="s">
        <v>113</v>
      </c>
      <c r="E17" s="20"/>
      <c r="F17" s="3" t="s">
        <v>182</v>
      </c>
      <c r="G17" s="20"/>
      <c r="H17" s="3" t="s">
        <v>201</v>
      </c>
      <c r="I17" s="20"/>
      <c r="J17" s="152" t="s">
        <v>185</v>
      </c>
      <c r="K17" s="84" t="s">
        <v>1</v>
      </c>
      <c r="L17" s="84"/>
      <c r="M17" s="84"/>
      <c r="N17" s="66"/>
      <c r="O17" s="147"/>
      <c r="P17" s="152" t="s">
        <v>57</v>
      </c>
      <c r="Q17" s="66"/>
      <c r="R17" s="66"/>
      <c r="S17" s="66"/>
      <c r="T17" s="66"/>
      <c r="U17" s="147"/>
    </row>
    <row r="18" spans="1:24" x14ac:dyDescent="0.25">
      <c r="A18" s="120" t="s">
        <v>127</v>
      </c>
      <c r="B18" s="111"/>
      <c r="C18" s="172"/>
      <c r="D18" s="101" t="s">
        <v>148</v>
      </c>
      <c r="E18" s="56"/>
      <c r="F18" s="101" t="s">
        <v>18</v>
      </c>
      <c r="G18" s="56"/>
      <c r="H18" s="18" t="s">
        <v>195</v>
      </c>
      <c r="I18" s="36"/>
      <c r="J18" s="114"/>
      <c r="K18" s="138"/>
      <c r="L18" s="138"/>
      <c r="M18" s="138"/>
      <c r="N18" s="138"/>
      <c r="O18" s="40"/>
      <c r="P18" s="114"/>
      <c r="Q18" s="130"/>
      <c r="R18" s="130"/>
      <c r="S18" s="138"/>
      <c r="T18" s="138"/>
      <c r="U18" s="40"/>
    </row>
    <row r="19" spans="1:24" ht="15.75" thickBot="1" x14ac:dyDescent="0.3">
      <c r="A19" s="120" t="s">
        <v>127</v>
      </c>
      <c r="B19" s="111"/>
      <c r="C19" s="172"/>
      <c r="D19" s="80" t="s">
        <v>30</v>
      </c>
      <c r="E19" s="56"/>
      <c r="F19" s="105" t="s">
        <v>111</v>
      </c>
      <c r="G19" s="2"/>
      <c r="H19" s="105" t="s">
        <v>186</v>
      </c>
      <c r="I19" s="2"/>
      <c r="J19" s="198" t="s">
        <v>138</v>
      </c>
      <c r="K19" s="199"/>
      <c r="L19" s="199"/>
      <c r="M19" s="199"/>
      <c r="N19" s="199"/>
      <c r="O19" s="143"/>
      <c r="P19" s="198" t="s">
        <v>191</v>
      </c>
      <c r="Q19" s="199"/>
      <c r="R19" s="199"/>
      <c r="S19" s="119"/>
      <c r="T19" s="119"/>
      <c r="U19" s="143"/>
    </row>
    <row r="20" spans="1:24" ht="15.75" thickBot="1" x14ac:dyDescent="0.3">
      <c r="A20" s="120" t="s">
        <v>127</v>
      </c>
      <c r="B20" s="200" t="s">
        <v>53</v>
      </c>
      <c r="C20" s="202"/>
      <c r="D20" s="168" t="s">
        <v>151</v>
      </c>
      <c r="E20" s="164"/>
      <c r="F20" s="22"/>
      <c r="G20" s="19"/>
      <c r="H20" s="22"/>
      <c r="I20" s="19"/>
      <c r="J20" s="152" t="s">
        <v>123</v>
      </c>
      <c r="K20" s="81"/>
      <c r="L20" s="81"/>
      <c r="M20" s="81"/>
      <c r="N20" s="81"/>
      <c r="O20" s="81"/>
      <c r="P20" s="81"/>
      <c r="Q20" s="81"/>
      <c r="R20" s="159"/>
      <c r="S20" s="152" t="s">
        <v>190</v>
      </c>
      <c r="T20" s="15" t="s">
        <v>9</v>
      </c>
      <c r="U20" s="159"/>
    </row>
    <row r="21" spans="1:24" ht="15.75" thickBot="1" x14ac:dyDescent="0.3">
      <c r="A21" s="120" t="s">
        <v>127</v>
      </c>
      <c r="B21" s="229" t="s">
        <v>184</v>
      </c>
      <c r="C21" s="230"/>
      <c r="D21" s="168" t="s">
        <v>183</v>
      </c>
      <c r="E21" s="164"/>
      <c r="F21" s="111"/>
      <c r="G21" s="55"/>
      <c r="H21" s="111"/>
      <c r="I21" s="55"/>
      <c r="J21" s="90"/>
      <c r="K21" s="138"/>
      <c r="L21" s="138"/>
      <c r="M21" s="138"/>
      <c r="N21" s="138"/>
      <c r="O21" s="138"/>
      <c r="P21" s="138"/>
      <c r="Q21" s="138"/>
      <c r="R21" s="40"/>
      <c r="S21" s="73"/>
      <c r="T21" s="138"/>
      <c r="U21" s="40"/>
    </row>
    <row r="22" spans="1:24" ht="15.75" thickBot="1" x14ac:dyDescent="0.3">
      <c r="A22" s="120" t="s">
        <v>127</v>
      </c>
      <c r="B22" s="227" t="s">
        <v>103</v>
      </c>
      <c r="C22" s="228"/>
      <c r="D22" s="65" t="s">
        <v>95</v>
      </c>
      <c r="E22" s="61"/>
      <c r="F22" s="49" t="s">
        <v>120</v>
      </c>
      <c r="G22" s="164"/>
      <c r="H22" s="49" t="s">
        <v>64</v>
      </c>
      <c r="I22" s="164"/>
      <c r="J22" s="123"/>
      <c r="K22" s="123"/>
      <c r="L22" s="123"/>
      <c r="M22" s="123"/>
      <c r="N22" s="123"/>
      <c r="O22" s="123"/>
      <c r="P22" s="123"/>
      <c r="Q22" s="123"/>
      <c r="R22" s="150"/>
      <c r="S22" s="95"/>
      <c r="T22" s="123"/>
      <c r="U22" s="150"/>
    </row>
    <row r="23" spans="1:24" ht="15.75" thickBot="1" x14ac:dyDescent="0.3">
      <c r="A23" s="120" t="s">
        <v>127</v>
      </c>
      <c r="B23" s="212" t="s">
        <v>46</v>
      </c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4"/>
    </row>
    <row r="24" spans="1:24" ht="15.75" thickBot="1" x14ac:dyDescent="0.3">
      <c r="A24" s="120" t="s">
        <v>127</v>
      </c>
      <c r="B24" s="233" t="s">
        <v>93</v>
      </c>
      <c r="C24" s="234"/>
      <c r="D24" s="218" t="s">
        <v>114</v>
      </c>
      <c r="E24" s="219"/>
      <c r="F24" s="219"/>
      <c r="G24" s="219"/>
      <c r="H24" s="220"/>
      <c r="I24" s="218" t="s">
        <v>62</v>
      </c>
      <c r="J24" s="219"/>
      <c r="K24" s="219"/>
      <c r="L24" s="219"/>
      <c r="M24" s="219"/>
      <c r="N24" s="219"/>
      <c r="O24" s="220"/>
      <c r="P24" s="205" t="s">
        <v>73</v>
      </c>
      <c r="Q24" s="206"/>
      <c r="R24" s="207"/>
      <c r="S24" s="218" t="s">
        <v>148</v>
      </c>
      <c r="T24" s="237"/>
      <c r="U24" s="238"/>
    </row>
    <row r="25" spans="1:24" ht="15.75" thickBot="1" x14ac:dyDescent="0.3">
      <c r="A25" s="120" t="s">
        <v>127</v>
      </c>
      <c r="B25" s="210"/>
      <c r="C25" s="211"/>
      <c r="D25" s="141" t="s">
        <v>144</v>
      </c>
      <c r="E25" s="2"/>
      <c r="F25" s="5" t="s">
        <v>92</v>
      </c>
      <c r="G25" s="105" t="s">
        <v>201</v>
      </c>
      <c r="H25" s="2"/>
      <c r="I25" s="105" t="s">
        <v>144</v>
      </c>
      <c r="J25" s="2"/>
      <c r="K25" s="203" t="s">
        <v>92</v>
      </c>
      <c r="L25" s="204"/>
      <c r="M25" s="215" t="s">
        <v>201</v>
      </c>
      <c r="N25" s="216"/>
      <c r="O25" s="217"/>
      <c r="P25" s="208"/>
      <c r="Q25" s="209"/>
      <c r="R25" s="209"/>
      <c r="S25" s="39" t="s">
        <v>173</v>
      </c>
      <c r="T25" s="39" t="s">
        <v>75</v>
      </c>
      <c r="U25" s="5" t="s">
        <v>201</v>
      </c>
    </row>
    <row r="26" spans="1:24" x14ac:dyDescent="0.25">
      <c r="A26" s="120" t="s">
        <v>127</v>
      </c>
      <c r="B26" s="210"/>
      <c r="C26" s="211"/>
      <c r="D26" s="38" t="s">
        <v>149</v>
      </c>
      <c r="E26" s="5" t="s">
        <v>149</v>
      </c>
      <c r="F26" s="31" t="s">
        <v>83</v>
      </c>
      <c r="G26" s="31"/>
      <c r="H26" s="31"/>
      <c r="I26" s="5" t="s">
        <v>149</v>
      </c>
      <c r="J26" s="5" t="s">
        <v>149</v>
      </c>
      <c r="K26" s="191" t="s">
        <v>83</v>
      </c>
      <c r="L26" s="192"/>
      <c r="M26" s="203"/>
      <c r="N26" s="204"/>
      <c r="O26" s="127"/>
      <c r="P26" s="5" t="s">
        <v>130</v>
      </c>
      <c r="Q26" s="5" t="s">
        <v>28</v>
      </c>
      <c r="R26" s="39"/>
      <c r="S26" s="154"/>
      <c r="T26" s="154"/>
      <c r="U26" s="31"/>
    </row>
    <row r="27" spans="1:24" x14ac:dyDescent="0.25">
      <c r="A27" s="120" t="s">
        <v>127</v>
      </c>
      <c r="B27" s="210" t="s">
        <v>166</v>
      </c>
      <c r="C27" s="211"/>
      <c r="D27" s="89" t="s">
        <v>169</v>
      </c>
      <c r="E27" s="31" t="s">
        <v>163</v>
      </c>
      <c r="F27" s="31" t="s">
        <v>163</v>
      </c>
      <c r="G27" s="31" t="s">
        <v>28</v>
      </c>
      <c r="H27" s="31" t="s">
        <v>130</v>
      </c>
      <c r="I27" s="31" t="s">
        <v>169</v>
      </c>
      <c r="J27" s="31" t="s">
        <v>163</v>
      </c>
      <c r="K27" s="191" t="s">
        <v>163</v>
      </c>
      <c r="L27" s="192"/>
      <c r="M27" s="191" t="s">
        <v>28</v>
      </c>
      <c r="N27" s="192"/>
      <c r="O27" s="31" t="s">
        <v>130</v>
      </c>
      <c r="P27" s="31" t="s">
        <v>201</v>
      </c>
      <c r="Q27" s="31" t="s">
        <v>201</v>
      </c>
      <c r="R27" s="154" t="s">
        <v>59</v>
      </c>
      <c r="S27" s="73"/>
      <c r="T27" s="73"/>
      <c r="U27" s="127"/>
    </row>
    <row r="28" spans="1:24" x14ac:dyDescent="0.25">
      <c r="A28" s="120" t="s">
        <v>127</v>
      </c>
      <c r="B28" s="231" t="s">
        <v>30</v>
      </c>
      <c r="C28" s="232"/>
      <c r="D28" s="59" t="s">
        <v>111</v>
      </c>
      <c r="E28" s="158" t="s">
        <v>186</v>
      </c>
      <c r="F28" s="158" t="s">
        <v>43</v>
      </c>
      <c r="G28" s="158" t="s">
        <v>124</v>
      </c>
      <c r="H28" s="158" t="s">
        <v>194</v>
      </c>
      <c r="I28" s="158" t="s">
        <v>54</v>
      </c>
      <c r="J28" s="158" t="s">
        <v>139</v>
      </c>
      <c r="K28" s="224" t="s">
        <v>207</v>
      </c>
      <c r="L28" s="225"/>
      <c r="M28" s="224" t="s">
        <v>8</v>
      </c>
      <c r="N28" s="225"/>
      <c r="O28" s="158" t="s">
        <v>87</v>
      </c>
      <c r="P28" s="158" t="s">
        <v>39</v>
      </c>
      <c r="Q28" s="158" t="s">
        <v>117</v>
      </c>
      <c r="R28" s="96" t="s">
        <v>24</v>
      </c>
      <c r="S28" s="96" t="s">
        <v>99</v>
      </c>
      <c r="T28" s="96" t="s">
        <v>181</v>
      </c>
      <c r="U28" s="158" t="s">
        <v>34</v>
      </c>
      <c r="W28" s="79" t="s">
        <v>115</v>
      </c>
      <c r="X28" s="79" t="s">
        <v>91</v>
      </c>
    </row>
    <row r="29" spans="1:24" ht="18" customHeight="1" x14ac:dyDescent="0.25">
      <c r="A29" s="24" t="s">
        <v>175</v>
      </c>
      <c r="B29" s="68" t="s">
        <v>52</v>
      </c>
      <c r="C29" s="74"/>
      <c r="D29" s="33" t="s">
        <v>121</v>
      </c>
      <c r="E29" s="16" t="s">
        <v>143</v>
      </c>
      <c r="F29" s="25" t="s">
        <v>158</v>
      </c>
      <c r="G29" s="72" t="s">
        <v>98</v>
      </c>
      <c r="H29" s="32" t="s">
        <v>134</v>
      </c>
      <c r="I29" s="151" t="s">
        <v>89</v>
      </c>
      <c r="J29" s="16" t="s">
        <v>160</v>
      </c>
      <c r="K29" s="246" t="s">
        <v>3</v>
      </c>
      <c r="L29" s="248"/>
      <c r="M29" s="246" t="s">
        <v>206</v>
      </c>
      <c r="N29" s="247"/>
      <c r="O29" s="155" t="s">
        <v>44</v>
      </c>
      <c r="P29" s="63" t="s">
        <v>96</v>
      </c>
      <c r="Q29" s="94" t="s">
        <v>172</v>
      </c>
      <c r="R29" s="44" t="s">
        <v>27</v>
      </c>
      <c r="S29" s="25" t="s">
        <v>21</v>
      </c>
      <c r="T29" s="169" t="s">
        <v>22</v>
      </c>
      <c r="U29" s="178" t="s">
        <v>146</v>
      </c>
      <c r="W29" s="104" t="e">
        <f>IF(I29=0,"-",(J29/I29))</f>
        <v>#VALUE!</v>
      </c>
      <c r="X29" s="104" t="e">
        <f>IF(K29=0,"-",(J29/K29))</f>
        <v>#VALUE!</v>
      </c>
    </row>
    <row r="30" spans="1:24" x14ac:dyDescent="0.25">
      <c r="A30" s="110" t="s">
        <v>112</v>
      </c>
      <c r="B30" s="173" t="s">
        <v>152</v>
      </c>
      <c r="C30" s="8"/>
      <c r="D30" s="33" t="s">
        <v>121</v>
      </c>
      <c r="E30" s="37" t="s">
        <v>143</v>
      </c>
      <c r="F30" s="25" t="s">
        <v>158</v>
      </c>
      <c r="G30" s="72" t="s">
        <v>98</v>
      </c>
      <c r="H30" s="47" t="s">
        <v>134</v>
      </c>
      <c r="I30" s="169" t="s">
        <v>89</v>
      </c>
      <c r="J30" s="37" t="s">
        <v>160</v>
      </c>
      <c r="K30" s="246" t="s">
        <v>3</v>
      </c>
      <c r="L30" s="248"/>
      <c r="M30" s="246" t="s">
        <v>206</v>
      </c>
      <c r="N30" s="247"/>
      <c r="O30" s="21" t="s">
        <v>44</v>
      </c>
      <c r="P30" s="63" t="s">
        <v>96</v>
      </c>
      <c r="Q30" s="94" t="s">
        <v>172</v>
      </c>
      <c r="R30" s="44" t="s">
        <v>27</v>
      </c>
      <c r="S30" s="25" t="s">
        <v>21</v>
      </c>
      <c r="T30" s="169" t="s">
        <v>22</v>
      </c>
      <c r="U30" s="178" t="s">
        <v>146</v>
      </c>
    </row>
    <row r="31" spans="1:24" x14ac:dyDescent="0.25">
      <c r="A31" s="110" t="s">
        <v>196</v>
      </c>
      <c r="B31" s="173" t="s">
        <v>66</v>
      </c>
      <c r="C31" s="8"/>
      <c r="D31" s="33" t="s">
        <v>121</v>
      </c>
      <c r="E31" s="37" t="s">
        <v>143</v>
      </c>
      <c r="F31" s="25" t="s">
        <v>158</v>
      </c>
      <c r="G31" s="72" t="s">
        <v>98</v>
      </c>
      <c r="H31" s="47" t="s">
        <v>134</v>
      </c>
      <c r="I31" s="169" t="s">
        <v>89</v>
      </c>
      <c r="J31" s="37" t="s">
        <v>160</v>
      </c>
      <c r="K31" s="246" t="s">
        <v>3</v>
      </c>
      <c r="L31" s="248"/>
      <c r="M31" s="246" t="s">
        <v>206</v>
      </c>
      <c r="N31" s="247"/>
      <c r="O31" s="21" t="s">
        <v>44</v>
      </c>
      <c r="P31" s="63" t="s">
        <v>96</v>
      </c>
      <c r="Q31" s="94" t="s">
        <v>172</v>
      </c>
      <c r="R31" s="44" t="s">
        <v>27</v>
      </c>
      <c r="S31" s="25" t="s">
        <v>21</v>
      </c>
      <c r="T31" s="169" t="s">
        <v>22</v>
      </c>
      <c r="U31" s="178" t="s">
        <v>146</v>
      </c>
    </row>
    <row r="32" spans="1:24" x14ac:dyDescent="0.25">
      <c r="A32" s="110" t="s">
        <v>36</v>
      </c>
      <c r="B32" s="173" t="s">
        <v>193</v>
      </c>
      <c r="C32" s="8"/>
      <c r="D32" s="145"/>
      <c r="E32" s="70"/>
      <c r="F32" s="70"/>
      <c r="G32" s="70"/>
      <c r="H32" s="70"/>
      <c r="I32" s="70"/>
      <c r="J32" s="70"/>
      <c r="K32" s="12"/>
      <c r="L32" s="12"/>
      <c r="M32" s="12"/>
      <c r="N32" s="12"/>
      <c r="O32" s="70"/>
      <c r="P32" s="70"/>
      <c r="Q32" s="70"/>
      <c r="R32" s="102"/>
      <c r="S32" s="82" t="s">
        <v>2</v>
      </c>
      <c r="T32" s="160" t="s">
        <v>132</v>
      </c>
      <c r="U32" s="178" t="s">
        <v>146</v>
      </c>
    </row>
    <row r="33" spans="1:24" s="97" customFormat="1" x14ac:dyDescent="0.25">
      <c r="A33" s="93" t="s">
        <v>79</v>
      </c>
      <c r="B33" s="149" t="s">
        <v>136</v>
      </c>
      <c r="C33" s="157"/>
      <c r="D33" s="144" t="s">
        <v>38</v>
      </c>
      <c r="E33" s="45" t="s">
        <v>38</v>
      </c>
      <c r="F33" s="131" t="s">
        <v>38</v>
      </c>
      <c r="G33" s="72" t="s">
        <v>98</v>
      </c>
      <c r="H33" s="30" t="s">
        <v>134</v>
      </c>
      <c r="I33" s="98" t="s">
        <v>38</v>
      </c>
      <c r="J33" s="153" t="s">
        <v>38</v>
      </c>
      <c r="K33" s="260" t="s">
        <v>38</v>
      </c>
      <c r="L33" s="262"/>
      <c r="M33" s="260" t="s">
        <v>206</v>
      </c>
      <c r="N33" s="261"/>
      <c r="O33" s="23" t="s">
        <v>44</v>
      </c>
      <c r="P33" s="98" t="s">
        <v>38</v>
      </c>
      <c r="Q33" s="131" t="s">
        <v>38</v>
      </c>
      <c r="R33" s="71" t="s">
        <v>38</v>
      </c>
      <c r="S33" s="131" t="s">
        <v>180</v>
      </c>
      <c r="T33" s="98" t="s">
        <v>180</v>
      </c>
      <c r="U33" s="178" t="s">
        <v>146</v>
      </c>
      <c r="W33" s="104" t="e">
        <f>IF(I33=0,"-",(J33/I33))</f>
        <v>#VALUE!</v>
      </c>
      <c r="X33" s="104" t="e">
        <f>IF(K33=0,"-",(J33/K33))</f>
        <v>#VALUE!</v>
      </c>
    </row>
    <row r="34" spans="1:24" x14ac:dyDescent="0.25">
      <c r="A34" s="110" t="s">
        <v>36</v>
      </c>
      <c r="B34" s="162" t="s">
        <v>25</v>
      </c>
      <c r="C34" s="174"/>
      <c r="D34" s="29"/>
      <c r="E34" s="128"/>
      <c r="F34" s="128"/>
      <c r="G34" s="128"/>
      <c r="H34" s="128"/>
      <c r="I34" s="128"/>
      <c r="J34" s="128"/>
      <c r="K34" s="52"/>
      <c r="L34" s="52"/>
      <c r="M34" s="52"/>
      <c r="N34" s="52"/>
      <c r="O34" s="128"/>
      <c r="P34" s="128"/>
      <c r="Q34" s="128"/>
      <c r="R34" s="113"/>
      <c r="S34" s="116" t="s">
        <v>13</v>
      </c>
      <c r="T34" s="29"/>
      <c r="U34" s="179"/>
    </row>
    <row r="35" spans="1:24" ht="15.75" thickBot="1" x14ac:dyDescent="0.3">
      <c r="A35" s="110" t="s">
        <v>36</v>
      </c>
      <c r="B35" s="43" t="s">
        <v>77</v>
      </c>
      <c r="C35" s="78"/>
      <c r="D35" s="180" t="s">
        <v>12</v>
      </c>
      <c r="E35" s="7" t="s">
        <v>12</v>
      </c>
      <c r="F35" s="122" t="s">
        <v>12</v>
      </c>
      <c r="G35" s="76" t="s">
        <v>131</v>
      </c>
      <c r="H35" s="87" t="s">
        <v>168</v>
      </c>
      <c r="I35" s="142" t="s">
        <v>12</v>
      </c>
      <c r="J35" s="7" t="s">
        <v>12</v>
      </c>
      <c r="K35" s="258" t="s">
        <v>12</v>
      </c>
      <c r="L35" s="263"/>
      <c r="M35" s="258" t="s">
        <v>129</v>
      </c>
      <c r="N35" s="259"/>
      <c r="O35" s="87" t="s">
        <v>44</v>
      </c>
      <c r="P35" s="1" t="s">
        <v>12</v>
      </c>
      <c r="Q35" s="122" t="s">
        <v>12</v>
      </c>
      <c r="R35" s="67" t="s">
        <v>12</v>
      </c>
      <c r="S35" s="142" t="s">
        <v>141</v>
      </c>
      <c r="T35" s="75"/>
      <c r="U35" s="176"/>
    </row>
    <row r="36" spans="1:24" ht="15.75" thickBot="1" x14ac:dyDescent="0.3">
      <c r="A36" s="110" t="s">
        <v>36</v>
      </c>
      <c r="B36" s="255" t="s">
        <v>7</v>
      </c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7"/>
    </row>
    <row r="37" spans="1:24" x14ac:dyDescent="0.25">
      <c r="A37" s="110" t="s">
        <v>36</v>
      </c>
      <c r="B37" s="132" t="s">
        <v>20</v>
      </c>
      <c r="C37" s="171"/>
      <c r="D37" s="46"/>
      <c r="E37" s="46"/>
      <c r="F37" s="46"/>
      <c r="G37" s="46"/>
      <c r="H37" s="46"/>
      <c r="I37" s="46"/>
      <c r="J37" s="46"/>
      <c r="K37" s="46"/>
      <c r="L37" s="46"/>
      <c r="M37" s="253" t="s">
        <v>177</v>
      </c>
      <c r="N37" s="254"/>
      <c r="O37" s="85" t="s">
        <v>48</v>
      </c>
      <c r="P37" s="46"/>
      <c r="Q37" s="46"/>
      <c r="R37" s="46"/>
      <c r="S37" s="46"/>
      <c r="T37" s="46"/>
      <c r="U37" s="86"/>
    </row>
    <row r="38" spans="1:24" ht="15.75" thickBot="1" x14ac:dyDescent="0.3">
      <c r="A38" s="110" t="s">
        <v>36</v>
      </c>
      <c r="B38" s="6" t="s">
        <v>210</v>
      </c>
      <c r="C38" s="28"/>
      <c r="D38" s="166"/>
      <c r="E38" s="107"/>
      <c r="F38" s="107"/>
      <c r="G38" s="107"/>
      <c r="H38" s="107"/>
      <c r="I38" s="107"/>
      <c r="J38" s="107"/>
      <c r="K38" s="107"/>
      <c r="L38" s="107"/>
      <c r="M38" s="251" t="s">
        <v>17</v>
      </c>
      <c r="N38" s="252"/>
      <c r="O38" s="135" t="s">
        <v>17</v>
      </c>
      <c r="P38" s="107"/>
      <c r="Q38" s="107"/>
      <c r="R38" s="107"/>
      <c r="S38" s="4" t="s">
        <v>120</v>
      </c>
      <c r="T38" s="4" t="s">
        <v>95</v>
      </c>
      <c r="U38" s="109" t="s">
        <v>146</v>
      </c>
    </row>
    <row r="39" spans="1:24" x14ac:dyDescent="0.25">
      <c r="A39" s="110" t="s">
        <v>36</v>
      </c>
      <c r="I39" s="250" t="s">
        <v>100</v>
      </c>
      <c r="J39" s="250"/>
      <c r="K39" s="250"/>
      <c r="L39" s="250"/>
      <c r="M39" s="250"/>
      <c r="N39" s="250"/>
    </row>
    <row r="40" spans="1:24" x14ac:dyDescent="0.25">
      <c r="A40" s="110" t="s">
        <v>36</v>
      </c>
      <c r="B40" s="245" t="s">
        <v>61</v>
      </c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</row>
    <row r="41" spans="1:24" x14ac:dyDescent="0.25">
      <c r="A41" s="110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4" x14ac:dyDescent="0.25">
      <c r="A42" s="110" t="s">
        <v>36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O42" s="112" t="e">
        <f>T33-K33</f>
        <v>#VALUE!</v>
      </c>
      <c r="P42" s="26"/>
      <c r="Q42" s="26"/>
      <c r="R42" s="26"/>
      <c r="S42" s="165" t="s">
        <v>165</v>
      </c>
      <c r="T42" s="26"/>
      <c r="U42" s="26"/>
    </row>
    <row r="43" spans="1:24" x14ac:dyDescent="0.25">
      <c r="A43" s="110" t="s">
        <v>36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O43" s="112" t="e">
        <f>S33-J33</f>
        <v>#VALUE!</v>
      </c>
      <c r="P43" s="26"/>
      <c r="Q43" s="26"/>
      <c r="R43" s="26"/>
      <c r="S43" s="165" t="s">
        <v>167</v>
      </c>
      <c r="T43" s="26"/>
      <c r="U43" s="26"/>
    </row>
    <row r="44" spans="1:24" x14ac:dyDescent="0.25">
      <c r="A44" s="110" t="s">
        <v>36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O44" s="181" t="e">
        <f>S34/O43</f>
        <v>#VALUE!</v>
      </c>
      <c r="P44" s="26"/>
      <c r="Q44" s="26"/>
      <c r="R44" s="26"/>
      <c r="S44" s="165" t="s">
        <v>108</v>
      </c>
      <c r="T44" s="26"/>
      <c r="U44" s="26"/>
    </row>
    <row r="45" spans="1:24" x14ac:dyDescent="0.25">
      <c r="A45" s="110" t="s">
        <v>36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81" t="e">
        <f>I33/S33</f>
        <v>#VALUE!</v>
      </c>
      <c r="P45" s="26"/>
      <c r="Q45" s="26"/>
      <c r="R45" s="26"/>
      <c r="S45" s="165" t="s">
        <v>118</v>
      </c>
      <c r="T45" s="26"/>
      <c r="U45" s="26"/>
    </row>
    <row r="46" spans="1:24" x14ac:dyDescent="0.25">
      <c r="A46" s="110" t="s">
        <v>36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181" t="e">
        <f>J33/S33</f>
        <v>#VALUE!</v>
      </c>
      <c r="P46" s="26"/>
      <c r="Q46" s="26"/>
      <c r="R46" s="26"/>
      <c r="S46" s="165" t="s">
        <v>159</v>
      </c>
      <c r="T46" s="26"/>
      <c r="U46" s="26"/>
    </row>
    <row r="47" spans="1:24" x14ac:dyDescent="0.25">
      <c r="A47" s="110" t="s">
        <v>36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181" t="e">
        <f>K33/S33</f>
        <v>#VALUE!</v>
      </c>
      <c r="P47" s="26"/>
      <c r="Q47" s="26"/>
      <c r="R47" s="26"/>
      <c r="S47" s="165" t="s">
        <v>85</v>
      </c>
      <c r="T47" s="26"/>
      <c r="U47" s="26"/>
    </row>
    <row r="48" spans="1:24" x14ac:dyDescent="0.25">
      <c r="A48" s="110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x14ac:dyDescent="0.25">
      <c r="A49" s="110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x14ac:dyDescent="0.25">
      <c r="A50" s="48" t="s">
        <v>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x14ac:dyDescent="0.25">
      <c r="A51" s="48" t="s">
        <v>5</v>
      </c>
      <c r="B51" s="266" t="s">
        <v>4</v>
      </c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</row>
    <row r="52" spans="1:21" x14ac:dyDescent="0.25">
      <c r="A52" s="48" t="s">
        <v>5</v>
      </c>
      <c r="B52" s="268" t="s">
        <v>84</v>
      </c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</row>
    <row r="53" spans="1:21" x14ac:dyDescent="0.25">
      <c r="A53" s="48" t="s">
        <v>5</v>
      </c>
      <c r="B53" s="268" t="s">
        <v>197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</row>
    <row r="54" spans="1:21" x14ac:dyDescent="0.25">
      <c r="A54" s="48" t="s">
        <v>5</v>
      </c>
      <c r="B54" s="268" t="s">
        <v>45</v>
      </c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</row>
    <row r="55" spans="1:21" x14ac:dyDescent="0.25">
      <c r="A55" s="48" t="s">
        <v>5</v>
      </c>
      <c r="B55" s="265" t="s">
        <v>49</v>
      </c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</row>
    <row r="56" spans="1:21" x14ac:dyDescent="0.25">
      <c r="O56" s="110"/>
      <c r="P56" s="53"/>
      <c r="Q56" s="53"/>
      <c r="R56" s="53"/>
      <c r="S56" s="41" t="s">
        <v>125</v>
      </c>
      <c r="T56" s="41" t="s">
        <v>101</v>
      </c>
      <c r="U56" s="41" t="s">
        <v>107</v>
      </c>
    </row>
    <row r="57" spans="1:21" x14ac:dyDescent="0.25">
      <c r="O57" s="110"/>
      <c r="P57" s="110"/>
      <c r="Q57" s="110"/>
      <c r="S57" s="91" t="s">
        <v>106</v>
      </c>
      <c r="T57" s="148" t="s">
        <v>105</v>
      </c>
      <c r="U57" s="140" t="s">
        <v>107</v>
      </c>
    </row>
    <row r="58" spans="1:21" x14ac:dyDescent="0.25">
      <c r="O58" s="110"/>
      <c r="P58" s="110"/>
      <c r="Q58" s="110"/>
    </row>
    <row r="60" spans="1:21" x14ac:dyDescent="0.25">
      <c r="O60" s="41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55:U55"/>
    <mergeCell ref="B51:U51"/>
    <mergeCell ref="B52:U52"/>
    <mergeCell ref="B53:U53"/>
    <mergeCell ref="B54:U54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/>
  </sheetViews>
  <sheetFormatPr defaultColWidth="20.85546875" defaultRowHeight="15" x14ac:dyDescent="0.25"/>
  <sheetData>
    <row r="1" spans="1:3" x14ac:dyDescent="0.25">
      <c r="A1" s="106" t="s">
        <v>47</v>
      </c>
      <c r="B1" s="106" t="s">
        <v>178</v>
      </c>
      <c r="C1" s="106" t="s">
        <v>198</v>
      </c>
    </row>
    <row r="2" spans="1:3" x14ac:dyDescent="0.25">
      <c r="A2" s="100">
        <v>44012</v>
      </c>
      <c r="B2" s="106" t="s">
        <v>128</v>
      </c>
      <c r="C2">
        <v>9488</v>
      </c>
    </row>
    <row r="3" spans="1:3" x14ac:dyDescent="0.25">
      <c r="A3" s="100">
        <v>44043</v>
      </c>
      <c r="B3" s="106" t="s">
        <v>31</v>
      </c>
      <c r="C3">
        <v>176</v>
      </c>
    </row>
    <row r="4" spans="1:3" x14ac:dyDescent="0.25">
      <c r="A4" s="100">
        <v>45930</v>
      </c>
      <c r="B4" s="106" t="s">
        <v>26</v>
      </c>
      <c r="C4">
        <v>10320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5"/>
  <sheetViews>
    <sheetView workbookViewId="0"/>
  </sheetViews>
  <sheetFormatPr defaultColWidth="20.85546875" defaultRowHeight="15" x14ac:dyDescent="0.25"/>
  <sheetData>
    <row r="1" spans="1:5" x14ac:dyDescent="0.25">
      <c r="A1" s="106" t="s">
        <v>104</v>
      </c>
      <c r="B1" s="106" t="s">
        <v>203</v>
      </c>
      <c r="C1" s="106" t="s">
        <v>47</v>
      </c>
      <c r="D1" s="106" t="s">
        <v>147</v>
      </c>
      <c r="E1" s="106" t="s">
        <v>72</v>
      </c>
    </row>
    <row r="2" spans="1:5" x14ac:dyDescent="0.25">
      <c r="A2" s="106" t="s">
        <v>11</v>
      </c>
      <c r="B2" s="106" t="s">
        <v>164</v>
      </c>
      <c r="C2" s="100">
        <v>44012</v>
      </c>
      <c r="D2" s="14">
        <v>1693245.0134000001</v>
      </c>
      <c r="E2" t="b">
        <v>1</v>
      </c>
    </row>
    <row r="3" spans="1:5" x14ac:dyDescent="0.25">
      <c r="A3" s="106" t="s">
        <v>11</v>
      </c>
      <c r="B3" s="106" t="s">
        <v>164</v>
      </c>
      <c r="C3" s="100">
        <v>44043</v>
      </c>
      <c r="D3" s="14">
        <v>23924.546999999999</v>
      </c>
      <c r="E3" t="b">
        <v>1</v>
      </c>
    </row>
    <row r="4" spans="1:5" x14ac:dyDescent="0.25">
      <c r="A4" s="106" t="s">
        <v>11</v>
      </c>
      <c r="B4" s="106" t="s">
        <v>164</v>
      </c>
      <c r="C4" s="100">
        <v>45930</v>
      </c>
      <c r="D4" s="14">
        <v>234508.9706</v>
      </c>
      <c r="E4" t="b">
        <v>1</v>
      </c>
    </row>
    <row r="5" spans="1:5" x14ac:dyDescent="0.25">
      <c r="A5" s="106" t="s">
        <v>11</v>
      </c>
      <c r="B5" s="106" t="s">
        <v>161</v>
      </c>
      <c r="C5" s="100">
        <v>44012</v>
      </c>
      <c r="D5" s="14">
        <v>1693245.0134000001</v>
      </c>
      <c r="E5" t="b">
        <v>1</v>
      </c>
    </row>
    <row r="6" spans="1:5" x14ac:dyDescent="0.25">
      <c r="A6" s="106" t="s">
        <v>11</v>
      </c>
      <c r="B6" s="106" t="s">
        <v>161</v>
      </c>
      <c r="C6" s="100">
        <v>44043</v>
      </c>
      <c r="D6" s="14">
        <v>23924.546999999999</v>
      </c>
      <c r="E6" t="b">
        <v>1</v>
      </c>
    </row>
    <row r="7" spans="1:5" x14ac:dyDescent="0.25">
      <c r="A7" s="106" t="s">
        <v>11</v>
      </c>
      <c r="B7" s="106" t="s">
        <v>187</v>
      </c>
      <c r="C7" s="100">
        <v>44012</v>
      </c>
      <c r="D7" s="14">
        <v>1544798.69</v>
      </c>
      <c r="E7" t="b">
        <v>1</v>
      </c>
    </row>
    <row r="8" spans="1:5" x14ac:dyDescent="0.25">
      <c r="A8" s="106" t="s">
        <v>11</v>
      </c>
      <c r="B8" s="106" t="s">
        <v>187</v>
      </c>
      <c r="C8" s="100">
        <v>44043</v>
      </c>
      <c r="D8" s="14">
        <v>19603.43</v>
      </c>
      <c r="E8" t="b">
        <v>1</v>
      </c>
    </row>
    <row r="9" spans="1:5" x14ac:dyDescent="0.25">
      <c r="A9" s="106" t="s">
        <v>11</v>
      </c>
      <c r="B9" s="106" t="s">
        <v>15</v>
      </c>
      <c r="C9" s="100">
        <v>44012</v>
      </c>
      <c r="D9" s="14">
        <v>1544798.69</v>
      </c>
      <c r="E9" t="b">
        <v>1</v>
      </c>
    </row>
    <row r="10" spans="1:5" x14ac:dyDescent="0.25">
      <c r="A10" s="106" t="s">
        <v>11</v>
      </c>
      <c r="B10" s="106" t="s">
        <v>15</v>
      </c>
      <c r="C10" s="100">
        <v>44043</v>
      </c>
      <c r="D10" s="14">
        <v>19603.43</v>
      </c>
      <c r="E10" t="b">
        <v>1</v>
      </c>
    </row>
    <row r="11" spans="1:5" x14ac:dyDescent="0.25">
      <c r="A11" s="106" t="s">
        <v>11</v>
      </c>
      <c r="B11" s="106" t="s">
        <v>15</v>
      </c>
      <c r="C11" s="100">
        <v>45930</v>
      </c>
      <c r="D11" s="14">
        <v>234508.9706</v>
      </c>
      <c r="E11" t="b">
        <v>1</v>
      </c>
    </row>
    <row r="12" spans="1:5" x14ac:dyDescent="0.25">
      <c r="A12" s="106" t="s">
        <v>86</v>
      </c>
      <c r="B12" s="106" t="s">
        <v>164</v>
      </c>
      <c r="C12" s="100">
        <v>44012</v>
      </c>
      <c r="D12" s="14">
        <v>2240066.5576999998</v>
      </c>
      <c r="E12" t="b">
        <v>1</v>
      </c>
    </row>
    <row r="13" spans="1:5" x14ac:dyDescent="0.25">
      <c r="A13" s="106" t="s">
        <v>86</v>
      </c>
      <c r="B13" s="106" t="s">
        <v>164</v>
      </c>
      <c r="C13" s="100">
        <v>44043</v>
      </c>
      <c r="D13" s="14">
        <v>70945.121299999999</v>
      </c>
      <c r="E13" t="b">
        <v>1</v>
      </c>
    </row>
    <row r="14" spans="1:5" x14ac:dyDescent="0.25">
      <c r="A14" s="106" t="s">
        <v>86</v>
      </c>
      <c r="B14" s="106" t="s">
        <v>164</v>
      </c>
      <c r="C14" s="100">
        <v>45930</v>
      </c>
      <c r="D14" s="14">
        <v>1869123.0632</v>
      </c>
      <c r="E14" t="b">
        <v>1</v>
      </c>
    </row>
    <row r="15" spans="1:5" x14ac:dyDescent="0.25">
      <c r="A15" s="106" t="s">
        <v>86</v>
      </c>
      <c r="B15" s="106" t="s">
        <v>161</v>
      </c>
      <c r="C15" s="100">
        <v>44012</v>
      </c>
      <c r="D15" s="14">
        <v>1697152.6214999999</v>
      </c>
      <c r="E15" t="b">
        <v>1</v>
      </c>
    </row>
    <row r="16" spans="1:5" x14ac:dyDescent="0.25">
      <c r="A16" s="106" t="s">
        <v>86</v>
      </c>
      <c r="B16" s="106" t="s">
        <v>161</v>
      </c>
      <c r="C16" s="100">
        <v>44043</v>
      </c>
      <c r="D16" s="14">
        <v>216680.41519999999</v>
      </c>
      <c r="E16" t="b">
        <v>1</v>
      </c>
    </row>
    <row r="17" spans="1:5" x14ac:dyDescent="0.25">
      <c r="A17" s="106" t="s">
        <v>86</v>
      </c>
      <c r="B17" s="106" t="s">
        <v>187</v>
      </c>
      <c r="C17" s="100">
        <v>44012</v>
      </c>
      <c r="D17" s="14">
        <v>1673727.05</v>
      </c>
      <c r="E17" t="b">
        <v>1</v>
      </c>
    </row>
    <row r="18" spans="1:5" x14ac:dyDescent="0.25">
      <c r="A18" s="106" t="s">
        <v>86</v>
      </c>
      <c r="B18" s="106" t="s">
        <v>187</v>
      </c>
      <c r="C18" s="100">
        <v>44043</v>
      </c>
      <c r="D18" s="14">
        <v>52664.04</v>
      </c>
      <c r="E18" t="b">
        <v>1</v>
      </c>
    </row>
    <row r="19" spans="1:5" x14ac:dyDescent="0.25">
      <c r="A19" s="106" t="s">
        <v>86</v>
      </c>
      <c r="B19" s="106" t="s">
        <v>15</v>
      </c>
      <c r="C19" s="100">
        <v>44012</v>
      </c>
      <c r="D19" s="14">
        <v>1673727.05</v>
      </c>
      <c r="E19" t="b">
        <v>1</v>
      </c>
    </row>
    <row r="20" spans="1:5" x14ac:dyDescent="0.25">
      <c r="A20" s="106" t="s">
        <v>86</v>
      </c>
      <c r="B20" s="106" t="s">
        <v>15</v>
      </c>
      <c r="C20" s="100">
        <v>44043</v>
      </c>
      <c r="D20" s="14">
        <v>52664.04</v>
      </c>
      <c r="E20" t="b">
        <v>1</v>
      </c>
    </row>
    <row r="21" spans="1:5" x14ac:dyDescent="0.25">
      <c r="A21" s="106" t="s">
        <v>86</v>
      </c>
      <c r="B21" s="106" t="s">
        <v>15</v>
      </c>
      <c r="C21" s="100">
        <v>45930</v>
      </c>
      <c r="D21" s="14">
        <v>2269843.4304</v>
      </c>
      <c r="E21" t="b">
        <v>1</v>
      </c>
    </row>
    <row r="22" spans="1:5" x14ac:dyDescent="0.25">
      <c r="A22" s="106" t="s">
        <v>170</v>
      </c>
      <c r="B22" s="106" t="s">
        <v>164</v>
      </c>
      <c r="C22" s="100">
        <v>44012</v>
      </c>
      <c r="D22" s="14">
        <v>3662345.4457999999</v>
      </c>
      <c r="E22" t="b">
        <v>1</v>
      </c>
    </row>
    <row r="23" spans="1:5" x14ac:dyDescent="0.25">
      <c r="A23" s="106" t="s">
        <v>170</v>
      </c>
      <c r="B23" s="106" t="s">
        <v>164</v>
      </c>
      <c r="C23" s="100">
        <v>44043</v>
      </c>
      <c r="D23" s="14">
        <v>88565.214500000002</v>
      </c>
      <c r="E23" t="b">
        <v>1</v>
      </c>
    </row>
    <row r="24" spans="1:5" x14ac:dyDescent="0.25">
      <c r="A24" s="106" t="s">
        <v>170</v>
      </c>
      <c r="B24" s="106" t="s">
        <v>164</v>
      </c>
      <c r="C24" s="100">
        <v>45930</v>
      </c>
      <c r="D24" s="14">
        <v>1504182.9216</v>
      </c>
      <c r="E24" t="b">
        <v>1</v>
      </c>
    </row>
    <row r="25" spans="1:5" x14ac:dyDescent="0.25">
      <c r="A25" s="106" t="s">
        <v>170</v>
      </c>
      <c r="B25" s="106" t="s">
        <v>161</v>
      </c>
      <c r="C25" s="100">
        <v>44012</v>
      </c>
      <c r="D25" s="14">
        <v>3481394.9539000001</v>
      </c>
      <c r="E25" t="b">
        <v>1</v>
      </c>
    </row>
    <row r="26" spans="1:5" x14ac:dyDescent="0.25">
      <c r="A26" s="106" t="s">
        <v>170</v>
      </c>
      <c r="B26" s="106" t="s">
        <v>161</v>
      </c>
      <c r="C26" s="100">
        <v>44043</v>
      </c>
      <c r="D26" s="14">
        <v>91325.728900000002</v>
      </c>
      <c r="E26" t="b">
        <v>1</v>
      </c>
    </row>
    <row r="27" spans="1:5" x14ac:dyDescent="0.25">
      <c r="A27" s="106" t="s">
        <v>170</v>
      </c>
      <c r="B27" s="106" t="s">
        <v>187</v>
      </c>
      <c r="C27" s="100">
        <v>44012</v>
      </c>
      <c r="D27" s="14">
        <v>3514453.18</v>
      </c>
      <c r="E27" t="b">
        <v>1</v>
      </c>
    </row>
    <row r="28" spans="1:5" x14ac:dyDescent="0.25">
      <c r="A28" s="106" t="s">
        <v>170</v>
      </c>
      <c r="B28" s="106" t="s">
        <v>187</v>
      </c>
      <c r="C28" s="100">
        <v>44043</v>
      </c>
      <c r="D28" s="14">
        <v>177695.44</v>
      </c>
      <c r="E28" t="b">
        <v>1</v>
      </c>
    </row>
    <row r="29" spans="1:5" x14ac:dyDescent="0.25">
      <c r="A29" s="106" t="s">
        <v>170</v>
      </c>
      <c r="B29" s="106" t="s">
        <v>15</v>
      </c>
      <c r="C29" s="100">
        <v>44012</v>
      </c>
      <c r="D29" s="14">
        <v>3514453.18</v>
      </c>
      <c r="E29" t="b">
        <v>1</v>
      </c>
    </row>
    <row r="30" spans="1:5" x14ac:dyDescent="0.25">
      <c r="A30" s="106" t="s">
        <v>170</v>
      </c>
      <c r="B30" s="106" t="s">
        <v>15</v>
      </c>
      <c r="C30" s="100">
        <v>44043</v>
      </c>
      <c r="D30" s="14">
        <v>177695.44</v>
      </c>
      <c r="E30" t="b">
        <v>1</v>
      </c>
    </row>
    <row r="31" spans="1:5" x14ac:dyDescent="0.25">
      <c r="A31" s="106" t="s">
        <v>170</v>
      </c>
      <c r="B31" s="106" t="s">
        <v>15</v>
      </c>
      <c r="C31" s="100">
        <v>45930</v>
      </c>
      <c r="D31" s="14">
        <v>1989056.7276999999</v>
      </c>
      <c r="E31" t="b">
        <v>1</v>
      </c>
    </row>
    <row r="32" spans="1:5" x14ac:dyDescent="0.25">
      <c r="A32" s="106" t="s">
        <v>23</v>
      </c>
      <c r="B32" s="106" t="s">
        <v>164</v>
      </c>
      <c r="C32" s="100">
        <v>44012</v>
      </c>
      <c r="D32" s="14">
        <v>1992449.6765000001</v>
      </c>
      <c r="E32" t="b">
        <v>1</v>
      </c>
    </row>
    <row r="33" spans="1:5" x14ac:dyDescent="0.25">
      <c r="A33" s="106" t="s">
        <v>23</v>
      </c>
      <c r="B33" s="106" t="s">
        <v>164</v>
      </c>
      <c r="C33" s="100">
        <v>44043</v>
      </c>
      <c r="D33" s="14">
        <v>254507.01</v>
      </c>
      <c r="E33" t="b">
        <v>1</v>
      </c>
    </row>
    <row r="34" spans="1:5" x14ac:dyDescent="0.25">
      <c r="A34" s="106" t="s">
        <v>23</v>
      </c>
      <c r="B34" s="106" t="s">
        <v>164</v>
      </c>
      <c r="C34" s="100">
        <v>45930</v>
      </c>
      <c r="D34" s="14">
        <v>1786153.1055999999</v>
      </c>
      <c r="E34" t="b">
        <v>1</v>
      </c>
    </row>
    <row r="35" spans="1:5" x14ac:dyDescent="0.25">
      <c r="A35" s="106" t="s">
        <v>23</v>
      </c>
      <c r="B35" s="106" t="s">
        <v>161</v>
      </c>
      <c r="C35" s="100">
        <v>44012</v>
      </c>
      <c r="D35" s="14">
        <v>1928367.4846999999</v>
      </c>
      <c r="E35" t="b">
        <v>1</v>
      </c>
    </row>
    <row r="36" spans="1:5" x14ac:dyDescent="0.25">
      <c r="A36" s="106" t="s">
        <v>23</v>
      </c>
      <c r="B36" s="106" t="s">
        <v>161</v>
      </c>
      <c r="C36" s="100">
        <v>44043</v>
      </c>
      <c r="D36" s="14">
        <v>92325.210699999996</v>
      </c>
      <c r="E36" t="b">
        <v>1</v>
      </c>
    </row>
    <row r="37" spans="1:5" x14ac:dyDescent="0.25">
      <c r="A37" s="106" t="s">
        <v>23</v>
      </c>
      <c r="B37" s="106" t="s">
        <v>187</v>
      </c>
      <c r="C37" s="100">
        <v>44012</v>
      </c>
      <c r="D37" s="14">
        <v>1648603.46</v>
      </c>
      <c r="E37" t="b">
        <v>1</v>
      </c>
    </row>
    <row r="38" spans="1:5" x14ac:dyDescent="0.25">
      <c r="A38" s="106" t="s">
        <v>23</v>
      </c>
      <c r="B38" s="106" t="s">
        <v>187</v>
      </c>
      <c r="C38" s="100">
        <v>44043</v>
      </c>
      <c r="D38" s="14">
        <v>207364.14</v>
      </c>
      <c r="E38" t="b">
        <v>1</v>
      </c>
    </row>
    <row r="39" spans="1:5" x14ac:dyDescent="0.25">
      <c r="A39" s="106" t="s">
        <v>23</v>
      </c>
      <c r="B39" s="106" t="s">
        <v>15</v>
      </c>
      <c r="C39" s="100">
        <v>44012</v>
      </c>
      <c r="D39" s="14">
        <v>1648603.46</v>
      </c>
      <c r="E39" t="b">
        <v>1</v>
      </c>
    </row>
    <row r="40" spans="1:5" x14ac:dyDescent="0.25">
      <c r="A40" s="106" t="s">
        <v>23</v>
      </c>
      <c r="B40" s="106" t="s">
        <v>15</v>
      </c>
      <c r="C40" s="100">
        <v>44043</v>
      </c>
      <c r="D40" s="14">
        <v>207364.14</v>
      </c>
      <c r="E40" t="b">
        <v>1</v>
      </c>
    </row>
    <row r="41" spans="1:5" x14ac:dyDescent="0.25">
      <c r="A41" s="106" t="s">
        <v>23</v>
      </c>
      <c r="B41" s="106" t="s">
        <v>15</v>
      </c>
      <c r="C41" s="100">
        <v>45930</v>
      </c>
      <c r="D41" s="14">
        <v>2253457.7022000002</v>
      </c>
      <c r="E41" t="b">
        <v>1</v>
      </c>
    </row>
    <row r="42" spans="1:5" x14ac:dyDescent="0.25">
      <c r="A42" s="106" t="s">
        <v>102</v>
      </c>
      <c r="B42" s="106" t="s">
        <v>164</v>
      </c>
      <c r="C42" s="100">
        <v>44012</v>
      </c>
      <c r="D42" s="14">
        <v>2310655.0049000001</v>
      </c>
      <c r="E42" t="b">
        <v>1</v>
      </c>
    </row>
    <row r="43" spans="1:5" x14ac:dyDescent="0.25">
      <c r="A43" s="106" t="s">
        <v>102</v>
      </c>
      <c r="B43" s="106" t="s">
        <v>164</v>
      </c>
      <c r="C43" s="100">
        <v>44043</v>
      </c>
      <c r="D43" s="14">
        <v>10880.4015</v>
      </c>
      <c r="E43" t="b">
        <v>1</v>
      </c>
    </row>
    <row r="44" spans="1:5" x14ac:dyDescent="0.25">
      <c r="A44" s="106" t="s">
        <v>102</v>
      </c>
      <c r="B44" s="106" t="s">
        <v>164</v>
      </c>
      <c r="C44" s="100">
        <v>45930</v>
      </c>
      <c r="D44" s="14">
        <v>3041931.0213000001</v>
      </c>
      <c r="E44" t="b">
        <v>1</v>
      </c>
    </row>
    <row r="45" spans="1:5" x14ac:dyDescent="0.25">
      <c r="A45" s="106" t="s">
        <v>102</v>
      </c>
      <c r="B45" s="106" t="s">
        <v>161</v>
      </c>
      <c r="C45" s="100">
        <v>44012</v>
      </c>
      <c r="D45" s="14">
        <v>2251424.8892999999</v>
      </c>
      <c r="E45" t="b">
        <v>1</v>
      </c>
    </row>
    <row r="46" spans="1:5" x14ac:dyDescent="0.25">
      <c r="A46" s="106" t="s">
        <v>102</v>
      </c>
      <c r="B46" s="106" t="s">
        <v>161</v>
      </c>
      <c r="C46" s="100">
        <v>44043</v>
      </c>
      <c r="D46" s="14">
        <v>191.5291</v>
      </c>
      <c r="E46" t="b">
        <v>1</v>
      </c>
    </row>
    <row r="47" spans="1:5" x14ac:dyDescent="0.25">
      <c r="A47" s="106" t="s">
        <v>102</v>
      </c>
      <c r="B47" s="106" t="s">
        <v>187</v>
      </c>
      <c r="C47" s="100">
        <v>44012</v>
      </c>
      <c r="D47" s="14">
        <v>2159554.12</v>
      </c>
      <c r="E47" t="b">
        <v>1</v>
      </c>
    </row>
    <row r="48" spans="1:5" x14ac:dyDescent="0.25">
      <c r="A48" s="106" t="s">
        <v>102</v>
      </c>
      <c r="B48" s="106" t="s">
        <v>187</v>
      </c>
      <c r="C48" s="100">
        <v>44043</v>
      </c>
      <c r="D48" s="14">
        <v>65232.08</v>
      </c>
      <c r="E48" t="b">
        <v>1</v>
      </c>
    </row>
    <row r="49" spans="1:5" x14ac:dyDescent="0.25">
      <c r="A49" s="106" t="s">
        <v>102</v>
      </c>
      <c r="B49" s="106" t="s">
        <v>15</v>
      </c>
      <c r="C49" s="100">
        <v>44012</v>
      </c>
      <c r="D49" s="14">
        <v>2159554.12</v>
      </c>
      <c r="E49" t="b">
        <v>1</v>
      </c>
    </row>
    <row r="50" spans="1:5" x14ac:dyDescent="0.25">
      <c r="A50" s="106" t="s">
        <v>102</v>
      </c>
      <c r="B50" s="106" t="s">
        <v>15</v>
      </c>
      <c r="C50" s="100">
        <v>44043</v>
      </c>
      <c r="D50" s="14">
        <v>65232.08</v>
      </c>
      <c r="E50" t="b">
        <v>1</v>
      </c>
    </row>
    <row r="51" spans="1:5" x14ac:dyDescent="0.25">
      <c r="A51" s="106" t="s">
        <v>102</v>
      </c>
      <c r="B51" s="106" t="s">
        <v>15</v>
      </c>
      <c r="C51" s="100">
        <v>45930</v>
      </c>
      <c r="D51" s="14">
        <v>3911971.8903999999</v>
      </c>
      <c r="E51" t="b">
        <v>1</v>
      </c>
    </row>
    <row r="52" spans="1:5" x14ac:dyDescent="0.25">
      <c r="A52" s="106" t="s">
        <v>179</v>
      </c>
      <c r="B52" s="106" t="s">
        <v>164</v>
      </c>
      <c r="C52" s="100">
        <v>44012</v>
      </c>
      <c r="D52" s="14">
        <v>242014.25099999999</v>
      </c>
      <c r="E52" t="b">
        <v>1</v>
      </c>
    </row>
    <row r="53" spans="1:5" x14ac:dyDescent="0.25">
      <c r="A53" s="106" t="s">
        <v>179</v>
      </c>
      <c r="B53" s="106" t="s">
        <v>164</v>
      </c>
      <c r="C53" s="100">
        <v>45930</v>
      </c>
      <c r="D53" s="14">
        <v>1003076.1449</v>
      </c>
      <c r="E53" t="b">
        <v>1</v>
      </c>
    </row>
    <row r="54" spans="1:5" x14ac:dyDescent="0.25">
      <c r="A54" s="106" t="s">
        <v>179</v>
      </c>
      <c r="B54" s="106" t="s">
        <v>161</v>
      </c>
      <c r="C54" s="100">
        <v>44012</v>
      </c>
      <c r="D54" s="14">
        <v>322827.48749999999</v>
      </c>
      <c r="E54" t="b">
        <v>1</v>
      </c>
    </row>
    <row r="55" spans="1:5" x14ac:dyDescent="0.25">
      <c r="A55" s="106" t="s">
        <v>179</v>
      </c>
      <c r="B55" s="106" t="s">
        <v>187</v>
      </c>
      <c r="C55" s="100">
        <v>44012</v>
      </c>
      <c r="D55" s="14">
        <v>275360.14</v>
      </c>
      <c r="E55" t="b">
        <v>1</v>
      </c>
    </row>
    <row r="56" spans="1:5" x14ac:dyDescent="0.25">
      <c r="A56" s="106" t="s">
        <v>179</v>
      </c>
      <c r="B56" s="106" t="s">
        <v>187</v>
      </c>
      <c r="C56" s="100">
        <v>44043</v>
      </c>
      <c r="D56" s="14">
        <v>30443.4</v>
      </c>
      <c r="E56" t="b">
        <v>1</v>
      </c>
    </row>
    <row r="57" spans="1:5" x14ac:dyDescent="0.25">
      <c r="A57" s="106" t="s">
        <v>179</v>
      </c>
      <c r="B57" s="106" t="s">
        <v>15</v>
      </c>
      <c r="C57" s="100">
        <v>44012</v>
      </c>
      <c r="D57" s="14">
        <v>275360.14</v>
      </c>
      <c r="E57" t="b">
        <v>1</v>
      </c>
    </row>
    <row r="58" spans="1:5" x14ac:dyDescent="0.25">
      <c r="A58" s="106" t="s">
        <v>179</v>
      </c>
      <c r="B58" s="106" t="s">
        <v>15</v>
      </c>
      <c r="C58" s="100">
        <v>44043</v>
      </c>
      <c r="D58" s="14">
        <v>30443.4</v>
      </c>
      <c r="E58" t="b">
        <v>1</v>
      </c>
    </row>
    <row r="59" spans="1:5" x14ac:dyDescent="0.25">
      <c r="A59" s="106" t="s">
        <v>179</v>
      </c>
      <c r="B59" s="106" t="s">
        <v>15</v>
      </c>
      <c r="C59" s="100">
        <v>45930</v>
      </c>
      <c r="D59" s="14">
        <v>922646.52590000001</v>
      </c>
      <c r="E59" t="b">
        <v>1</v>
      </c>
    </row>
    <row r="60" spans="1:5" x14ac:dyDescent="0.25">
      <c r="A60" s="106" t="s">
        <v>32</v>
      </c>
      <c r="B60" s="106" t="s">
        <v>164</v>
      </c>
      <c r="C60" s="100">
        <v>44012</v>
      </c>
      <c r="D60" s="14">
        <v>99147.550799999997</v>
      </c>
      <c r="E60" t="b">
        <v>1</v>
      </c>
    </row>
    <row r="61" spans="1:5" x14ac:dyDescent="0.25">
      <c r="A61" s="106" t="s">
        <v>32</v>
      </c>
      <c r="B61" s="106" t="s">
        <v>164</v>
      </c>
      <c r="C61" s="100">
        <v>45930</v>
      </c>
      <c r="D61" s="14">
        <v>71022.272700000001</v>
      </c>
      <c r="E61" t="b">
        <v>1</v>
      </c>
    </row>
    <row r="62" spans="1:5" x14ac:dyDescent="0.25">
      <c r="A62" s="106" t="s">
        <v>32</v>
      </c>
      <c r="B62" s="106" t="s">
        <v>161</v>
      </c>
      <c r="C62" s="100">
        <v>44012</v>
      </c>
      <c r="D62" s="14">
        <v>99147.550799999997</v>
      </c>
      <c r="E62" t="b">
        <v>1</v>
      </c>
    </row>
    <row r="63" spans="1:5" x14ac:dyDescent="0.25">
      <c r="A63" s="106" t="s">
        <v>32</v>
      </c>
      <c r="B63" s="106" t="s">
        <v>187</v>
      </c>
      <c r="C63" s="100">
        <v>44012</v>
      </c>
      <c r="D63" s="14">
        <v>78303.81</v>
      </c>
      <c r="E63" t="b">
        <v>1</v>
      </c>
    </row>
    <row r="64" spans="1:5" x14ac:dyDescent="0.25">
      <c r="A64" s="106" t="s">
        <v>32</v>
      </c>
      <c r="B64" s="106" t="s">
        <v>15</v>
      </c>
      <c r="C64" s="100">
        <v>44012</v>
      </c>
      <c r="D64" s="14">
        <v>78303.81</v>
      </c>
      <c r="E64" t="b">
        <v>1</v>
      </c>
    </row>
    <row r="65" spans="1:5" x14ac:dyDescent="0.25">
      <c r="A65" s="106" t="s">
        <v>32</v>
      </c>
      <c r="B65" s="106" t="s">
        <v>15</v>
      </c>
      <c r="C65" s="100">
        <v>45930</v>
      </c>
      <c r="D65" s="14">
        <v>71022.272700000001</v>
      </c>
      <c r="E65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</vt:lpstr>
      <vt:lpstr>Template</vt:lpstr>
      <vt:lpstr>Calendar</vt:lpstr>
      <vt:lpstr>Data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Gutta, Rajendra Rao</dc:creator>
  <cp:lastModifiedBy>Gutta, Rajendra Rao</cp:lastModifiedBy>
  <dcterms:created xsi:type="dcterms:W3CDTF">2020-08-17T14:19:58Z</dcterms:created>
  <dcterms:modified xsi:type="dcterms:W3CDTF">2020-08-25T04:58:37Z</dcterms:modified>
</cp:coreProperties>
</file>