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bnl.gov\bnlfiles\NSLS2FSIPDv2Reports\sPHENIX_MIE\SummaryReports\CostPerformanceReport\2020\"/>
    </mc:Choice>
  </mc:AlternateContent>
  <xr:revisionPtr revIDLastSave="0" documentId="8_{B5961EB6-64AD-4FFD-B470-00F19F4C3272}" xr6:coauthVersionLast="45" xr6:coauthVersionMax="45" xr10:uidLastSave="{00000000-0000-0000-0000-000000000000}"/>
  <bookViews>
    <workbookView xWindow="5295" yWindow="315" windowWidth="23295" windowHeight="15165" xr2:uid="{00000000-000D-0000-FFFF-FFFF00000000}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2" l="1"/>
  <c r="O46" i="2"/>
  <c r="O45" i="2"/>
  <c r="O44" i="2"/>
  <c r="O43" i="2"/>
  <c r="O42" i="2"/>
  <c r="X33" i="2"/>
  <c r="W33" i="2"/>
  <c r="X29" i="2"/>
  <c r="W29" i="2"/>
  <c r="E39" i="1"/>
  <c r="E41" i="1" s="1"/>
  <c r="D39" i="1"/>
  <c r="C39" i="1"/>
  <c r="C41" i="1" s="1"/>
  <c r="T38" i="1"/>
  <c r="S37" i="1"/>
  <c r="R37" i="1"/>
  <c r="Q37" i="1"/>
  <c r="P37" i="1"/>
  <c r="O37" i="1"/>
  <c r="J37" i="1"/>
  <c r="I37" i="1"/>
  <c r="N37" i="1" s="1"/>
  <c r="H37" i="1"/>
  <c r="G37" i="1"/>
  <c r="F37" i="1"/>
  <c r="S36" i="1"/>
  <c r="R36" i="1"/>
  <c r="T36" i="1" s="1"/>
  <c r="Q36" i="1"/>
  <c r="P36" i="1"/>
  <c r="O36" i="1"/>
  <c r="J36" i="1"/>
  <c r="I36" i="1"/>
  <c r="L36" i="1" s="1"/>
  <c r="H36" i="1"/>
  <c r="G36" i="1"/>
  <c r="F36" i="1"/>
  <c r="S35" i="1"/>
  <c r="T35" i="1" s="1"/>
  <c r="R35" i="1"/>
  <c r="Q35" i="1"/>
  <c r="P35" i="1"/>
  <c r="O35" i="1"/>
  <c r="J35" i="1"/>
  <c r="W35" i="1" s="1"/>
  <c r="I35" i="1"/>
  <c r="N35" i="1" s="1"/>
  <c r="H35" i="1"/>
  <c r="G35" i="1"/>
  <c r="F35" i="1"/>
  <c r="A35" i="1"/>
  <c r="S34" i="1"/>
  <c r="R34" i="1"/>
  <c r="Q34" i="1"/>
  <c r="P34" i="1"/>
  <c r="O34" i="1"/>
  <c r="J34" i="1"/>
  <c r="W34" i="1" s="1"/>
  <c r="I34" i="1"/>
  <c r="H34" i="1"/>
  <c r="G34" i="1"/>
  <c r="F34" i="1"/>
  <c r="A34" i="1"/>
  <c r="S33" i="1"/>
  <c r="T33" i="1" s="1"/>
  <c r="R33" i="1"/>
  <c r="Q33" i="1"/>
  <c r="P33" i="1"/>
  <c r="O33" i="1"/>
  <c r="J33" i="1"/>
  <c r="W33" i="1" s="1"/>
  <c r="I33" i="1"/>
  <c r="N33" i="1" s="1"/>
  <c r="H33" i="1"/>
  <c r="G33" i="1"/>
  <c r="F33" i="1"/>
  <c r="A33" i="1"/>
  <c r="S32" i="1"/>
  <c r="R32" i="1"/>
  <c r="Q32" i="1"/>
  <c r="P32" i="1"/>
  <c r="O32" i="1"/>
  <c r="J32" i="1"/>
  <c r="W32" i="1" s="1"/>
  <c r="I32" i="1"/>
  <c r="H32" i="1"/>
  <c r="G32" i="1"/>
  <c r="F32" i="1"/>
  <c r="A32" i="1"/>
  <c r="S31" i="1"/>
  <c r="R31" i="1"/>
  <c r="Q31" i="1"/>
  <c r="P31" i="1"/>
  <c r="O31" i="1"/>
  <c r="J31" i="1"/>
  <c r="I31" i="1"/>
  <c r="N31" i="1" s="1"/>
  <c r="H31" i="1"/>
  <c r="G31" i="1"/>
  <c r="F31" i="1"/>
  <c r="A31" i="1"/>
  <c r="S30" i="1"/>
  <c r="R30" i="1"/>
  <c r="Q30" i="1"/>
  <c r="P30" i="1"/>
  <c r="O30" i="1"/>
  <c r="J30" i="1"/>
  <c r="I30" i="1"/>
  <c r="N30" i="1" s="1"/>
  <c r="H30" i="1"/>
  <c r="G30" i="1"/>
  <c r="F30" i="1"/>
  <c r="A30" i="1"/>
  <c r="S29" i="1"/>
  <c r="S39" i="1" s="1"/>
  <c r="R29" i="1"/>
  <c r="R39" i="1" s="1"/>
  <c r="R41" i="1" s="1"/>
  <c r="Q29" i="1"/>
  <c r="P29" i="1"/>
  <c r="P39" i="1" s="1"/>
  <c r="P41" i="1" s="1"/>
  <c r="O29" i="1"/>
  <c r="J29" i="1"/>
  <c r="I29" i="1"/>
  <c r="N29" i="1" s="1"/>
  <c r="H29" i="1"/>
  <c r="H39" i="1" s="1"/>
  <c r="G29" i="1"/>
  <c r="F29" i="1"/>
  <c r="A29" i="1"/>
  <c r="G22" i="1"/>
  <c r="I15" i="1"/>
  <c r="G15" i="1"/>
  <c r="E15" i="1"/>
  <c r="N11" i="1"/>
  <c r="L11" i="1"/>
  <c r="J11" i="1"/>
  <c r="N46" i="1" l="1"/>
  <c r="W29" i="1"/>
  <c r="T30" i="1"/>
  <c r="N32" i="1"/>
  <c r="G39" i="1"/>
  <c r="G41" i="1" s="1"/>
  <c r="O39" i="1"/>
  <c r="O41" i="1" s="1"/>
  <c r="Q39" i="1"/>
  <c r="Q41" i="1" s="1"/>
  <c r="W30" i="1"/>
  <c r="T31" i="1"/>
  <c r="T34" i="1"/>
  <c r="N36" i="1"/>
  <c r="T37" i="1"/>
  <c r="W31" i="1"/>
  <c r="T32" i="1"/>
  <c r="N34" i="1"/>
  <c r="T29" i="1"/>
  <c r="I39" i="1"/>
  <c r="N44" i="1"/>
  <c r="N45" i="1" s="1"/>
  <c r="L29" i="1"/>
  <c r="V29" i="1"/>
  <c r="L30" i="1"/>
  <c r="V30" i="1"/>
  <c r="L31" i="1"/>
  <c r="V31" i="1"/>
  <c r="L32" i="1"/>
  <c r="V32" i="1"/>
  <c r="L33" i="1"/>
  <c r="V33" i="1"/>
  <c r="L34" i="1"/>
  <c r="V34" i="1"/>
  <c r="L35" i="1"/>
  <c r="V35" i="1"/>
  <c r="L37" i="1"/>
  <c r="F39" i="1"/>
  <c r="F41" i="1" s="1"/>
  <c r="J39" i="1"/>
  <c r="T39" i="1"/>
  <c r="D41" i="1"/>
  <c r="H41" i="1"/>
  <c r="V39" i="1"/>
  <c r="I41" i="1" l="1"/>
  <c r="L39" i="1"/>
  <c r="L41" i="1" s="1"/>
  <c r="N47" i="1"/>
  <c r="N39" i="1"/>
  <c r="N48" i="1"/>
  <c r="J41" i="1"/>
  <c r="W39" i="1"/>
  <c r="N43" i="1"/>
  <c r="N41" i="1" l="1"/>
</calcChain>
</file>

<file path=xl/sharedStrings.xml><?xml version="1.0" encoding="utf-8"?>
<sst xmlns="http://schemas.openxmlformats.org/spreadsheetml/2006/main" count="593" uniqueCount="212">
  <si>
    <t>{CostProject.ContractType}</t>
  </si>
  <si>
    <t>(Last, First, Middle Initial)</t>
  </si>
  <si>
    <t>{CostProject.Ub}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</si>
  <si>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</si>
  <si>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</si>
  <si>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</si>
  <si>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</si>
  <si>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</si>
  <si>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</si>
  <si>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</si>
  <si>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 xml:space="preserve">Filter: </t>
  </si>
  <si>
    <t>1.01A</t>
  </si>
  <si>
    <t>{=Cell[R-2,C]}</t>
  </si>
  <si>
    <t>{CostProject.Mr}</t>
  </si>
  <si>
    <t>OMB No. 0704-0188</t>
  </si>
  <si>
    <t>EAC</t>
  </si>
  <si>
    <t>3.  PROGRAM</t>
  </si>
  <si>
    <t>{=Cell[R-3,C]+Cell[R-1,C]}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</si>
  <si>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</si>
  <si>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</si>
  <si>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</si>
  <si>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</si>
  <si>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</si>
  <si>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1.04A</t>
  </si>
  <si>
    <t>(13)</t>
  </si>
  <si>
    <t>f. Contingency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</si>
  <si>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</si>
  <si>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</si>
  <si>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</si>
  <si>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</si>
  <si>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</si>
  <si>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</si>
  <si>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1.07A</t>
  </si>
  <si>
    <t>O'Brien, Edward</t>
  </si>
  <si>
    <t>(16)</t>
  </si>
  <si>
    <r>
      <t xml:space="preserve"> b.  TO  </t>
    </r>
    <r>
      <rPr>
        <i/>
        <sz val="10"/>
        <rFont val="Calibri"/>
        <family val="2"/>
      </rPr>
      <t>(YYYYMMDD)</t>
    </r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</si>
  <si>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</si>
  <si>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</si>
  <si>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</si>
  <si>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</si>
  <si>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</si>
  <si>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</si>
  <si>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</si>
  <si>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</si>
  <si>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</si>
  <si>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</si>
  <si>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</si>
  <si>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</si>
  <si>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</si>
  <si>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</si>
  <si>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</si>
  <si>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</si>
  <si>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</si>
  <si>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</si>
  <si>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</si>
  <si>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{=CostProject.Fee+CostProject.Ctc}</t>
  </si>
  <si>
    <t>c.  ESTIMATED COST OF</t>
  </si>
  <si>
    <t>b.  TITLE</t>
  </si>
  <si>
    <t>{=CostProject.Lre+(CostProject.Cbb*(CostProject.FeePct/100))}</t>
  </si>
  <si>
    <t>BUDGET</t>
  </si>
  <si>
    <t xml:space="preserve">      </t>
  </si>
  <si>
    <t>CLASSIFICATION (When Filled In)</t>
  </si>
  <si>
    <t>CUMULATIVE TO DATE</t>
  </si>
  <si>
    <t>1.  CONTRACTOR</t>
  </si>
  <si>
    <t>{=Cell[R,C-2]-Cell[R,C-4]}</t>
  </si>
  <si>
    <t>{CostProject.Quantity}</t>
  </si>
  <si>
    <t>c. GENERAL AND ADMINISTRATIVE</t>
  </si>
  <si>
    <t>b.  NUMBER</t>
  </si>
  <si>
    <t>Project Director</t>
  </si>
  <si>
    <t>{ReportSetting.ScaleCaption}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</si>
  <si>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</si>
  <si>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</si>
  <si>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</si>
  <si>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</si>
  <si>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</si>
  <si>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</si>
  <si>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</si>
  <si>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</si>
  <si>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Cost Sets: Scheduled, Performed, Actuals, Estimate at complete,  ,  , Over target baseline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</si>
  <si>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</si>
  <si>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</si>
  <si>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</si>
  <si>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</si>
  <si>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</si>
  <si>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</si>
  <si>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% Spent</t>
  </si>
  <si>
    <t>1.02A</t>
  </si>
  <si>
    <t>(11)</t>
  </si>
  <si>
    <t>{CostProject.Auw}</t>
  </si>
  <si>
    <t>{=(CostSet1.Period1.Value+CostSet1.Period2.Value)}</t>
  </si>
  <si>
    <t>a.  NAME</t>
  </si>
  <si>
    <t>CPI</t>
  </si>
  <si>
    <t>ACTUAL</t>
  </si>
  <si>
    <t>{CriteriaN.Title}{Down}{Replace}</t>
  </si>
  <si>
    <t>{CostProject.ContractPhase}</t>
  </si>
  <si>
    <t>{CostProject.Lre}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</si>
  <si>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</si>
  <si>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</si>
  <si>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</si>
  <si>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</si>
  <si>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</si>
  <si>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</si>
  <si>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1.05A</t>
  </si>
  <si>
    <t>c.  MOST LIKELY</t>
  </si>
  <si>
    <t>CA (3)</t>
  </si>
  <si>
    <t>Percent</t>
  </si>
  <si>
    <t>Dollar</t>
  </si>
  <si>
    <t>Both</t>
  </si>
  <si>
    <t>% Contingency on Remaining Work</t>
  </si>
  <si>
    <t>Criteria: CA (3)</t>
  </si>
  <si>
    <t>g.  CONTRACT CEILING</t>
  </si>
  <si>
    <t>(2)</t>
  </si>
  <si>
    <t>&lt;Footer&gt;{Report}{SortCodeC}</t>
  </si>
  <si>
    <t>MANAGEMENT ESTIMATE</t>
  </si>
  <si>
    <t>CURRENT PERIOD</t>
  </si>
  <si>
    <t>SPI</t>
  </si>
  <si>
    <t>2.  CONTRACT</t>
  </si>
  <si>
    <t>(12b)</t>
  </si>
  <si>
    <t>% Planned</t>
  </si>
  <si>
    <t>Brookhaven National Laboratory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</si>
  <si>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</si>
  <si>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</si>
  <si>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</si>
  <si>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</si>
  <si>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</si>
  <si>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</si>
  <si>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</si>
  <si>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</si>
  <si>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</si>
  <si>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</si>
  <si>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</si>
  <si>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</si>
  <si>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</si>
  <si>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Calendar: 18 Previous, Todate, At Completion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</si>
  <si>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</si>
  <si>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</si>
  <si>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</si>
  <si>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</si>
  <si>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</si>
  <si>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</si>
  <si>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sPHENIX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</si>
  <si>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</si>
  <si>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</si>
  <si>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</si>
  <si>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</si>
  <si>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</si>
  <si>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</si>
  <si>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</si>
  <si>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</si>
  <si>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</si>
  <si>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</si>
  <si>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</si>
  <si>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</si>
  <si>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</si>
  <si>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</si>
  <si>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</si>
  <si>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</si>
  <si>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</si>
  <si>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{CostSet3.Period2.Value}</t>
  </si>
  <si>
    <t>% Complete</t>
  </si>
  <si>
    <t>{=(CostSet2.Period1.Value+CostSet2.Period2.Value)}</t>
  </si>
  <si>
    <t>Progress</t>
  </si>
  <si>
    <t>{=if(CostProject.EvmsAcceptance.Id=0,"X"," ")}</t>
  </si>
  <si>
    <t>PERFORMED</t>
  </si>
  <si>
    <t>Budget</t>
  </si>
  <si>
    <t>ETC</t>
  </si>
  <si>
    <t>ITEM</t>
  </si>
  <si>
    <t>BCWR</t>
  </si>
  <si>
    <t>{=Cell[R-2,C]}{HIGHLIGHT(Cell[R,C-3],C,P,S48)}</t>
  </si>
  <si>
    <t>SCHEDULED</t>
  </si>
  <si>
    <t>1.03A</t>
  </si>
  <si>
    <t>sPH MIE Current as of data date</t>
  </si>
  <si>
    <t>{=(CostSet6.Period1.Value+CostSet6.Period2.Value+CostSet6.Period3.Value)}</t>
  </si>
  <si>
    <t>BUDGETED</t>
  </si>
  <si>
    <t xml:space="preserve">NO </t>
  </si>
  <si>
    <t>&lt;Header&gt;{CriteriaN}</t>
  </si>
  <si>
    <t>{CostProject.ContractNumber}</t>
  </si>
  <si>
    <t>{=Cell[R-2,C+4]}</t>
  </si>
  <si>
    <t>18 Label</t>
  </si>
  <si>
    <t>1.06A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</si>
  <si>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</si>
  <si>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</si>
  <si>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</si>
  <si>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</si>
  <si>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</si>
  <si>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</si>
  <si>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</si>
  <si>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</si>
  <si>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</si>
  <si>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</si>
  <si>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</si>
  <si>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</si>
  <si>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</si>
  <si>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</si>
  <si>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</si>
  <si>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</si>
  <si>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</si>
  <si>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</si>
  <si>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</si>
  <si>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</si>
  <si>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</si>
  <si>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</si>
  <si>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</si>
  <si>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</si>
  <si>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</si>
  <si>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</si>
  <si>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</si>
  <si>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</si>
  <si>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</si>
  <si>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d.  SHARE RATIO</t>
  </si>
  <si>
    <t>b. TOTAL CONTRACT VARIANCE</t>
  </si>
  <si>
    <t>Brookhaven Science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</si>
</sst>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&quot;$&quot;#,##0"/>
    <numFmt numFmtId="166" formatCode="yyyy\ /\ mm\ /\ dd"/>
    <numFmt numFmtId="167" formatCode="&quot;$&quot;#,##0.00;\-&quot;$&quot;#,##0.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60"/>
      <name val="Calibri"/>
      <family val="2"/>
    </font>
    <font>
      <i/>
      <sz val="8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mediumGray">
        <fgColor indexed="9"/>
        <bgColor indexed="29"/>
      </patternFill>
    </fill>
    <fill>
      <patternFill patternType="lightDown">
        <fgColor indexed="9"/>
        <bgColor indexed="43"/>
      </patternFill>
    </fill>
    <fill>
      <patternFill patternType="lightDown">
        <fgColor indexed="52"/>
        <bgColor indexed="47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1" fillId="0" borderId="1" xfId="0" applyFont="1" applyFill="1" applyBorder="1"/>
    <xf numFmtId="0" fontId="4" fillId="0" borderId="4" xfId="0" applyFont="1" applyBorder="1"/>
    <xf numFmtId="0" fontId="1" fillId="0" borderId="5" xfId="0" applyNumberFormat="1" applyFont="1" applyBorder="1"/>
    <xf numFmtId="3" fontId="1" fillId="0" borderId="6" xfId="1" applyNumberFormat="1" applyFont="1" applyBorder="1"/>
    <xf numFmtId="0" fontId="6" fillId="0" borderId="3" xfId="0" applyFont="1" applyBorder="1" applyAlignment="1"/>
    <xf numFmtId="0" fontId="8" fillId="0" borderId="0" xfId="0" applyFont="1" applyBorder="1"/>
    <xf numFmtId="0" fontId="4" fillId="0" borderId="10" xfId="0" applyFont="1" applyBorder="1"/>
    <xf numFmtId="3" fontId="5" fillId="0" borderId="11" xfId="0" applyNumberFormat="1" applyFont="1" applyFill="1" applyBorder="1" applyAlignment="1" applyProtection="1">
      <alignment horizontal="centerContinuous"/>
    </xf>
    <xf numFmtId="3" fontId="1" fillId="0" borderId="12" xfId="0" applyNumberFormat="1" applyFont="1" applyBorder="1"/>
    <xf numFmtId="3" fontId="1" fillId="0" borderId="13" xfId="1" applyNumberFormat="1" applyFont="1" applyBorder="1"/>
    <xf numFmtId="166" fontId="5" fillId="0" borderId="14" xfId="0" applyNumberFormat="1" applyFont="1" applyFill="1" applyBorder="1" applyAlignment="1" applyProtection="1">
      <alignment horizontal="centerContinuous"/>
    </xf>
    <xf numFmtId="3" fontId="4" fillId="2" borderId="6" xfId="1" applyNumberFormat="1" applyFont="1" applyFill="1" applyBorder="1"/>
    <xf numFmtId="3" fontId="1" fillId="0" borderId="15" xfId="0" applyNumberFormat="1" applyFont="1" applyBorder="1"/>
    <xf numFmtId="3" fontId="1" fillId="0" borderId="16" xfId="1" applyNumberFormat="1" applyFont="1" applyBorder="1"/>
    <xf numFmtId="3" fontId="7" fillId="2" borderId="6" xfId="1" applyNumberFormat="1" applyFont="1" applyFill="1" applyBorder="1"/>
    <xf numFmtId="0" fontId="3" fillId="0" borderId="17" xfId="0" applyFont="1" applyBorder="1"/>
    <xf numFmtId="0" fontId="4" fillId="0" borderId="11" xfId="0" applyFont="1" applyBorder="1"/>
    <xf numFmtId="0" fontId="5" fillId="0" borderId="18" xfId="0" applyFont="1" applyBorder="1"/>
    <xf numFmtId="0" fontId="7" fillId="2" borderId="1" xfId="0" applyFont="1" applyFill="1" applyBorder="1"/>
    <xf numFmtId="0" fontId="5" fillId="0" borderId="3" xfId="0" applyFont="1" applyBorder="1"/>
    <xf numFmtId="0" fontId="4" fillId="2" borderId="4" xfId="0" applyFont="1" applyFill="1" applyBorder="1"/>
    <xf numFmtId="0" fontId="10" fillId="3" borderId="19" xfId="0" applyFont="1" applyFill="1" applyBorder="1" applyAlignment="1"/>
    <xf numFmtId="0" fontId="4" fillId="0" borderId="0" xfId="0" applyFont="1" applyBorder="1"/>
    <xf numFmtId="0" fontId="3" fillId="0" borderId="20" xfId="0" applyFont="1" applyBorder="1" applyAlignment="1">
      <alignment horizontal="center"/>
    </xf>
    <xf numFmtId="3" fontId="7" fillId="2" borderId="16" xfId="1" applyNumberFormat="1" applyFont="1" applyFill="1" applyBorder="1"/>
    <xf numFmtId="3" fontId="1" fillId="0" borderId="21" xfId="1" applyNumberFormat="1" applyFont="1" applyBorder="1"/>
    <xf numFmtId="0" fontId="5" fillId="0" borderId="22" xfId="0" applyFont="1" applyBorder="1" applyAlignment="1">
      <alignment horizontal="centerContinuous"/>
    </xf>
    <xf numFmtId="3" fontId="1" fillId="0" borderId="23" xfId="1" applyNumberFormat="1" applyFont="1" applyBorder="1"/>
    <xf numFmtId="0" fontId="0" fillId="0" borderId="0" xfId="0" applyNumberFormat="1"/>
    <xf numFmtId="0" fontId="4" fillId="0" borderId="14" xfId="0" applyFont="1" applyBorder="1"/>
    <xf numFmtId="0" fontId="2" fillId="0" borderId="25" xfId="0" applyFont="1" applyFill="1" applyBorder="1"/>
    <xf numFmtId="0" fontId="3" fillId="0" borderId="18" xfId="0" applyFont="1" applyBorder="1" applyAlignment="1">
      <alignment horizontal="center"/>
    </xf>
    <xf numFmtId="0" fontId="1" fillId="0" borderId="26" xfId="0" applyFont="1" applyBorder="1"/>
    <xf numFmtId="10" fontId="3" fillId="0" borderId="0" xfId="0" applyNumberFormat="1" applyFont="1" applyBorder="1" applyAlignment="1">
      <alignment horizontal="center"/>
    </xf>
    <xf numFmtId="0" fontId="11" fillId="0" borderId="24" xfId="0" applyFont="1" applyFill="1" applyBorder="1"/>
    <xf numFmtId="0" fontId="3" fillId="0" borderId="19" xfId="0" applyFont="1" applyFill="1" applyBorder="1" applyAlignment="1">
      <alignment horizontal="center"/>
    </xf>
    <xf numFmtId="0" fontId="1" fillId="0" borderId="0" xfId="0" applyFont="1" applyBorder="1"/>
    <xf numFmtId="0" fontId="5" fillId="0" borderId="22" xfId="0" applyFont="1" applyBorder="1" applyAlignment="1">
      <alignment horizontal="left"/>
    </xf>
    <xf numFmtId="164" fontId="12" fillId="0" borderId="1" xfId="0" applyNumberFormat="1" applyFont="1" applyFill="1" applyBorder="1" applyAlignment="1" applyProtection="1"/>
    <xf numFmtId="0" fontId="3" fillId="0" borderId="4" xfId="0" applyFont="1" applyBorder="1"/>
    <xf numFmtId="3" fontId="7" fillId="2" borderId="25" xfId="1" applyNumberFormat="1" applyFont="1" applyFill="1" applyBorder="1" applyAlignment="1">
      <alignment horizontal="right"/>
    </xf>
    <xf numFmtId="3" fontId="1" fillId="0" borderId="25" xfId="0" applyNumberFormat="1" applyFont="1" applyFill="1" applyBorder="1"/>
    <xf numFmtId="0" fontId="1" fillId="0" borderId="0" xfId="0" applyFont="1"/>
    <xf numFmtId="0" fontId="3" fillId="0" borderId="7" xfId="0" applyFont="1" applyBorder="1" applyAlignment="1">
      <alignment horizontal="centerContinuous"/>
    </xf>
    <xf numFmtId="0" fontId="2" fillId="0" borderId="25" xfId="0" applyFont="1" applyBorder="1"/>
    <xf numFmtId="3" fontId="1" fillId="0" borderId="6" xfId="0" applyNumberFormat="1" applyFont="1" applyBorder="1"/>
    <xf numFmtId="3" fontId="1" fillId="0" borderId="28" xfId="1" applyNumberFormat="1" applyFont="1" applyBorder="1"/>
    <xf numFmtId="0" fontId="13" fillId="0" borderId="22" xfId="0" applyFont="1" applyBorder="1"/>
    <xf numFmtId="0" fontId="4" fillId="2" borderId="0" xfId="0" applyFont="1" applyFill="1" applyBorder="1"/>
    <xf numFmtId="0" fontId="3" fillId="0" borderId="10" xfId="0" applyFont="1" applyBorder="1"/>
    <xf numFmtId="1" fontId="11" fillId="0" borderId="16" xfId="0" applyNumberFormat="1" applyFont="1" applyBorder="1"/>
    <xf numFmtId="3" fontId="1" fillId="0" borderId="30" xfId="0" applyNumberFormat="1" applyFont="1" applyBorder="1"/>
    <xf numFmtId="3" fontId="14" fillId="0" borderId="6" xfId="0" applyNumberFormat="1" applyFont="1" applyBorder="1" applyAlignment="1"/>
    <xf numFmtId="0" fontId="7" fillId="2" borderId="6" xfId="0" applyFont="1" applyFill="1" applyBorder="1"/>
    <xf numFmtId="0" fontId="6" fillId="0" borderId="7" xfId="0" applyFont="1" applyBorder="1" applyAlignment="1"/>
    <xf numFmtId="3" fontId="13" fillId="0" borderId="11" xfId="0" applyNumberFormat="1" applyFont="1" applyFill="1" applyBorder="1" applyAlignment="1" applyProtection="1">
      <alignment horizontal="centerContinuous"/>
    </xf>
    <xf numFmtId="0" fontId="15" fillId="4" borderId="19" xfId="0" applyFont="1" applyFill="1" applyBorder="1" applyAlignment="1"/>
    <xf numFmtId="0" fontId="16" fillId="5" borderId="19" xfId="0" applyFont="1" applyFill="1" applyBorder="1" applyAlignment="1"/>
    <xf numFmtId="0" fontId="4" fillId="0" borderId="9" xfId="0" applyNumberFormat="1" applyFont="1" applyFill="1" applyBorder="1" applyAlignment="1" applyProtection="1"/>
    <xf numFmtId="0" fontId="3" fillId="0" borderId="9" xfId="0" applyFont="1" applyBorder="1" applyAlignment="1">
      <alignment horizontal="center"/>
    </xf>
    <xf numFmtId="0" fontId="9" fillId="0" borderId="0" xfId="0" applyFont="1"/>
    <xf numFmtId="3" fontId="14" fillId="0" borderId="16" xfId="0" applyNumberFormat="1" applyFont="1" applyBorder="1" applyAlignment="1"/>
    <xf numFmtId="0" fontId="7" fillId="2" borderId="5" xfId="0" applyFont="1" applyFill="1" applyBorder="1"/>
    <xf numFmtId="3" fontId="1" fillId="0" borderId="31" xfId="0" applyNumberFormat="1" applyFont="1" applyBorder="1"/>
    <xf numFmtId="3" fontId="14" fillId="0" borderId="5" xfId="0" applyNumberFormat="1" applyFont="1" applyBorder="1" applyAlignment="1"/>
    <xf numFmtId="0" fontId="7" fillId="2" borderId="16" xfId="0" applyFont="1" applyFill="1" applyBorder="1"/>
    <xf numFmtId="0" fontId="4" fillId="2" borderId="32" xfId="0" applyFont="1" applyFill="1" applyBorder="1"/>
    <xf numFmtId="3" fontId="5" fillId="0" borderId="14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/>
    <xf numFmtId="0" fontId="4" fillId="0" borderId="2" xfId="0" applyFont="1" applyBorder="1"/>
    <xf numFmtId="0" fontId="3" fillId="0" borderId="18" xfId="0" applyFont="1" applyBorder="1" applyAlignment="1">
      <alignment horizontal="right"/>
    </xf>
    <xf numFmtId="0" fontId="7" fillId="0" borderId="2" xfId="0" applyFont="1" applyBorder="1"/>
    <xf numFmtId="0" fontId="13" fillId="0" borderId="22" xfId="0" applyFont="1" applyBorder="1" applyAlignment="1">
      <alignment horizontal="centerContinuous"/>
    </xf>
    <xf numFmtId="0" fontId="3" fillId="0" borderId="34" xfId="0" applyFont="1" applyBorder="1"/>
    <xf numFmtId="0" fontId="7" fillId="2" borderId="25" xfId="0" applyFont="1" applyFill="1" applyBorder="1" applyAlignment="1">
      <alignment horizontal="right"/>
    </xf>
    <xf numFmtId="0" fontId="5" fillId="0" borderId="9" xfId="0" applyFont="1" applyBorder="1" applyAlignment="1">
      <alignment horizontal="centerContinuous"/>
    </xf>
    <xf numFmtId="3" fontId="5" fillId="0" borderId="8" xfId="0" applyNumberFormat="1" applyFont="1" applyFill="1" applyBorder="1" applyAlignment="1" applyProtection="1">
      <alignment horizontal="centerContinuous"/>
    </xf>
    <xf numFmtId="0" fontId="3" fillId="0" borderId="32" xfId="0" applyFont="1" applyBorder="1"/>
    <xf numFmtId="0" fontId="11" fillId="0" borderId="35" xfId="0" applyFont="1" applyFill="1" applyBorder="1"/>
    <xf numFmtId="0" fontId="3" fillId="0" borderId="36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Continuous"/>
    </xf>
    <xf numFmtId="0" fontId="7" fillId="0" borderId="8" xfId="0" applyFont="1" applyBorder="1"/>
    <xf numFmtId="3" fontId="5" fillId="0" borderId="22" xfId="0" applyNumberFormat="1" applyFont="1" applyFill="1" applyBorder="1" applyAlignment="1" applyProtection="1">
      <alignment horizontal="centerContinuous"/>
    </xf>
    <xf numFmtId="166" fontId="3" fillId="0" borderId="7" xfId="0" applyNumberFormat="1" applyFont="1" applyFill="1" applyBorder="1" applyAlignment="1" applyProtection="1">
      <alignment horizontal="centerContinuous"/>
    </xf>
    <xf numFmtId="0" fontId="3" fillId="0" borderId="14" xfId="0" applyFont="1" applyBorder="1" applyAlignment="1">
      <alignment horizontal="centerContinuous"/>
    </xf>
    <xf numFmtId="0" fontId="13" fillId="0" borderId="18" xfId="0" applyFont="1" applyBorder="1" applyAlignment="1">
      <alignment horizontal="left"/>
    </xf>
    <xf numFmtId="0" fontId="4" fillId="0" borderId="22" xfId="0" applyFont="1" applyBorder="1"/>
    <xf numFmtId="0" fontId="3" fillId="0" borderId="0" xfId="0" applyFont="1" applyBorder="1" applyAlignment="1">
      <alignment horizontal="left"/>
    </xf>
    <xf numFmtId="0" fontId="4" fillId="0" borderId="38" xfId="0" applyFont="1" applyBorder="1"/>
    <xf numFmtId="3" fontId="1" fillId="0" borderId="38" xfId="0" applyNumberFormat="1" applyFont="1" applyFill="1" applyBorder="1"/>
    <xf numFmtId="0" fontId="3" fillId="0" borderId="14" xfId="0" applyFont="1" applyBorder="1" applyAlignment="1">
      <alignment horizontal="left"/>
    </xf>
    <xf numFmtId="0" fontId="6" fillId="0" borderId="14" xfId="0" applyFont="1" applyBorder="1" applyAlignment="1"/>
    <xf numFmtId="0" fontId="5" fillId="0" borderId="39" xfId="0" applyNumberFormat="1" applyFont="1" applyBorder="1" applyAlignment="1">
      <alignment horizontal="left"/>
    </xf>
    <xf numFmtId="0" fontId="1" fillId="0" borderId="20" xfId="0" applyFont="1" applyFill="1" applyBorder="1"/>
    <xf numFmtId="3" fontId="1" fillId="0" borderId="30" xfId="1" applyNumberFormat="1" applyFont="1" applyBorder="1"/>
    <xf numFmtId="3" fontId="1" fillId="0" borderId="41" xfId="1" applyNumberFormat="1" applyFont="1" applyBorder="1"/>
    <xf numFmtId="0" fontId="4" fillId="0" borderId="4" xfId="0" applyNumberFormat="1" applyFont="1" applyFill="1" applyBorder="1" applyAlignment="1" applyProtection="1"/>
    <xf numFmtId="0" fontId="5" fillId="0" borderId="14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0" fillId="0" borderId="0" xfId="0" applyNumberFormat="1"/>
    <xf numFmtId="3" fontId="1" fillId="0" borderId="25" xfId="1" applyNumberFormat="1" applyFont="1" applyBorder="1"/>
    <xf numFmtId="0" fontId="3" fillId="0" borderId="32" xfId="0" applyFont="1" applyBorder="1" applyAlignment="1">
      <alignment horizontal="centerContinuous"/>
    </xf>
    <xf numFmtId="3" fontId="1" fillId="0" borderId="31" xfId="1" applyNumberFormat="1" applyFont="1" applyFill="1" applyBorder="1"/>
    <xf numFmtId="0" fontId="5" fillId="0" borderId="0" xfId="0" applyFont="1" applyFill="1" applyBorder="1" applyAlignment="1" applyProtection="1">
      <alignment horizontal="centerContinuous"/>
    </xf>
    <xf numFmtId="0" fontId="13" fillId="0" borderId="7" xfId="0" applyFont="1" applyBorder="1"/>
    <xf numFmtId="0" fontId="3" fillId="0" borderId="32" xfId="0" applyFont="1" applyBorder="1" applyAlignment="1">
      <alignment horizontal="left"/>
    </xf>
    <xf numFmtId="0" fontId="4" fillId="0" borderId="18" xfId="0" applyFont="1" applyBorder="1"/>
    <xf numFmtId="0" fontId="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Continuous"/>
    </xf>
    <xf numFmtId="3" fontId="7" fillId="2" borderId="25" xfId="1" applyNumberFormat="1" applyFont="1" applyFill="1" applyBorder="1"/>
    <xf numFmtId="0" fontId="4" fillId="0" borderId="3" xfId="0" applyFont="1" applyBorder="1"/>
    <xf numFmtId="3" fontId="1" fillId="0" borderId="20" xfId="0" applyNumberFormat="1" applyFont="1" applyBorder="1"/>
    <xf numFmtId="0" fontId="6" fillId="0" borderId="32" xfId="0" applyFont="1" applyBorder="1" applyAlignment="1"/>
    <xf numFmtId="3" fontId="1" fillId="0" borderId="31" xfId="1" applyNumberFormat="1" applyFont="1" applyBorder="1"/>
    <xf numFmtId="0" fontId="5" fillId="0" borderId="4" xfId="0" applyFont="1" applyBorder="1" applyAlignment="1">
      <alignment horizontal="centerContinuous"/>
    </xf>
    <xf numFmtId="0" fontId="11" fillId="0" borderId="16" xfId="0" applyFont="1" applyFill="1" applyBorder="1"/>
    <xf numFmtId="0" fontId="1" fillId="0" borderId="37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7" fillId="2" borderId="20" xfId="0" applyFont="1" applyFill="1" applyBorder="1"/>
    <xf numFmtId="3" fontId="1" fillId="0" borderId="0" xfId="0" applyNumberFormat="1" applyFont="1" applyBorder="1"/>
    <xf numFmtId="0" fontId="1" fillId="0" borderId="3" xfId="0" applyFont="1" applyBorder="1"/>
    <xf numFmtId="3" fontId="1" fillId="0" borderId="42" xfId="1" applyNumberFormat="1" applyFont="1" applyBorder="1"/>
    <xf numFmtId="3" fontId="1" fillId="0" borderId="13" xfId="0" applyNumberFormat="1" applyFont="1" applyFill="1" applyBorder="1"/>
    <xf numFmtId="0" fontId="3" fillId="0" borderId="0" xfId="0" applyFont="1" applyBorder="1" applyAlignment="1">
      <alignment horizontal="center"/>
    </xf>
    <xf numFmtId="3" fontId="13" fillId="0" borderId="22" xfId="0" applyNumberFormat="1" applyFont="1" applyFill="1" applyBorder="1" applyAlignment="1" applyProtection="1">
      <alignment horizontal="centerContinuous"/>
    </xf>
    <xf numFmtId="1" fontId="1" fillId="0" borderId="0" xfId="0" applyNumberFormat="1" applyFont="1" applyBorder="1"/>
    <xf numFmtId="0" fontId="4" fillId="2" borderId="18" xfId="0" applyFont="1" applyFill="1" applyBorder="1"/>
    <xf numFmtId="3" fontId="1" fillId="0" borderId="16" xfId="0" applyNumberFormat="1" applyFont="1" applyFill="1" applyBorder="1"/>
    <xf numFmtId="0" fontId="11" fillId="0" borderId="16" xfId="0" applyFont="1" applyBorder="1"/>
    <xf numFmtId="0" fontId="1" fillId="0" borderId="0" xfId="0" applyFont="1"/>
    <xf numFmtId="0" fontId="13" fillId="0" borderId="3" xfId="0" applyFont="1" applyBorder="1" applyAlignment="1">
      <alignment horizontal="center"/>
    </xf>
    <xf numFmtId="3" fontId="1" fillId="0" borderId="44" xfId="1" applyNumberFormat="1" applyFont="1" applyBorder="1"/>
    <xf numFmtId="0" fontId="2" fillId="0" borderId="23" xfId="0" applyFont="1" applyFill="1" applyBorder="1"/>
    <xf numFmtId="1" fontId="1" fillId="0" borderId="0" xfId="0" applyNumberFormat="1" applyFont="1"/>
    <xf numFmtId="0" fontId="3" fillId="0" borderId="1" xfId="0" applyNumberFormat="1" applyFont="1" applyFill="1" applyBorder="1" applyAlignment="1" applyProtection="1"/>
    <xf numFmtId="3" fontId="7" fillId="2" borderId="42" xfId="1" applyNumberFormat="1" applyFont="1" applyFill="1" applyBorder="1"/>
    <xf numFmtId="1" fontId="2" fillId="0" borderId="25" xfId="0" applyNumberFormat="1" applyFont="1" applyBorder="1"/>
    <xf numFmtId="3" fontId="1" fillId="0" borderId="45" xfId="0" applyNumberFormat="1" applyFont="1" applyBorder="1"/>
    <xf numFmtId="0" fontId="3" fillId="0" borderId="34" xfId="0" applyFont="1" applyBorder="1" applyAlignment="1">
      <alignment horizontal="center"/>
    </xf>
    <xf numFmtId="0" fontId="4" fillId="0" borderId="9" xfId="0" applyFont="1" applyBorder="1"/>
    <xf numFmtId="0" fontId="3" fillId="0" borderId="18" xfId="0" applyFont="1" applyFill="1" applyBorder="1" applyAlignment="1" applyProtection="1">
      <alignment horizontal="centerContinuous"/>
    </xf>
    <xf numFmtId="3" fontId="1" fillId="0" borderId="16" xfId="0" applyNumberFormat="1" applyFont="1" applyBorder="1"/>
    <xf numFmtId="0" fontId="13" fillId="0" borderId="7" xfId="0" applyFont="1" applyBorder="1" applyAlignment="1">
      <alignment horizontal="left"/>
    </xf>
    <xf numFmtId="3" fontId="1" fillId="0" borderId="25" xfId="0" applyNumberFormat="1" applyFont="1" applyBorder="1"/>
    <xf numFmtId="0" fontId="3" fillId="0" borderId="18" xfId="0" applyFont="1" applyBorder="1"/>
    <xf numFmtId="0" fontId="3" fillId="0" borderId="32" xfId="0" applyFont="1" applyBorder="1" applyAlignment="1">
      <alignment horizontal="center"/>
    </xf>
    <xf numFmtId="0" fontId="11" fillId="0" borderId="37" xfId="0" applyFont="1" applyFill="1" applyBorder="1"/>
    <xf numFmtId="0" fontId="5" fillId="0" borderId="39" xfId="0" applyFont="1" applyBorder="1" applyAlignment="1">
      <alignment horizontal="left"/>
    </xf>
    <xf numFmtId="0" fontId="1" fillId="0" borderId="9" xfId="0" applyFont="1" applyBorder="1"/>
    <xf numFmtId="0" fontId="17" fillId="0" borderId="3" xfId="0" applyFont="1" applyBorder="1"/>
    <xf numFmtId="0" fontId="5" fillId="0" borderId="14" xfId="0" applyFont="1" applyBorder="1" applyAlignment="1">
      <alignment horizontal="left"/>
    </xf>
    <xf numFmtId="3" fontId="14" fillId="0" borderId="25" xfId="0" applyNumberFormat="1" applyFont="1" applyBorder="1" applyAlignment="1"/>
    <xf numFmtId="2" fontId="1" fillId="0" borderId="19" xfId="0" applyNumberFormat="1" applyFont="1" applyBorder="1" applyAlignment="1">
      <alignment horizontal="center"/>
    </xf>
    <xf numFmtId="0" fontId="7" fillId="2" borderId="25" xfId="0" applyFont="1" applyFill="1" applyBorder="1"/>
    <xf numFmtId="0" fontId="3" fillId="0" borderId="3" xfId="0" applyFont="1" applyBorder="1"/>
    <xf numFmtId="0" fontId="7" fillId="2" borderId="24" xfId="0" applyFont="1" applyFill="1" applyBorder="1"/>
    <xf numFmtId="3" fontId="1" fillId="0" borderId="21" xfId="0" applyNumberFormat="1" applyFont="1" applyBorder="1"/>
    <xf numFmtId="0" fontId="5" fillId="0" borderId="18" xfId="0" applyNumberFormat="1" applyFont="1" applyBorder="1"/>
    <xf numFmtId="0" fontId="13" fillId="0" borderId="0" xfId="0" applyFont="1" applyBorder="1"/>
    <xf numFmtId="3" fontId="1" fillId="0" borderId="1" xfId="1" applyNumberFormat="1" applyFont="1" applyBorder="1"/>
    <xf numFmtId="0" fontId="4" fillId="2" borderId="9" xfId="0" applyFont="1" applyFill="1" applyBorder="1"/>
    <xf numFmtId="0" fontId="4" fillId="0" borderId="7" xfId="0" applyFont="1" applyBorder="1" applyAlignment="1"/>
    <xf numFmtId="3" fontId="1" fillId="0" borderId="15" xfId="1" applyNumberFormat="1" applyFont="1" applyBorder="1"/>
    <xf numFmtId="3" fontId="1" fillId="0" borderId="28" xfId="0" applyNumberFormat="1" applyFont="1" applyFill="1" applyBorder="1"/>
    <xf numFmtId="3" fontId="1" fillId="0" borderId="35" xfId="1" applyNumberFormat="1" applyFont="1" applyBorder="1"/>
    <xf numFmtId="0" fontId="4" fillId="0" borderId="7" xfId="0" applyFont="1" applyBorder="1"/>
    <xf numFmtId="3" fontId="14" fillId="0" borderId="31" xfId="0" applyNumberFormat="1" applyFont="1" applyBorder="1" applyAlignment="1"/>
    <xf numFmtId="3" fontId="1" fillId="0" borderId="37" xfId="0" applyNumberFormat="1" applyFont="1" applyBorder="1"/>
    <xf numFmtId="0" fontId="13" fillId="0" borderId="4" xfId="0" applyFont="1" applyBorder="1" applyAlignment="1">
      <alignment horizontal="left"/>
    </xf>
    <xf numFmtId="3" fontId="13" fillId="0" borderId="7" xfId="0" applyNumberFormat="1" applyFont="1" applyFill="1" applyBorder="1" applyAlignment="1" applyProtection="1"/>
    <xf numFmtId="0" fontId="3" fillId="0" borderId="37" xfId="0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3" fillId="0" borderId="47" xfId="0" applyFont="1" applyBorder="1"/>
    <xf numFmtId="3" fontId="7" fillId="2" borderId="35" xfId="1" applyNumberFormat="1" applyFont="1" applyFill="1" applyBorder="1"/>
    <xf numFmtId="166" fontId="4" fillId="0" borderId="22" xfId="0" applyNumberFormat="1" applyFont="1" applyFill="1" applyBorder="1" applyAlignment="1" applyProtection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9" xfId="0" applyFont="1" applyBorder="1"/>
    <xf numFmtId="166" fontId="5" fillId="0" borderId="1" xfId="0" applyNumberFormat="1" applyFont="1" applyBorder="1"/>
    <xf numFmtId="167" fontId="0" fillId="0" borderId="0" xfId="0" applyNumberFormat="1"/>
    <xf numFmtId="166" fontId="13" fillId="0" borderId="1" xfId="0" applyNumberFormat="1" applyFont="1" applyFill="1" applyBorder="1" applyAlignment="1" applyProtection="1"/>
    <xf numFmtId="0" fontId="3" fillId="0" borderId="32" xfId="0" applyNumberFormat="1" applyFont="1" applyFill="1" applyBorder="1" applyAlignment="1" applyProtection="1"/>
    <xf numFmtId="0" fontId="2" fillId="0" borderId="1" xfId="0" applyFont="1" applyFill="1" applyBorder="1"/>
    <xf numFmtId="3" fontId="1" fillId="0" borderId="24" xfId="1" applyNumberFormat="1" applyFont="1" applyBorder="1"/>
    <xf numFmtId="3" fontId="1" fillId="0" borderId="17" xfId="1" applyNumberFormat="1" applyFont="1" applyBorder="1"/>
    <xf numFmtId="3" fontId="1" fillId="0" borderId="38" xfId="1" applyNumberFormat="1" applyFont="1" applyBorder="1"/>
    <xf numFmtId="3" fontId="7" fillId="2" borderId="24" xfId="1" applyNumberFormat="1" applyFont="1" applyFill="1" applyBorder="1"/>
    <xf numFmtId="3" fontId="7" fillId="2" borderId="38" xfId="1" applyNumberFormat="1" applyFont="1" applyFill="1" applyBorder="1"/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3" fontId="5" fillId="0" borderId="14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center"/>
    </xf>
    <xf numFmtId="3" fontId="5" fillId="0" borderId="14" xfId="0" applyNumberFormat="1" applyFont="1" applyFill="1" applyBorder="1" applyAlignment="1" applyProtection="1">
      <alignment horizontal="left"/>
    </xf>
    <xf numFmtId="3" fontId="5" fillId="0" borderId="7" xfId="0" applyNumberFormat="1" applyFont="1" applyFill="1" applyBorder="1" applyAlignment="1" applyProtection="1">
      <alignment horizontal="left"/>
    </xf>
    <xf numFmtId="0" fontId="3" fillId="0" borderId="3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5" fillId="0" borderId="22" xfId="0" applyNumberFormat="1" applyFont="1" applyFill="1" applyBorder="1" applyAlignment="1" applyProtection="1">
      <alignment horizontal="center"/>
    </xf>
    <xf numFmtId="0" fontId="3" fillId="0" borderId="1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7" xfId="0" applyNumberFormat="1" applyFont="1" applyFill="1" applyBorder="1" applyAlignment="1" applyProtection="1">
      <alignment horizontal="center"/>
    </xf>
    <xf numFmtId="0" fontId="3" fillId="0" borderId="20" xfId="0" applyNumberFormat="1" applyFont="1" applyFill="1" applyBorder="1" applyAlignment="1" applyProtection="1">
      <alignment horizontal="center"/>
    </xf>
    <xf numFmtId="0" fontId="3" fillId="0" borderId="32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11" xfId="0" applyFont="1" applyBorder="1"/>
    <xf numFmtId="166" fontId="5" fillId="0" borderId="14" xfId="0" applyNumberFormat="1" applyFont="1" applyFill="1" applyBorder="1" applyAlignment="1" applyProtection="1">
      <alignment horizontal="center"/>
    </xf>
    <xf numFmtId="166" fontId="5" fillId="0" borderId="7" xfId="0" applyNumberFormat="1" applyFont="1" applyFill="1" applyBorder="1" applyAlignment="1" applyProtection="1">
      <alignment horizontal="center"/>
    </xf>
    <xf numFmtId="166" fontId="5" fillId="0" borderId="22" xfId="0" applyNumberFormat="1" applyFont="1" applyFill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24" xfId="1" applyNumberFormat="1" applyFont="1" applyBorder="1" applyAlignment="1">
      <alignment horizontal="right"/>
    </xf>
    <xf numFmtId="3" fontId="1" fillId="0" borderId="43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27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38" xfId="1" applyNumberFormat="1" applyFont="1" applyBorder="1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9" fillId="0" borderId="0" xfId="0" applyNumberFormat="1" applyFont="1"/>
    <xf numFmtId="0" fontId="9" fillId="0" borderId="0" xfId="0" applyFont="1"/>
    <xf numFmtId="0" fontId="1" fillId="0" borderId="29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tabSelected="1" topLeftCell="A10" zoomScale="90" workbookViewId="0">
      <selection activeCell="A11" sqref="A11"/>
    </sheetView>
  </sheetViews>
  <sheetFormatPr defaultColWidth="8.85546875" defaultRowHeight="15" x14ac:dyDescent="0.25"/>
  <cols>
    <col min="1" max="1" width="13.7109375" style="43" customWidth="1"/>
    <col min="2" max="2" width="17" style="43" customWidth="1"/>
    <col min="3" max="9" width="13.7109375" style="43" customWidth="1"/>
    <col min="10" max="13" width="7.28515625" style="43" customWidth="1"/>
    <col min="14" max="14" width="13.7109375" style="43" customWidth="1"/>
    <col min="15" max="17" width="13.7109375" style="43" hidden="1" customWidth="1"/>
    <col min="18" max="20" width="13.7109375" style="43" customWidth="1"/>
    <col min="21" max="16384" width="8.85546875" style="43"/>
  </cols>
  <sheetData>
    <row r="1" spans="1:20" ht="17.25" customHeight="1" x14ac:dyDescent="0.25">
      <c r="H1" s="232" t="s">
        <v>195</v>
      </c>
      <c r="I1" s="233"/>
      <c r="J1" s="233"/>
      <c r="K1" s="233"/>
      <c r="L1" s="233"/>
      <c r="M1" s="233"/>
    </row>
    <row r="2" spans="1:20" x14ac:dyDescent="0.25">
      <c r="A2" s="241" t="s">
        <v>61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ht="18.75" x14ac:dyDescent="0.3">
      <c r="A3" s="113"/>
      <c r="B3" s="5"/>
      <c r="C3" s="5"/>
      <c r="D3" s="5"/>
      <c r="E3" s="239" t="s">
        <v>137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131"/>
      <c r="R3" s="149"/>
      <c r="S3" s="106" t="s">
        <v>204</v>
      </c>
      <c r="T3" s="109"/>
    </row>
    <row r="4" spans="1:20" ht="18.75" x14ac:dyDescent="0.3">
      <c r="A4" s="92"/>
      <c r="B4" s="55"/>
      <c r="C4" s="55"/>
      <c r="D4" s="55"/>
      <c r="E4" s="240" t="s">
        <v>37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162" t="s">
        <v>154</v>
      </c>
      <c r="R4" s="172" t="s">
        <v>71</v>
      </c>
      <c r="S4" s="91" t="s">
        <v>14</v>
      </c>
      <c r="T4" s="73"/>
    </row>
    <row r="5" spans="1:20" x14ac:dyDescent="0.25">
      <c r="A5" s="82" t="s">
        <v>63</v>
      </c>
      <c r="B5" s="70"/>
      <c r="C5" s="70"/>
      <c r="D5" s="17"/>
      <c r="E5" s="82" t="s">
        <v>116</v>
      </c>
      <c r="F5" s="70"/>
      <c r="G5" s="70"/>
      <c r="H5" s="70"/>
      <c r="I5" s="17"/>
      <c r="J5" s="82" t="s">
        <v>16</v>
      </c>
      <c r="K5" s="72"/>
      <c r="L5" s="72"/>
      <c r="M5" s="70"/>
      <c r="N5" s="70"/>
      <c r="O5" s="70"/>
      <c r="P5" s="70"/>
      <c r="Q5" s="17"/>
      <c r="R5" s="82" t="s">
        <v>81</v>
      </c>
      <c r="S5" s="70"/>
      <c r="T5" s="17"/>
    </row>
    <row r="6" spans="1:20" x14ac:dyDescent="0.25">
      <c r="A6" s="145" t="s">
        <v>90</v>
      </c>
      <c r="B6" s="23"/>
      <c r="C6" s="23"/>
      <c r="D6" s="2"/>
      <c r="E6" s="78" t="s">
        <v>90</v>
      </c>
      <c r="F6" s="111"/>
      <c r="G6" s="111"/>
      <c r="H6" s="111"/>
      <c r="I6" s="140"/>
      <c r="J6" s="78" t="s">
        <v>90</v>
      </c>
      <c r="K6" s="155"/>
      <c r="L6" s="155"/>
      <c r="M6" s="111"/>
      <c r="N6" s="111"/>
      <c r="O6" s="111"/>
      <c r="P6" s="111"/>
      <c r="Q6" s="140"/>
      <c r="R6" s="78" t="s">
        <v>6</v>
      </c>
      <c r="S6" s="111"/>
      <c r="T6" s="140"/>
    </row>
    <row r="7" spans="1:20" x14ac:dyDescent="0.25">
      <c r="A7" s="98" t="s">
        <v>211</v>
      </c>
      <c r="B7" s="143"/>
      <c r="C7" s="166"/>
      <c r="D7" s="87"/>
      <c r="E7" s="93" t="s">
        <v>140</v>
      </c>
      <c r="F7" s="166"/>
      <c r="G7" s="166"/>
      <c r="H7" s="166"/>
      <c r="I7" s="87"/>
      <c r="J7" s="93" t="s">
        <v>171</v>
      </c>
      <c r="K7" s="143"/>
      <c r="L7" s="143"/>
      <c r="M7" s="166"/>
      <c r="N7" s="166"/>
      <c r="O7" s="166"/>
      <c r="P7" s="166"/>
      <c r="Q7" s="87"/>
      <c r="R7" s="86"/>
      <c r="S7" s="23"/>
      <c r="T7" s="169"/>
    </row>
    <row r="8" spans="1:20" x14ac:dyDescent="0.25">
      <c r="A8" s="78" t="s">
        <v>156</v>
      </c>
      <c r="B8" s="111"/>
      <c r="C8" s="111"/>
      <c r="D8" s="140"/>
      <c r="E8" s="78" t="s">
        <v>67</v>
      </c>
      <c r="F8" s="111"/>
      <c r="G8" s="111"/>
      <c r="H8" s="111"/>
      <c r="I8" s="140"/>
      <c r="J8" s="78" t="s">
        <v>157</v>
      </c>
      <c r="K8" s="155"/>
      <c r="L8" s="155"/>
      <c r="M8" s="111"/>
      <c r="N8" s="111"/>
      <c r="O8" s="111"/>
      <c r="P8" s="111"/>
      <c r="Q8" s="111"/>
      <c r="R8" s="11">
        <v>44044</v>
      </c>
      <c r="S8" s="84"/>
      <c r="T8" s="175"/>
    </row>
    <row r="9" spans="1:20" x14ac:dyDescent="0.25">
      <c r="A9" s="158" t="s">
        <v>119</v>
      </c>
      <c r="B9" s="159"/>
      <c r="C9" s="23"/>
      <c r="D9" s="2"/>
      <c r="E9" s="93" t="s">
        <v>195</v>
      </c>
      <c r="F9" s="166"/>
      <c r="G9" s="166"/>
      <c r="H9" s="166"/>
      <c r="I9" s="87"/>
      <c r="J9" s="93" t="s">
        <v>195</v>
      </c>
      <c r="K9" s="170"/>
      <c r="L9" s="170"/>
      <c r="M9" s="170"/>
      <c r="N9" s="166"/>
      <c r="O9" s="166"/>
      <c r="P9" s="166"/>
      <c r="Q9" s="87"/>
      <c r="R9" s="145" t="s">
        <v>35</v>
      </c>
      <c r="S9" s="23"/>
      <c r="T9" s="2"/>
    </row>
    <row r="10" spans="1:20" x14ac:dyDescent="0.25">
      <c r="A10" s="107"/>
      <c r="B10" s="23"/>
      <c r="C10" s="23"/>
      <c r="D10" s="2"/>
      <c r="E10" s="78" t="s">
        <v>150</v>
      </c>
      <c r="F10" s="111"/>
      <c r="G10" s="140"/>
      <c r="H10" s="78" t="s">
        <v>209</v>
      </c>
      <c r="I10" s="140"/>
      <c r="J10" s="78" t="s">
        <v>122</v>
      </c>
      <c r="K10" s="78"/>
      <c r="L10" s="155"/>
      <c r="M10" s="111"/>
      <c r="N10" s="111"/>
      <c r="O10" s="111"/>
      <c r="P10" s="111"/>
      <c r="Q10" s="140"/>
      <c r="R10" s="107"/>
      <c r="S10" s="23"/>
      <c r="T10" s="2"/>
    </row>
    <row r="11" spans="1:20" x14ac:dyDescent="0.25">
      <c r="A11" s="30"/>
      <c r="B11" s="166"/>
      <c r="C11" s="166"/>
      <c r="D11" s="87"/>
      <c r="E11" s="93" t="s">
        <v>195</v>
      </c>
      <c r="F11" s="166"/>
      <c r="G11" s="87"/>
      <c r="H11" s="93" t="s">
        <v>195</v>
      </c>
      <c r="I11" s="87"/>
      <c r="J11" s="16" t="str">
        <f>IF(1=0,"X"," ")</f>
        <v xml:space="preserve"> </v>
      </c>
      <c r="K11" s="173" t="s">
        <v>174</v>
      </c>
      <c r="L11" s="173" t="str">
        <f>IF(1=1,"X"," ")</f>
        <v>X</v>
      </c>
      <c r="M11" s="135" t="s">
        <v>205</v>
      </c>
      <c r="N11" s="39">
        <f>IF(OR(1=0,1=1), IF(DATE(2008, 9, 15)=0, " ", DATE(2008, 9, 15)), IF(1=2, "N/A"," "))</f>
        <v>39706</v>
      </c>
      <c r="O11" s="178"/>
      <c r="P11" s="180"/>
      <c r="Q11" s="89"/>
      <c r="R11" s="11">
        <v>44074</v>
      </c>
      <c r="S11" s="84"/>
      <c r="T11" s="175"/>
    </row>
    <row r="12" spans="1:20" x14ac:dyDescent="0.25">
      <c r="A12" s="209" t="s">
        <v>76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1"/>
    </row>
    <row r="13" spans="1:20" x14ac:dyDescent="0.25">
      <c r="A13" s="74" t="s">
        <v>40</v>
      </c>
      <c r="B13" s="106" t="s">
        <v>51</v>
      </c>
      <c r="C13" s="197" t="s">
        <v>56</v>
      </c>
      <c r="D13" s="199"/>
      <c r="E13" s="197" t="s">
        <v>97</v>
      </c>
      <c r="F13" s="199"/>
      <c r="G13" s="197" t="s">
        <v>153</v>
      </c>
      <c r="H13" s="199"/>
      <c r="I13" s="197" t="s">
        <v>189</v>
      </c>
      <c r="J13" s="198"/>
      <c r="K13" s="199"/>
      <c r="L13" s="197" t="s">
        <v>110</v>
      </c>
      <c r="M13" s="198"/>
      <c r="N13" s="199"/>
      <c r="O13" s="190" t="s">
        <v>50</v>
      </c>
      <c r="P13" s="191"/>
      <c r="Q13" s="192"/>
      <c r="R13" s="181" t="s">
        <v>200</v>
      </c>
      <c r="S13" s="121"/>
      <c r="T13" s="59"/>
    </row>
    <row r="14" spans="1:20" x14ac:dyDescent="0.25">
      <c r="A14" s="7"/>
      <c r="B14" s="145" t="s">
        <v>188</v>
      </c>
      <c r="C14" s="188" t="s">
        <v>145</v>
      </c>
      <c r="D14" s="189"/>
      <c r="E14" s="188"/>
      <c r="F14" s="242"/>
      <c r="G14" s="188"/>
      <c r="H14" s="189"/>
      <c r="I14" s="218"/>
      <c r="J14" s="219"/>
      <c r="K14" s="220"/>
      <c r="L14" s="218" t="s">
        <v>60</v>
      </c>
      <c r="M14" s="219"/>
      <c r="N14" s="220"/>
      <c r="O14" s="141"/>
      <c r="P14" s="104"/>
      <c r="Q14" s="104"/>
      <c r="R14" s="69"/>
      <c r="S14" s="37"/>
      <c r="T14" s="97"/>
    </row>
    <row r="15" spans="1:20" x14ac:dyDescent="0.25">
      <c r="A15" s="68">
        <v>1</v>
      </c>
      <c r="B15" s="68">
        <v>0</v>
      </c>
      <c r="C15" s="193">
        <v>0</v>
      </c>
      <c r="D15" s="223"/>
      <c r="E15" s="193">
        <f>0*(0/100)</f>
        <v>0</v>
      </c>
      <c r="F15" s="194"/>
      <c r="G15" s="193">
        <f>0+0</f>
        <v>0</v>
      </c>
      <c r="H15" s="223"/>
      <c r="I15" s="194">
        <f>0+(0*(0/100))</f>
        <v>0</v>
      </c>
      <c r="J15" s="194"/>
      <c r="K15" s="193"/>
      <c r="L15" s="193">
        <v>0</v>
      </c>
      <c r="M15" s="194"/>
      <c r="N15" s="223"/>
      <c r="O15" s="193">
        <v>0</v>
      </c>
      <c r="P15" s="194"/>
      <c r="Q15" s="194"/>
      <c r="R15" s="236"/>
      <c r="S15" s="237"/>
      <c r="T15" s="238"/>
    </row>
    <row r="16" spans="1:20" x14ac:dyDescent="0.25">
      <c r="A16" s="209" t="s">
        <v>135</v>
      </c>
      <c r="B16" s="210"/>
      <c r="C16" s="210"/>
      <c r="D16" s="210"/>
      <c r="E16" s="210"/>
      <c r="F16" s="210"/>
      <c r="G16" s="210"/>
      <c r="H16" s="211"/>
      <c r="I16" s="209" t="s">
        <v>42</v>
      </c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1"/>
    </row>
    <row r="17" spans="1:23" x14ac:dyDescent="0.25">
      <c r="A17" s="127"/>
      <c r="B17" s="49"/>
      <c r="C17" s="102" t="s">
        <v>113</v>
      </c>
      <c r="D17" s="76"/>
      <c r="E17" s="102" t="s">
        <v>182</v>
      </c>
      <c r="F17" s="76"/>
      <c r="G17" s="102" t="s">
        <v>201</v>
      </c>
      <c r="H17" s="76"/>
      <c r="I17" s="78" t="s">
        <v>185</v>
      </c>
      <c r="J17" s="20" t="s">
        <v>1</v>
      </c>
      <c r="K17" s="20"/>
      <c r="L17" s="20"/>
      <c r="M17" s="155"/>
      <c r="N17" s="177"/>
      <c r="O17" s="78" t="s">
        <v>57</v>
      </c>
      <c r="P17" s="155"/>
      <c r="Q17" s="155"/>
      <c r="R17" s="155"/>
      <c r="S17" s="155"/>
      <c r="T17" s="177"/>
    </row>
    <row r="18" spans="1:23" x14ac:dyDescent="0.25">
      <c r="A18" s="127"/>
      <c r="B18" s="49"/>
      <c r="C18" s="176" t="s">
        <v>148</v>
      </c>
      <c r="D18" s="115"/>
      <c r="E18" s="176" t="s">
        <v>18</v>
      </c>
      <c r="F18" s="115"/>
      <c r="G18" s="71" t="s">
        <v>195</v>
      </c>
      <c r="H18" s="40"/>
      <c r="I18" s="86"/>
      <c r="J18" s="23"/>
      <c r="K18" s="23"/>
      <c r="L18" s="23"/>
      <c r="M18" s="23"/>
      <c r="N18" s="2"/>
      <c r="O18" s="86"/>
      <c r="P18" s="159"/>
      <c r="Q18" s="159"/>
      <c r="R18" s="23"/>
      <c r="S18" s="23"/>
      <c r="T18" s="2"/>
    </row>
    <row r="19" spans="1:23" x14ac:dyDescent="0.25">
      <c r="A19" s="127"/>
      <c r="B19" s="49"/>
      <c r="C19" s="81" t="s">
        <v>30</v>
      </c>
      <c r="D19" s="115"/>
      <c r="E19" s="85" t="s">
        <v>111</v>
      </c>
      <c r="F19" s="27"/>
      <c r="G19" s="85" t="s">
        <v>186</v>
      </c>
      <c r="H19" s="27"/>
      <c r="I19" s="195" t="s">
        <v>33</v>
      </c>
      <c r="J19" s="196"/>
      <c r="K19" s="196"/>
      <c r="L19" s="196"/>
      <c r="M19" s="196"/>
      <c r="N19" s="48"/>
      <c r="O19" s="195" t="s">
        <v>68</v>
      </c>
      <c r="P19" s="196"/>
      <c r="Q19" s="196"/>
      <c r="R19" s="105"/>
      <c r="S19" s="105"/>
      <c r="T19" s="48"/>
    </row>
    <row r="20" spans="1:23" x14ac:dyDescent="0.25">
      <c r="A20" s="197" t="s">
        <v>53</v>
      </c>
      <c r="B20" s="199"/>
      <c r="C20" s="8">
        <v>0</v>
      </c>
      <c r="D20" s="56"/>
      <c r="E20" s="67"/>
      <c r="F20" s="161"/>
      <c r="G20" s="67"/>
      <c r="H20" s="161"/>
      <c r="I20" s="78" t="s">
        <v>123</v>
      </c>
      <c r="J20" s="111"/>
      <c r="K20" s="111"/>
      <c r="L20" s="111"/>
      <c r="M20" s="111"/>
      <c r="N20" s="111"/>
      <c r="O20" s="111"/>
      <c r="P20" s="111"/>
      <c r="Q20" s="140"/>
      <c r="R20" s="78" t="s">
        <v>190</v>
      </c>
      <c r="S20" s="150" t="s">
        <v>9</v>
      </c>
      <c r="T20" s="140"/>
    </row>
    <row r="21" spans="1:23" x14ac:dyDescent="0.25">
      <c r="A21" s="226" t="s">
        <v>184</v>
      </c>
      <c r="B21" s="227"/>
      <c r="C21" s="8">
        <v>0</v>
      </c>
      <c r="D21" s="56"/>
      <c r="E21" s="127"/>
      <c r="F21" s="21"/>
      <c r="G21" s="127"/>
      <c r="H21" s="21"/>
      <c r="I21" s="107"/>
      <c r="J21" s="23"/>
      <c r="K21" s="23"/>
      <c r="L21" s="23"/>
      <c r="M21" s="23"/>
      <c r="N21" s="23"/>
      <c r="O21" s="23"/>
      <c r="P21" s="23"/>
      <c r="Q21" s="2"/>
      <c r="R21" s="145"/>
      <c r="S21" s="23"/>
      <c r="T21" s="2"/>
    </row>
    <row r="22" spans="1:23" x14ac:dyDescent="0.25">
      <c r="A22" s="224" t="s">
        <v>103</v>
      </c>
      <c r="B22" s="225"/>
      <c r="C22" s="83">
        <v>0</v>
      </c>
      <c r="D22" s="125"/>
      <c r="E22" s="77">
        <v>0</v>
      </c>
      <c r="F22" s="56"/>
      <c r="G22" s="77">
        <f>E22-C22</f>
        <v>0</v>
      </c>
      <c r="H22" s="56"/>
      <c r="I22" s="166"/>
      <c r="J22" s="166"/>
      <c r="K22" s="166"/>
      <c r="L22" s="166"/>
      <c r="M22" s="166"/>
      <c r="N22" s="166"/>
      <c r="O22" s="166"/>
      <c r="P22" s="166"/>
      <c r="Q22" s="87"/>
      <c r="R22" s="30"/>
      <c r="S22" s="166"/>
      <c r="T22" s="87"/>
    </row>
    <row r="23" spans="1:23" x14ac:dyDescent="0.25">
      <c r="A23" s="209" t="s">
        <v>46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1"/>
    </row>
    <row r="24" spans="1:23" x14ac:dyDescent="0.25">
      <c r="A24" s="230" t="s">
        <v>104</v>
      </c>
      <c r="B24" s="231"/>
      <c r="C24" s="215" t="s">
        <v>114</v>
      </c>
      <c r="D24" s="216"/>
      <c r="E24" s="216"/>
      <c r="F24" s="216"/>
      <c r="G24" s="217"/>
      <c r="H24" s="215" t="s">
        <v>62</v>
      </c>
      <c r="I24" s="216"/>
      <c r="J24" s="216"/>
      <c r="K24" s="216"/>
      <c r="L24" s="216"/>
      <c r="M24" s="216"/>
      <c r="N24" s="217"/>
      <c r="O24" s="202" t="s">
        <v>73</v>
      </c>
      <c r="P24" s="203"/>
      <c r="Q24" s="204"/>
      <c r="R24" s="215" t="s">
        <v>148</v>
      </c>
      <c r="S24" s="234"/>
      <c r="T24" s="235"/>
    </row>
    <row r="25" spans="1:23" x14ac:dyDescent="0.25">
      <c r="A25" s="207"/>
      <c r="B25" s="208"/>
      <c r="C25" s="44" t="s">
        <v>144</v>
      </c>
      <c r="D25" s="27"/>
      <c r="E25" s="139" t="s">
        <v>92</v>
      </c>
      <c r="F25" s="85" t="s">
        <v>201</v>
      </c>
      <c r="G25" s="27"/>
      <c r="H25" s="85" t="s">
        <v>144</v>
      </c>
      <c r="I25" s="27"/>
      <c r="J25" s="200" t="s">
        <v>92</v>
      </c>
      <c r="K25" s="201"/>
      <c r="L25" s="212" t="s">
        <v>201</v>
      </c>
      <c r="M25" s="213"/>
      <c r="N25" s="214"/>
      <c r="O25" s="205"/>
      <c r="P25" s="206"/>
      <c r="Q25" s="206"/>
      <c r="R25" s="146" t="s">
        <v>173</v>
      </c>
      <c r="S25" s="146" t="s">
        <v>75</v>
      </c>
      <c r="T25" s="139" t="s">
        <v>201</v>
      </c>
    </row>
    <row r="26" spans="1:23" x14ac:dyDescent="0.25">
      <c r="A26" s="207"/>
      <c r="B26" s="208"/>
      <c r="C26" s="60" t="s">
        <v>149</v>
      </c>
      <c r="D26" s="139" t="s">
        <v>149</v>
      </c>
      <c r="E26" s="108" t="s">
        <v>83</v>
      </c>
      <c r="F26" s="108"/>
      <c r="G26" s="108"/>
      <c r="H26" s="139" t="s">
        <v>149</v>
      </c>
      <c r="I26" s="139" t="s">
        <v>149</v>
      </c>
      <c r="J26" s="188" t="s">
        <v>83</v>
      </c>
      <c r="K26" s="189"/>
      <c r="L26" s="200"/>
      <c r="M26" s="201"/>
      <c r="N26" s="50"/>
      <c r="O26" s="139" t="s">
        <v>130</v>
      </c>
      <c r="P26" s="139" t="s">
        <v>28</v>
      </c>
      <c r="Q26" s="146"/>
      <c r="R26" s="32"/>
      <c r="S26" s="32"/>
      <c r="T26" s="108"/>
    </row>
    <row r="27" spans="1:23" x14ac:dyDescent="0.25">
      <c r="A27" s="207" t="s">
        <v>166</v>
      </c>
      <c r="B27" s="208"/>
      <c r="C27" s="99" t="s">
        <v>169</v>
      </c>
      <c r="D27" s="108" t="s">
        <v>163</v>
      </c>
      <c r="E27" s="108" t="s">
        <v>163</v>
      </c>
      <c r="F27" s="108" t="s">
        <v>28</v>
      </c>
      <c r="G27" s="108" t="s">
        <v>130</v>
      </c>
      <c r="H27" s="108" t="s">
        <v>169</v>
      </c>
      <c r="I27" s="108" t="s">
        <v>163</v>
      </c>
      <c r="J27" s="188" t="s">
        <v>163</v>
      </c>
      <c r="K27" s="189"/>
      <c r="L27" s="188" t="s">
        <v>28</v>
      </c>
      <c r="M27" s="189"/>
      <c r="N27" s="108" t="s">
        <v>130</v>
      </c>
      <c r="O27" s="108" t="s">
        <v>201</v>
      </c>
      <c r="P27" s="108" t="s">
        <v>201</v>
      </c>
      <c r="Q27" s="32" t="s">
        <v>59</v>
      </c>
      <c r="R27" s="145"/>
      <c r="S27" s="145"/>
      <c r="T27" s="50"/>
    </row>
    <row r="28" spans="1:23" x14ac:dyDescent="0.25">
      <c r="A28" s="228" t="s">
        <v>30</v>
      </c>
      <c r="B28" s="229"/>
      <c r="C28" s="24" t="s">
        <v>111</v>
      </c>
      <c r="D28" s="80" t="s">
        <v>186</v>
      </c>
      <c r="E28" s="80" t="s">
        <v>43</v>
      </c>
      <c r="F28" s="80" t="s">
        <v>124</v>
      </c>
      <c r="G28" s="80" t="s">
        <v>194</v>
      </c>
      <c r="H28" s="80" t="s">
        <v>54</v>
      </c>
      <c r="I28" s="80" t="s">
        <v>139</v>
      </c>
      <c r="J28" s="221" t="s">
        <v>207</v>
      </c>
      <c r="K28" s="222"/>
      <c r="L28" s="221" t="s">
        <v>8</v>
      </c>
      <c r="M28" s="222"/>
      <c r="N28" s="80" t="s">
        <v>87</v>
      </c>
      <c r="O28" s="80" t="s">
        <v>39</v>
      </c>
      <c r="P28" s="80" t="s">
        <v>117</v>
      </c>
      <c r="Q28" s="171" t="s">
        <v>24</v>
      </c>
      <c r="R28" s="171" t="s">
        <v>99</v>
      </c>
      <c r="S28" s="171" t="s">
        <v>181</v>
      </c>
      <c r="T28" s="80" t="s">
        <v>34</v>
      </c>
      <c r="V28" s="36" t="s">
        <v>115</v>
      </c>
      <c r="W28" s="36" t="s">
        <v>91</v>
      </c>
    </row>
    <row r="29" spans="1:23" ht="18" customHeight="1" x14ac:dyDescent="0.25">
      <c r="A29" s="117" t="str">
        <f>CONCATENATE(REPT("   ",1-1),"1.01A"," Project Management")</f>
        <v>1.01A Project Management</v>
      </c>
      <c r="B29" s="3"/>
      <c r="C29" s="157">
        <v>22837.0677</v>
      </c>
      <c r="D29" s="9">
        <v>22837.0677</v>
      </c>
      <c r="E29" s="64">
        <v>26469.91</v>
      </c>
      <c r="F29" s="138">
        <f t="shared" ref="F29:F37" si="0">D29 - C29</f>
        <v>0</v>
      </c>
      <c r="G29" s="112">
        <f t="shared" ref="G29:G37" si="1">D29 - E29</f>
        <v>-3632.8423000000003</v>
      </c>
      <c r="H29" s="168">
        <f t="shared" ref="H29:I29" si="2">(1717169.5604+22837.0677)</f>
        <v>1740006.6281000001</v>
      </c>
      <c r="I29" s="9">
        <f t="shared" si="2"/>
        <v>1740006.6281000001</v>
      </c>
      <c r="J29" s="243">
        <f>(1564402.12+26469.91)</f>
        <v>1590872.03</v>
      </c>
      <c r="K29" s="245"/>
      <c r="L29" s="243">
        <f t="shared" ref="L29:L37" si="3">I29 - H29</f>
        <v>0</v>
      </c>
      <c r="M29" s="244"/>
      <c r="N29" s="65">
        <f t="shared" ref="N29:N37" si="4">I29 - J29</f>
        <v>149134.59810000006</v>
      </c>
      <c r="O29" s="62">
        <f t="shared" ref="O29:Q37" si="5">(0+0+0)</f>
        <v>0</v>
      </c>
      <c r="P29" s="167">
        <f t="shared" si="5"/>
        <v>0</v>
      </c>
      <c r="Q29" s="53">
        <f t="shared" si="5"/>
        <v>0</v>
      </c>
      <c r="R29" s="64">
        <f>(1717169.5604+22837.0677+211671.903)</f>
        <v>1951678.5311</v>
      </c>
      <c r="S29" s="142">
        <f>(1564402.12+26469.91+211671.903)</f>
        <v>1802543.933</v>
      </c>
      <c r="T29" s="13">
        <f t="shared" ref="T29:T39" si="6">R29 - S29</f>
        <v>149134.59810000006</v>
      </c>
      <c r="V29" s="265">
        <f t="shared" ref="V29:V35" si="7">IF(H29=0,"-",(I29/H29))</f>
        <v>1</v>
      </c>
      <c r="W29" s="265">
        <f t="shared" ref="W29:W35" si="8">IF(J29=0,"-",(I29/J29))</f>
        <v>1.0937439311821957</v>
      </c>
    </row>
    <row r="30" spans="1:23" ht="18" customHeight="1" x14ac:dyDescent="0.25">
      <c r="A30" s="117" t="str">
        <f>CONCATENATE(REPT("   ",1-1),"1.02A"," TPC")</f>
        <v>1.02A TPC</v>
      </c>
      <c r="B30" s="3"/>
      <c r="C30" s="157">
        <v>59447.226499999997</v>
      </c>
      <c r="D30" s="9">
        <v>7736.7574000000004</v>
      </c>
      <c r="E30" s="64">
        <v>9785.56</v>
      </c>
      <c r="F30" s="138">
        <f t="shared" si="0"/>
        <v>-51710.469099999995</v>
      </c>
      <c r="G30" s="112">
        <f t="shared" si="1"/>
        <v>-2048.8025999999991</v>
      </c>
      <c r="H30" s="168">
        <f>(2311011.679+59447.2265)</f>
        <v>2370458.9054999999</v>
      </c>
      <c r="I30" s="9">
        <f>(1913833.0367+7736.7574)</f>
        <v>1921569.7941000001</v>
      </c>
      <c r="J30" s="243">
        <f>(1726391.09+9785.56)</f>
        <v>1736176.6500000001</v>
      </c>
      <c r="K30" s="245"/>
      <c r="L30" s="243">
        <f t="shared" si="3"/>
        <v>-448889.11139999982</v>
      </c>
      <c r="M30" s="244"/>
      <c r="N30" s="65">
        <f t="shared" si="4"/>
        <v>185393.14409999992</v>
      </c>
      <c r="O30" s="62">
        <f t="shared" si="5"/>
        <v>0</v>
      </c>
      <c r="P30" s="167">
        <f t="shared" si="5"/>
        <v>0</v>
      </c>
      <c r="Q30" s="53">
        <f t="shared" si="5"/>
        <v>0</v>
      </c>
      <c r="R30" s="64">
        <f>(2311011.679+59447.2265+1809675.8366)</f>
        <v>4180134.7420999999</v>
      </c>
      <c r="S30" s="142">
        <f>(1726391.09+9785.56+2263527.6656)</f>
        <v>3999704.3156000003</v>
      </c>
      <c r="T30" s="13">
        <f t="shared" si="6"/>
        <v>180430.42649999959</v>
      </c>
      <c r="V30" s="265">
        <f t="shared" si="7"/>
        <v>0.81063197916720864</v>
      </c>
      <c r="W30" s="265">
        <f t="shared" si="8"/>
        <v>1.1067824199225349</v>
      </c>
    </row>
    <row r="31" spans="1:23" ht="18" customHeight="1" x14ac:dyDescent="0.25">
      <c r="A31" s="117" t="str">
        <f>CONCATENATE(REPT("   ",1-1),"1.03A"," EMCal")</f>
        <v>1.03A EMCal</v>
      </c>
      <c r="B31" s="3"/>
      <c r="C31" s="157">
        <v>78114.477299999999</v>
      </c>
      <c r="D31" s="9">
        <v>88227.960699999996</v>
      </c>
      <c r="E31" s="64">
        <v>134123.79999999999</v>
      </c>
      <c r="F31" s="138">
        <f t="shared" si="0"/>
        <v>10113.483399999997</v>
      </c>
      <c r="G31" s="112">
        <f t="shared" si="1"/>
        <v>-45895.839299999992</v>
      </c>
      <c r="H31" s="168">
        <f>(3750910.6603+78114.4773)</f>
        <v>3829025.1376</v>
      </c>
      <c r="I31" s="9">
        <f>(3572720.6828+88227.9607)</f>
        <v>3660948.6435000002</v>
      </c>
      <c r="J31" s="243">
        <f>(3692148.62+134123.8)</f>
        <v>3826272.42</v>
      </c>
      <c r="K31" s="245"/>
      <c r="L31" s="243">
        <f t="shared" si="3"/>
        <v>-168076.49409999978</v>
      </c>
      <c r="M31" s="244"/>
      <c r="N31" s="65">
        <f t="shared" si="4"/>
        <v>-165323.77649999969</v>
      </c>
      <c r="O31" s="62">
        <f t="shared" si="5"/>
        <v>0</v>
      </c>
      <c r="P31" s="167">
        <f t="shared" si="5"/>
        <v>0</v>
      </c>
      <c r="Q31" s="53">
        <f t="shared" si="5"/>
        <v>0</v>
      </c>
      <c r="R31" s="64">
        <f>(3750910.6603+78114.4773+1426068.4443)</f>
        <v>5255093.5819000006</v>
      </c>
      <c r="S31" s="142">
        <f>(3692148.62+134123.8+1901419.4989)</f>
        <v>5727691.9188999999</v>
      </c>
      <c r="T31" s="13">
        <f t="shared" si="6"/>
        <v>-472598.33699999936</v>
      </c>
      <c r="V31" s="265">
        <f t="shared" si="7"/>
        <v>0.95610462505207039</v>
      </c>
      <c r="W31" s="265">
        <f t="shared" si="8"/>
        <v>0.95679247101281939</v>
      </c>
    </row>
    <row r="32" spans="1:23" ht="18" customHeight="1" x14ac:dyDescent="0.25">
      <c r="A32" s="117" t="str">
        <f>CONCATENATE(REPT("   ",1-1),"1.04A"," HCal")</f>
        <v>1.04A HCal</v>
      </c>
      <c r="B32" s="3"/>
      <c r="C32" s="157">
        <v>1837.8965000000001</v>
      </c>
      <c r="D32" s="9">
        <v>361314.76659999997</v>
      </c>
      <c r="E32" s="64">
        <v>237413.55</v>
      </c>
      <c r="F32" s="138">
        <f t="shared" si="0"/>
        <v>359476.8701</v>
      </c>
      <c r="G32" s="112">
        <f t="shared" si="1"/>
        <v>123901.21659999999</v>
      </c>
      <c r="H32" s="168">
        <f>(2246956.6864+1837.8965)</f>
        <v>2248794.5828999998</v>
      </c>
      <c r="I32" s="9">
        <f>(2020692.6954+361314.7666)</f>
        <v>2382007.4620000003</v>
      </c>
      <c r="J32" s="243">
        <f>(1855967.6+237413.55)</f>
        <v>2093381.1500000001</v>
      </c>
      <c r="K32" s="245"/>
      <c r="L32" s="243">
        <f t="shared" si="3"/>
        <v>133212.87910000049</v>
      </c>
      <c r="M32" s="244"/>
      <c r="N32" s="65">
        <f t="shared" si="4"/>
        <v>288626.31200000015</v>
      </c>
      <c r="O32" s="62">
        <f t="shared" si="5"/>
        <v>0</v>
      </c>
      <c r="P32" s="167">
        <f t="shared" si="5"/>
        <v>0</v>
      </c>
      <c r="Q32" s="53">
        <f t="shared" si="5"/>
        <v>0</v>
      </c>
      <c r="R32" s="64">
        <f>(2246956.6864+1837.8965+1784315.2091)</f>
        <v>4033109.7919999999</v>
      </c>
      <c r="S32" s="142">
        <f>(1855967.6+237413.55+1892130.3019)</f>
        <v>3985511.4519000002</v>
      </c>
      <c r="T32" s="13">
        <f t="shared" si="6"/>
        <v>47598.340099999681</v>
      </c>
      <c r="V32" s="265">
        <f t="shared" si="7"/>
        <v>1.0592374599765408</v>
      </c>
      <c r="W32" s="265">
        <f t="shared" si="8"/>
        <v>1.1378756620599169</v>
      </c>
    </row>
    <row r="33" spans="1:23" ht="18" customHeight="1" x14ac:dyDescent="0.25">
      <c r="A33" s="117" t="str">
        <f>CONCATENATE(REPT("   ",1-1),"1.05A"," Calorimeter Electronics")</f>
        <v>1.05A Calorimeter Electronics</v>
      </c>
      <c r="B33" s="3"/>
      <c r="C33" s="157">
        <v>9852.6033000000007</v>
      </c>
      <c r="D33" s="9">
        <v>165605.42629999999</v>
      </c>
      <c r="E33" s="64">
        <v>172901.12</v>
      </c>
      <c r="F33" s="138">
        <f t="shared" si="0"/>
        <v>155752.823</v>
      </c>
      <c r="G33" s="112">
        <f t="shared" si="1"/>
        <v>-7295.6937000000034</v>
      </c>
      <c r="H33" s="168">
        <f>(2321535.4064+9852.6033)</f>
        <v>2331388.0097000003</v>
      </c>
      <c r="I33" s="9">
        <f>(2251616.4184+165605.4263)</f>
        <v>2417221.8446999998</v>
      </c>
      <c r="J33" s="243">
        <f>(2224786.2+172901.12)</f>
        <v>2397687.3200000003</v>
      </c>
      <c r="K33" s="245"/>
      <c r="L33" s="243">
        <f t="shared" si="3"/>
        <v>85833.834999999497</v>
      </c>
      <c r="M33" s="244"/>
      <c r="N33" s="65">
        <f t="shared" si="4"/>
        <v>19534.524699999485</v>
      </c>
      <c r="O33" s="62">
        <f t="shared" si="5"/>
        <v>0</v>
      </c>
      <c r="P33" s="167">
        <f t="shared" si="5"/>
        <v>0</v>
      </c>
      <c r="Q33" s="53">
        <f t="shared" si="5"/>
        <v>0</v>
      </c>
      <c r="R33" s="64">
        <f>(2321535.4064+9852.6033+3032078.418)</f>
        <v>5363466.4276999999</v>
      </c>
      <c r="S33" s="142">
        <f>(2224786.2+172901.12+3748333.229)</f>
        <v>6146020.5490000006</v>
      </c>
      <c r="T33" s="13">
        <f t="shared" si="6"/>
        <v>-782554.1213000007</v>
      </c>
      <c r="V33" s="265">
        <f t="shared" si="7"/>
        <v>1.0368166236777741</v>
      </c>
      <c r="W33" s="265">
        <f t="shared" si="8"/>
        <v>1.0081472361041637</v>
      </c>
    </row>
    <row r="34" spans="1:23" ht="18" customHeight="1" x14ac:dyDescent="0.25">
      <c r="A34" s="117" t="str">
        <f>CONCATENATE(REPT("   ",1-1),"1.06A"," DAQ &amp; Trigger")</f>
        <v>1.06A DAQ &amp; Trigger</v>
      </c>
      <c r="B34" s="3"/>
      <c r="C34" s="157">
        <v>0</v>
      </c>
      <c r="D34" s="9">
        <v>0</v>
      </c>
      <c r="E34" s="64">
        <v>4165.37</v>
      </c>
      <c r="F34" s="138">
        <f t="shared" si="0"/>
        <v>0</v>
      </c>
      <c r="G34" s="112">
        <f t="shared" si="1"/>
        <v>-4165.37</v>
      </c>
      <c r="H34" s="168">
        <f>(242014.251+0)</f>
        <v>242014.25099999999</v>
      </c>
      <c r="I34" s="9">
        <f>(322827.4875+0)</f>
        <v>322827.48749999999</v>
      </c>
      <c r="J34" s="243">
        <f>(305803.54+4165.37)</f>
        <v>309968.90999999997</v>
      </c>
      <c r="K34" s="245"/>
      <c r="L34" s="243">
        <f t="shared" si="3"/>
        <v>80813.236499999999</v>
      </c>
      <c r="M34" s="244"/>
      <c r="N34" s="65">
        <f t="shared" si="4"/>
        <v>12858.577500000014</v>
      </c>
      <c r="O34" s="62">
        <f t="shared" si="5"/>
        <v>0</v>
      </c>
      <c r="P34" s="167">
        <f t="shared" si="5"/>
        <v>0</v>
      </c>
      <c r="Q34" s="53">
        <f t="shared" si="5"/>
        <v>0</v>
      </c>
      <c r="R34" s="64">
        <f>(242014.251+0+1003076.1449)</f>
        <v>1245090.3958999999</v>
      </c>
      <c r="S34" s="142">
        <f>(305803.54+4165.37+922646.5259)</f>
        <v>1232615.4358999999</v>
      </c>
      <c r="T34" s="13">
        <f t="shared" si="6"/>
        <v>12474.959999999963</v>
      </c>
      <c r="V34" s="265">
        <f t="shared" si="7"/>
        <v>1.3339193298166561</v>
      </c>
      <c r="W34" s="265">
        <f t="shared" si="8"/>
        <v>1.0414834426459092</v>
      </c>
    </row>
    <row r="35" spans="1:23" ht="18" customHeight="1" x14ac:dyDescent="0.25">
      <c r="A35" s="117" t="str">
        <f>CONCATENATE(REPT("   ",1-1),"1.07A"," MinBias Trigger Detector")</f>
        <v>1.07A MinBias Trigger Detector</v>
      </c>
      <c r="B35" s="3"/>
      <c r="C35" s="157">
        <v>0</v>
      </c>
      <c r="D35" s="9">
        <v>0</v>
      </c>
      <c r="E35" s="64">
        <v>0</v>
      </c>
      <c r="F35" s="138">
        <f t="shared" si="0"/>
        <v>0</v>
      </c>
      <c r="G35" s="112">
        <f t="shared" si="1"/>
        <v>0</v>
      </c>
      <c r="H35" s="168">
        <f t="shared" ref="H35:I35" si="9">(99147.5508+0)</f>
        <v>99147.550799999997</v>
      </c>
      <c r="I35" s="9">
        <f t="shared" si="9"/>
        <v>99147.550799999997</v>
      </c>
      <c r="J35" s="243">
        <f>(78303.81+0)</f>
        <v>78303.81</v>
      </c>
      <c r="K35" s="245"/>
      <c r="L35" s="243">
        <f t="shared" si="3"/>
        <v>0</v>
      </c>
      <c r="M35" s="244"/>
      <c r="N35" s="65">
        <f t="shared" si="4"/>
        <v>20843.7408</v>
      </c>
      <c r="O35" s="62">
        <f t="shared" si="5"/>
        <v>0</v>
      </c>
      <c r="P35" s="167">
        <f t="shared" si="5"/>
        <v>0</v>
      </c>
      <c r="Q35" s="53">
        <f t="shared" si="5"/>
        <v>0</v>
      </c>
      <c r="R35" s="64">
        <f>(99147.5508+0+71022.2727)</f>
        <v>170169.8235</v>
      </c>
      <c r="S35" s="142">
        <f>(78303.81+0+71022.2727)</f>
        <v>149326.0827</v>
      </c>
      <c r="T35" s="13">
        <f t="shared" si="6"/>
        <v>20843.7408</v>
      </c>
      <c r="V35" s="265">
        <f t="shared" si="7"/>
        <v>1</v>
      </c>
      <c r="W35" s="265">
        <f t="shared" si="8"/>
        <v>1.2661906336358346</v>
      </c>
    </row>
    <row r="36" spans="1:23" x14ac:dyDescent="0.25">
      <c r="A36" s="129" t="s">
        <v>152</v>
      </c>
      <c r="B36" s="45"/>
      <c r="C36" s="157">
        <v>0</v>
      </c>
      <c r="D36" s="52">
        <v>0</v>
      </c>
      <c r="E36" s="64">
        <v>0</v>
      </c>
      <c r="F36" s="138">
        <f t="shared" si="0"/>
        <v>0</v>
      </c>
      <c r="G36" s="46">
        <f t="shared" si="1"/>
        <v>0</v>
      </c>
      <c r="H36" s="142">
        <f t="shared" ref="H36:J37" si="10">(0+0)</f>
        <v>0</v>
      </c>
      <c r="I36" s="52">
        <f t="shared" si="10"/>
        <v>0</v>
      </c>
      <c r="J36" s="243">
        <f t="shared" si="10"/>
        <v>0</v>
      </c>
      <c r="K36" s="245"/>
      <c r="L36" s="243">
        <f t="shared" si="3"/>
        <v>0</v>
      </c>
      <c r="M36" s="244"/>
      <c r="N36" s="152">
        <f t="shared" si="4"/>
        <v>0</v>
      </c>
      <c r="O36" s="62">
        <f t="shared" si="5"/>
        <v>0</v>
      </c>
      <c r="P36" s="167">
        <f t="shared" si="5"/>
        <v>0</v>
      </c>
      <c r="Q36" s="53">
        <f t="shared" si="5"/>
        <v>0</v>
      </c>
      <c r="R36" s="64">
        <f t="shared" ref="R36:S37" si="11">(0+0+0)</f>
        <v>0</v>
      </c>
      <c r="S36" s="142">
        <f t="shared" si="11"/>
        <v>0</v>
      </c>
      <c r="T36" s="13">
        <f t="shared" si="6"/>
        <v>0</v>
      </c>
    </row>
    <row r="37" spans="1:23" x14ac:dyDescent="0.25">
      <c r="A37" s="129" t="s">
        <v>66</v>
      </c>
      <c r="B37" s="45"/>
      <c r="C37" s="157">
        <v>0</v>
      </c>
      <c r="D37" s="52">
        <v>0</v>
      </c>
      <c r="E37" s="64">
        <v>0</v>
      </c>
      <c r="F37" s="138">
        <f t="shared" si="0"/>
        <v>0</v>
      </c>
      <c r="G37" s="46">
        <f t="shared" si="1"/>
        <v>0</v>
      </c>
      <c r="H37" s="142">
        <f t="shared" si="10"/>
        <v>0</v>
      </c>
      <c r="I37" s="52">
        <f t="shared" si="10"/>
        <v>0</v>
      </c>
      <c r="J37" s="243">
        <f t="shared" si="10"/>
        <v>0</v>
      </c>
      <c r="K37" s="245"/>
      <c r="L37" s="243">
        <f t="shared" si="3"/>
        <v>0</v>
      </c>
      <c r="M37" s="244"/>
      <c r="N37" s="152">
        <f t="shared" si="4"/>
        <v>0</v>
      </c>
      <c r="O37" s="62">
        <f t="shared" si="5"/>
        <v>0</v>
      </c>
      <c r="P37" s="167">
        <f t="shared" si="5"/>
        <v>0</v>
      </c>
      <c r="Q37" s="53">
        <f t="shared" si="5"/>
        <v>0</v>
      </c>
      <c r="R37" s="64">
        <f t="shared" si="11"/>
        <v>0</v>
      </c>
      <c r="S37" s="142">
        <f t="shared" si="11"/>
        <v>0</v>
      </c>
      <c r="T37" s="13">
        <f t="shared" si="6"/>
        <v>0</v>
      </c>
    </row>
    <row r="38" spans="1:23" x14ac:dyDescent="0.25">
      <c r="A38" s="129" t="s">
        <v>193</v>
      </c>
      <c r="B38" s="45"/>
      <c r="C38" s="66"/>
      <c r="D38" s="154"/>
      <c r="E38" s="154"/>
      <c r="F38" s="154"/>
      <c r="G38" s="154"/>
      <c r="H38" s="154"/>
      <c r="I38" s="154"/>
      <c r="J38" s="75"/>
      <c r="K38" s="75"/>
      <c r="L38" s="75"/>
      <c r="M38" s="75"/>
      <c r="N38" s="154"/>
      <c r="O38" s="154"/>
      <c r="P38" s="154"/>
      <c r="Q38" s="54"/>
      <c r="R38" s="42">
        <v>0</v>
      </c>
      <c r="S38" s="128">
        <v>0</v>
      </c>
      <c r="T38" s="13">
        <f t="shared" si="6"/>
        <v>0</v>
      </c>
    </row>
    <row r="39" spans="1:23" x14ac:dyDescent="0.25">
      <c r="A39" s="51" t="s">
        <v>136</v>
      </c>
      <c r="B39" s="137"/>
      <c r="C39" s="26">
        <f t="shared" ref="C39:E39" si="12">C29+C30+C31+C32+C33+C34+C35</f>
        <v>172089.27129999999</v>
      </c>
      <c r="D39" s="101">
        <f t="shared" si="12"/>
        <v>645721.97869999998</v>
      </c>
      <c r="E39" s="114">
        <f t="shared" si="12"/>
        <v>584859.30999999994</v>
      </c>
      <c r="F39" s="138">
        <f>D39 - C39</f>
        <v>473632.70739999996</v>
      </c>
      <c r="G39" s="163">
        <f>D39 - E39</f>
        <v>60862.668700000038</v>
      </c>
      <c r="H39" s="14">
        <f t="shared" ref="H39:J39" si="13">H29+H30+H31+H32+H33+H34+H35</f>
        <v>12860835.065599998</v>
      </c>
      <c r="I39" s="95">
        <f t="shared" si="13"/>
        <v>12543729.410699999</v>
      </c>
      <c r="J39" s="248">
        <f t="shared" si="13"/>
        <v>12032662.290000001</v>
      </c>
      <c r="K39" s="250"/>
      <c r="L39" s="248">
        <f>I39 - H39</f>
        <v>-317105.6548999995</v>
      </c>
      <c r="M39" s="249"/>
      <c r="N39" s="144">
        <f>I39 - J39</f>
        <v>511067.12069999799</v>
      </c>
      <c r="O39" s="14">
        <f t="shared" ref="O39:Q39" si="14">O29+O30+O31+O32+O33+O34+O35</f>
        <v>0</v>
      </c>
      <c r="P39" s="114">
        <f t="shared" si="14"/>
        <v>0</v>
      </c>
      <c r="Q39" s="4">
        <f t="shared" si="14"/>
        <v>0</v>
      </c>
      <c r="R39" s="114">
        <f t="shared" ref="R39:S39" si="15">R29+R30+R31+R32+R33+R34+R35+R38</f>
        <v>22198743.294199999</v>
      </c>
      <c r="S39" s="14">
        <f t="shared" si="15"/>
        <v>23043413.686999999</v>
      </c>
      <c r="T39" s="13">
        <f t="shared" si="6"/>
        <v>-844670.39279999956</v>
      </c>
      <c r="U39" s="134"/>
      <c r="V39" s="265">
        <f>IF(H39=0,"-",(I39/H39))</f>
        <v>0.97534330754709775</v>
      </c>
      <c r="W39" s="265">
        <f>IF(J39=0,"-",(I39/J39))</f>
        <v>1.0424733203993211</v>
      </c>
    </row>
    <row r="40" spans="1:23" x14ac:dyDescent="0.25">
      <c r="A40" s="116" t="s">
        <v>25</v>
      </c>
      <c r="B40" s="31"/>
      <c r="C40" s="25"/>
      <c r="D40" s="110"/>
      <c r="E40" s="110"/>
      <c r="F40" s="110"/>
      <c r="G40" s="110"/>
      <c r="H40" s="110"/>
      <c r="I40" s="110"/>
      <c r="J40" s="41"/>
      <c r="K40" s="41"/>
      <c r="L40" s="41"/>
      <c r="M40" s="41"/>
      <c r="N40" s="110"/>
      <c r="O40" s="110"/>
      <c r="P40" s="110"/>
      <c r="Q40" s="12"/>
      <c r="R40" s="103">
        <v>4801257</v>
      </c>
      <c r="S40" s="25"/>
      <c r="T40" s="15"/>
    </row>
    <row r="41" spans="1:23" ht="15.75" thickBot="1" x14ac:dyDescent="0.3">
      <c r="A41" s="35" t="s">
        <v>77</v>
      </c>
      <c r="B41" s="182"/>
      <c r="C41" s="183">
        <f t="shared" ref="C41:J41" si="16">C39</f>
        <v>172089.27129999999</v>
      </c>
      <c r="D41" s="132">
        <f t="shared" si="16"/>
        <v>645721.97869999998</v>
      </c>
      <c r="E41" s="47">
        <f t="shared" si="16"/>
        <v>584859.30999999994</v>
      </c>
      <c r="F41" s="160">
        <f t="shared" si="16"/>
        <v>473632.70739999996</v>
      </c>
      <c r="G41" s="10">
        <f t="shared" si="16"/>
        <v>60862.668700000038</v>
      </c>
      <c r="H41" s="160">
        <f t="shared" si="16"/>
        <v>12860835.065599998</v>
      </c>
      <c r="I41" s="132">
        <f t="shared" si="16"/>
        <v>12543729.410699999</v>
      </c>
      <c r="J41" s="246">
        <f t="shared" si="16"/>
        <v>12032662.290000001</v>
      </c>
      <c r="K41" s="251"/>
      <c r="L41" s="246">
        <f>L39</f>
        <v>-317105.6548999995</v>
      </c>
      <c r="M41" s="247"/>
      <c r="N41" s="10">
        <f>I41 - J41</f>
        <v>511067.12069999799</v>
      </c>
      <c r="O41" s="184">
        <f t="shared" ref="O41:Q41" si="17">O39</f>
        <v>0</v>
      </c>
      <c r="P41" s="47">
        <f t="shared" si="17"/>
        <v>0</v>
      </c>
      <c r="Q41" s="185">
        <f t="shared" si="17"/>
        <v>0</v>
      </c>
      <c r="R41" s="160">
        <f>R39 + R40</f>
        <v>27000000.294199999</v>
      </c>
      <c r="S41" s="186"/>
      <c r="T41" s="187"/>
    </row>
    <row r="42" spans="1:23" x14ac:dyDescent="0.2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23" x14ac:dyDescent="0.2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N43" s="118">
        <f>S39-J39</f>
        <v>11010751.396999998</v>
      </c>
      <c r="O43" s="124"/>
      <c r="P43" s="124"/>
      <c r="Q43" s="124"/>
      <c r="R43" s="88" t="s">
        <v>165</v>
      </c>
      <c r="S43" s="124"/>
      <c r="T43" s="124"/>
    </row>
    <row r="44" spans="1:23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N44" s="118">
        <f>R39-I39</f>
        <v>9655013.8835000005</v>
      </c>
      <c r="O44" s="124"/>
      <c r="P44" s="124"/>
      <c r="Q44" s="124"/>
      <c r="R44" s="88" t="s">
        <v>167</v>
      </c>
      <c r="S44" s="124"/>
      <c r="T44" s="124"/>
    </row>
    <row r="45" spans="1:23" x14ac:dyDescent="0.2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N45" s="34">
        <f>R40/N44</f>
        <v>0.4972812113926775</v>
      </c>
      <c r="O45" s="124"/>
      <c r="P45" s="124"/>
      <c r="Q45" s="124"/>
      <c r="R45" s="88" t="s">
        <v>108</v>
      </c>
      <c r="S45" s="124"/>
      <c r="T45" s="124"/>
    </row>
    <row r="46" spans="1:23" x14ac:dyDescent="0.2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34">
        <f>H39/R39</f>
        <v>0.57934969088814259</v>
      </c>
      <c r="O46" s="124"/>
      <c r="P46" s="124"/>
      <c r="Q46" s="124"/>
      <c r="R46" s="88" t="s">
        <v>118</v>
      </c>
      <c r="S46" s="124"/>
      <c r="T46" s="124"/>
    </row>
    <row r="47" spans="1:23" x14ac:dyDescent="0.2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34">
        <f>I39/R39</f>
        <v>0.56506484373722976</v>
      </c>
      <c r="O47" s="124"/>
      <c r="P47" s="124"/>
      <c r="Q47" s="124"/>
      <c r="R47" s="88" t="s">
        <v>159</v>
      </c>
      <c r="S47" s="124"/>
      <c r="T47" s="124"/>
    </row>
    <row r="48" spans="1:23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34">
        <f>J39/R39</f>
        <v>0.54204249900686263</v>
      </c>
      <c r="O48" s="124"/>
      <c r="P48" s="124"/>
      <c r="Q48" s="124"/>
      <c r="R48" s="88" t="s">
        <v>85</v>
      </c>
      <c r="S48" s="124"/>
      <c r="T48" s="124"/>
    </row>
    <row r="49" spans="1:20" x14ac:dyDescent="0.2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x14ac:dyDescent="0.25">
      <c r="A50" s="254" t="s">
        <v>4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</row>
    <row r="51" spans="1:20" x14ac:dyDescent="0.25">
      <c r="A51" s="255" t="s">
        <v>109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</row>
    <row r="52" spans="1:20" x14ac:dyDescent="0.25">
      <c r="A52" s="255" t="s">
        <v>133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</row>
    <row r="53" spans="1:20" x14ac:dyDescent="0.25">
      <c r="A53" s="255" t="s">
        <v>78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</row>
    <row r="54" spans="1:20" x14ac:dyDescent="0.25">
      <c r="A54" s="252" t="s">
        <v>10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</row>
  </sheetData>
  <mergeCells count="75">
    <mergeCell ref="A54:T54"/>
    <mergeCell ref="A50:T50"/>
    <mergeCell ref="A51:T51"/>
    <mergeCell ref="A52:T52"/>
    <mergeCell ref="A53:T53"/>
    <mergeCell ref="L35:M35"/>
    <mergeCell ref="J35:K35"/>
    <mergeCell ref="J37:K37"/>
    <mergeCell ref="L41:M41"/>
    <mergeCell ref="L37:M37"/>
    <mergeCell ref="L39:M39"/>
    <mergeCell ref="J36:K36"/>
    <mergeCell ref="J39:K39"/>
    <mergeCell ref="L36:M36"/>
    <mergeCell ref="J41:K41"/>
    <mergeCell ref="L32:M32"/>
    <mergeCell ref="J32:K32"/>
    <mergeCell ref="L33:M33"/>
    <mergeCell ref="J33:K33"/>
    <mergeCell ref="L34:M34"/>
    <mergeCell ref="J34:K34"/>
    <mergeCell ref="L29:M29"/>
    <mergeCell ref="J29:K29"/>
    <mergeCell ref="L30:M30"/>
    <mergeCell ref="J30:K30"/>
    <mergeCell ref="L31:M31"/>
    <mergeCell ref="J31:K31"/>
    <mergeCell ref="H1:M1"/>
    <mergeCell ref="R24:T24"/>
    <mergeCell ref="A12:T12"/>
    <mergeCell ref="A16:H16"/>
    <mergeCell ref="R15:T15"/>
    <mergeCell ref="I15:K15"/>
    <mergeCell ref="E15:F15"/>
    <mergeCell ref="L15:N15"/>
    <mergeCell ref="E13:F13"/>
    <mergeCell ref="I14:K14"/>
    <mergeCell ref="E3:P3"/>
    <mergeCell ref="E4:P4"/>
    <mergeCell ref="A2:T2"/>
    <mergeCell ref="C13:D13"/>
    <mergeCell ref="G13:H13"/>
    <mergeCell ref="E14:F14"/>
    <mergeCell ref="J28:K28"/>
    <mergeCell ref="C14:D14"/>
    <mergeCell ref="A20:B20"/>
    <mergeCell ref="J27:K27"/>
    <mergeCell ref="G15:H15"/>
    <mergeCell ref="A22:B22"/>
    <mergeCell ref="A21:B21"/>
    <mergeCell ref="C15:D15"/>
    <mergeCell ref="A28:B28"/>
    <mergeCell ref="I16:T16"/>
    <mergeCell ref="G14:H14"/>
    <mergeCell ref="L28:M28"/>
    <mergeCell ref="L26:M26"/>
    <mergeCell ref="A24:B24"/>
    <mergeCell ref="C24:G24"/>
    <mergeCell ref="A27:B27"/>
    <mergeCell ref="A25:B25"/>
    <mergeCell ref="I13:K13"/>
    <mergeCell ref="A23:T23"/>
    <mergeCell ref="L25:N25"/>
    <mergeCell ref="A26:B26"/>
    <mergeCell ref="H24:N24"/>
    <mergeCell ref="J26:K26"/>
    <mergeCell ref="L14:N14"/>
    <mergeCell ref="L27:M27"/>
    <mergeCell ref="O13:Q13"/>
    <mergeCell ref="O15:Q15"/>
    <mergeCell ref="I19:M19"/>
    <mergeCell ref="L13:N13"/>
    <mergeCell ref="J25:K25"/>
    <mergeCell ref="O19:Q19"/>
    <mergeCell ref="O24:Q25"/>
  </mergeCells>
  <pageMargins left="0.2" right="0.2" top="0.5" bottom="0.5" header="0.3" footer="0.3"/>
  <pageSetup paperSize="9" scale="85" fitToHeight="100" pageOrder="overThenDown" orientation="landscape" r:id="rId1"/>
  <headerFooter>
    <oddHeader>&amp;LsPH MIE Current&amp;RsPH MIE Current as of data date</oddHeader>
    <oddFooter>&amp;L(c) Deltek, Inc.&amp;C&amp;P of &amp;N&amp;RDate Printed: 09/18/2020 1:52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0"/>
  <sheetViews>
    <sheetView topLeftCell="A10" zoomScale="90" workbookViewId="0">
      <selection activeCell="O43" sqref="O43"/>
    </sheetView>
  </sheetViews>
  <sheetFormatPr defaultRowHeight="15" x14ac:dyDescent="0.25"/>
  <cols>
    <col min="1" max="1" width="28.42578125" style="43" customWidth="1"/>
    <col min="2" max="10" width="13.7109375" style="43" customWidth="1"/>
    <col min="11" max="14" width="7.28515625" style="43" customWidth="1"/>
    <col min="15" max="15" width="13.7109375" style="43" customWidth="1"/>
    <col min="16" max="18" width="13.7109375" style="43" hidden="1" customWidth="1"/>
    <col min="19" max="21" width="13.7109375" style="43" customWidth="1"/>
    <col min="22" max="16384" width="9.140625" style="43"/>
  </cols>
  <sheetData>
    <row r="1" spans="1:21" ht="17.25" customHeight="1" x14ac:dyDescent="0.25">
      <c r="A1" s="43" t="s">
        <v>127</v>
      </c>
      <c r="I1" s="233" t="s">
        <v>100</v>
      </c>
      <c r="J1" s="233"/>
      <c r="K1" s="233"/>
      <c r="L1" s="233"/>
      <c r="M1" s="233"/>
      <c r="N1" s="233"/>
    </row>
    <row r="2" spans="1:21" ht="15.75" thickBot="1" x14ac:dyDescent="0.3">
      <c r="A2" s="43" t="s">
        <v>127</v>
      </c>
      <c r="B2" s="241" t="s">
        <v>61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18.75" x14ac:dyDescent="0.3">
      <c r="A3" s="43" t="s">
        <v>127</v>
      </c>
      <c r="B3" s="113"/>
      <c r="C3" s="5"/>
      <c r="D3" s="5"/>
      <c r="E3" s="5"/>
      <c r="F3" s="239" t="s">
        <v>137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131"/>
      <c r="S3" s="149"/>
      <c r="T3" s="106" t="s">
        <v>204</v>
      </c>
      <c r="U3" s="109"/>
    </row>
    <row r="4" spans="1:21" ht="19.5" thickBot="1" x14ac:dyDescent="0.35">
      <c r="A4" s="43" t="s">
        <v>127</v>
      </c>
      <c r="B4" s="92"/>
      <c r="C4" s="55"/>
      <c r="D4" s="55"/>
      <c r="E4" s="55"/>
      <c r="F4" s="240" t="s">
        <v>37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162" t="s">
        <v>154</v>
      </c>
      <c r="S4" s="38" t="s">
        <v>69</v>
      </c>
      <c r="T4" s="91" t="s">
        <v>14</v>
      </c>
      <c r="U4" s="73"/>
    </row>
    <row r="5" spans="1:21" ht="15.75" thickBot="1" x14ac:dyDescent="0.3">
      <c r="A5" s="43" t="s">
        <v>127</v>
      </c>
      <c r="B5" s="82" t="s">
        <v>63</v>
      </c>
      <c r="C5" s="70"/>
      <c r="D5" s="70"/>
      <c r="E5" s="17"/>
      <c r="F5" s="82" t="s">
        <v>116</v>
      </c>
      <c r="G5" s="70"/>
      <c r="H5" s="70"/>
      <c r="I5" s="70"/>
      <c r="J5" s="17"/>
      <c r="K5" s="82" t="s">
        <v>16</v>
      </c>
      <c r="L5" s="72"/>
      <c r="M5" s="72"/>
      <c r="N5" s="70"/>
      <c r="O5" s="70"/>
      <c r="P5" s="70"/>
      <c r="Q5" s="70"/>
      <c r="R5" s="17"/>
      <c r="S5" s="82" t="s">
        <v>81</v>
      </c>
      <c r="T5" s="70"/>
      <c r="U5" s="17"/>
    </row>
    <row r="6" spans="1:21" x14ac:dyDescent="0.25">
      <c r="A6" s="43" t="s">
        <v>127</v>
      </c>
      <c r="B6" s="145" t="s">
        <v>90</v>
      </c>
      <c r="C6" s="23"/>
      <c r="D6" s="23"/>
      <c r="E6" s="2"/>
      <c r="F6" s="78" t="s">
        <v>90</v>
      </c>
      <c r="G6" s="111"/>
      <c r="H6" s="111"/>
      <c r="I6" s="111"/>
      <c r="J6" s="140"/>
      <c r="K6" s="78" t="s">
        <v>90</v>
      </c>
      <c r="L6" s="155"/>
      <c r="M6" s="155"/>
      <c r="N6" s="111"/>
      <c r="O6" s="111"/>
      <c r="P6" s="111"/>
      <c r="Q6" s="111"/>
      <c r="R6" s="140"/>
      <c r="S6" s="78" t="s">
        <v>6</v>
      </c>
      <c r="T6" s="111"/>
      <c r="U6" s="140"/>
    </row>
    <row r="7" spans="1:21" ht="15.75" thickBot="1" x14ac:dyDescent="0.3">
      <c r="A7" s="43" t="s">
        <v>127</v>
      </c>
      <c r="B7" s="151" t="s">
        <v>208</v>
      </c>
      <c r="C7" s="143"/>
      <c r="D7" s="166"/>
      <c r="E7" s="87"/>
      <c r="F7" s="148" t="s">
        <v>29</v>
      </c>
      <c r="G7" s="166"/>
      <c r="H7" s="166"/>
      <c r="I7" s="166"/>
      <c r="J7" s="87"/>
      <c r="K7" s="148" t="s">
        <v>202</v>
      </c>
      <c r="L7" s="143"/>
      <c r="M7" s="143"/>
      <c r="N7" s="166"/>
      <c r="O7" s="166"/>
      <c r="P7" s="166"/>
      <c r="Q7" s="166"/>
      <c r="R7" s="87"/>
      <c r="S7" s="86"/>
      <c r="T7" s="23"/>
      <c r="U7" s="169"/>
    </row>
    <row r="8" spans="1:21" ht="15.75" thickBot="1" x14ac:dyDescent="0.3">
      <c r="A8" s="43" t="s">
        <v>127</v>
      </c>
      <c r="B8" s="78" t="s">
        <v>156</v>
      </c>
      <c r="C8" s="111"/>
      <c r="D8" s="111"/>
      <c r="E8" s="140"/>
      <c r="F8" s="78" t="s">
        <v>67</v>
      </c>
      <c r="G8" s="111"/>
      <c r="H8" s="111"/>
      <c r="I8" s="111"/>
      <c r="J8" s="140"/>
      <c r="K8" s="78" t="s">
        <v>157</v>
      </c>
      <c r="L8" s="155"/>
      <c r="M8" s="155"/>
      <c r="N8" s="111"/>
      <c r="O8" s="111"/>
      <c r="P8" s="111"/>
      <c r="Q8" s="111"/>
      <c r="R8" s="111"/>
      <c r="S8" s="11" t="s">
        <v>155</v>
      </c>
      <c r="T8" s="84"/>
      <c r="U8" s="175"/>
    </row>
    <row r="9" spans="1:21" ht="15.75" thickBot="1" x14ac:dyDescent="0.3">
      <c r="A9" s="43" t="s">
        <v>127</v>
      </c>
      <c r="B9" s="18" t="s">
        <v>199</v>
      </c>
      <c r="C9" s="159"/>
      <c r="D9" s="23"/>
      <c r="E9" s="2"/>
      <c r="F9" s="148" t="s">
        <v>176</v>
      </c>
      <c r="G9" s="166"/>
      <c r="H9" s="166"/>
      <c r="I9" s="166"/>
      <c r="J9" s="87"/>
      <c r="K9" s="148" t="s">
        <v>94</v>
      </c>
      <c r="L9" s="170"/>
      <c r="M9" s="170"/>
      <c r="N9" s="170"/>
      <c r="O9" s="166"/>
      <c r="P9" s="166"/>
      <c r="Q9" s="166"/>
      <c r="R9" s="87"/>
      <c r="S9" s="145" t="s">
        <v>35</v>
      </c>
      <c r="T9" s="23"/>
      <c r="U9" s="2"/>
    </row>
    <row r="10" spans="1:21" x14ac:dyDescent="0.25">
      <c r="A10" s="43" t="s">
        <v>127</v>
      </c>
      <c r="B10" s="107"/>
      <c r="C10" s="23"/>
      <c r="D10" s="23"/>
      <c r="E10" s="2"/>
      <c r="F10" s="78" t="s">
        <v>150</v>
      </c>
      <c r="G10" s="111"/>
      <c r="H10" s="140"/>
      <c r="I10" s="78" t="s">
        <v>209</v>
      </c>
      <c r="J10" s="140"/>
      <c r="K10" s="78" t="s">
        <v>122</v>
      </c>
      <c r="L10" s="78"/>
      <c r="M10" s="155"/>
      <c r="N10" s="111"/>
      <c r="O10" s="111"/>
      <c r="P10" s="111"/>
      <c r="Q10" s="111"/>
      <c r="R10" s="140"/>
      <c r="S10" s="107"/>
      <c r="T10" s="23"/>
      <c r="U10" s="2"/>
    </row>
    <row r="11" spans="1:21" ht="15.75" thickBot="1" x14ac:dyDescent="0.3">
      <c r="A11" s="43" t="s">
        <v>127</v>
      </c>
      <c r="B11" s="30"/>
      <c r="C11" s="166"/>
      <c r="D11" s="166"/>
      <c r="E11" s="87"/>
      <c r="F11" s="148" t="s">
        <v>0</v>
      </c>
      <c r="G11" s="166"/>
      <c r="H11" s="87"/>
      <c r="I11" s="148" t="s">
        <v>142</v>
      </c>
      <c r="J11" s="87"/>
      <c r="K11" s="16" t="s">
        <v>162</v>
      </c>
      <c r="L11" s="173" t="s">
        <v>174</v>
      </c>
      <c r="M11" s="173" t="s">
        <v>192</v>
      </c>
      <c r="N11" s="135" t="s">
        <v>205</v>
      </c>
      <c r="O11" s="39" t="s">
        <v>126</v>
      </c>
      <c r="P11" s="178"/>
      <c r="Q11" s="180"/>
      <c r="R11" s="89"/>
      <c r="S11" s="11" t="s">
        <v>41</v>
      </c>
      <c r="T11" s="84"/>
      <c r="U11" s="175"/>
    </row>
    <row r="12" spans="1:21" ht="15.75" thickBot="1" x14ac:dyDescent="0.3">
      <c r="A12" s="43" t="s">
        <v>127</v>
      </c>
      <c r="B12" s="209" t="s">
        <v>76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1"/>
    </row>
    <row r="13" spans="1:21" x14ac:dyDescent="0.25">
      <c r="A13" s="43" t="s">
        <v>127</v>
      </c>
      <c r="B13" s="74" t="s">
        <v>40</v>
      </c>
      <c r="C13" s="106" t="s">
        <v>51</v>
      </c>
      <c r="D13" s="197" t="s">
        <v>56</v>
      </c>
      <c r="E13" s="199"/>
      <c r="F13" s="197" t="s">
        <v>97</v>
      </c>
      <c r="G13" s="199"/>
      <c r="H13" s="197" t="s">
        <v>153</v>
      </c>
      <c r="I13" s="199"/>
      <c r="J13" s="197" t="s">
        <v>189</v>
      </c>
      <c r="K13" s="198"/>
      <c r="L13" s="199"/>
      <c r="M13" s="197" t="s">
        <v>110</v>
      </c>
      <c r="N13" s="198"/>
      <c r="O13" s="199"/>
      <c r="P13" s="190" t="s">
        <v>50</v>
      </c>
      <c r="Q13" s="191"/>
      <c r="R13" s="192"/>
      <c r="S13" s="181" t="s">
        <v>200</v>
      </c>
      <c r="T13" s="121"/>
      <c r="U13" s="59"/>
    </row>
    <row r="14" spans="1:21" x14ac:dyDescent="0.25">
      <c r="A14" s="43" t="s">
        <v>127</v>
      </c>
      <c r="B14" s="7"/>
      <c r="C14" s="145" t="s">
        <v>188</v>
      </c>
      <c r="D14" s="188" t="s">
        <v>145</v>
      </c>
      <c r="E14" s="189"/>
      <c r="F14" s="188"/>
      <c r="G14" s="242"/>
      <c r="H14" s="188"/>
      <c r="I14" s="189"/>
      <c r="J14" s="218"/>
      <c r="K14" s="219"/>
      <c r="L14" s="220"/>
      <c r="M14" s="218" t="s">
        <v>60</v>
      </c>
      <c r="N14" s="219"/>
      <c r="O14" s="220"/>
      <c r="P14" s="141"/>
      <c r="Q14" s="104"/>
      <c r="R14" s="104"/>
      <c r="S14" s="69"/>
      <c r="T14" s="37"/>
      <c r="U14" s="97"/>
    </row>
    <row r="15" spans="1:21" ht="15.75" thickBot="1" x14ac:dyDescent="0.3">
      <c r="A15" s="43" t="s">
        <v>127</v>
      </c>
      <c r="B15" s="68" t="s">
        <v>65</v>
      </c>
      <c r="C15" s="68" t="s">
        <v>74</v>
      </c>
      <c r="D15" s="193" t="s">
        <v>88</v>
      </c>
      <c r="E15" s="223"/>
      <c r="F15" s="193" t="s">
        <v>80</v>
      </c>
      <c r="G15" s="194"/>
      <c r="H15" s="193" t="s">
        <v>55</v>
      </c>
      <c r="I15" s="223"/>
      <c r="J15" s="194" t="s">
        <v>58</v>
      </c>
      <c r="K15" s="194"/>
      <c r="L15" s="193"/>
      <c r="M15" s="193" t="s">
        <v>70</v>
      </c>
      <c r="N15" s="194"/>
      <c r="O15" s="223"/>
      <c r="P15" s="193" t="s">
        <v>19</v>
      </c>
      <c r="Q15" s="194"/>
      <c r="R15" s="194"/>
      <c r="S15" s="236" t="s">
        <v>82</v>
      </c>
      <c r="T15" s="237"/>
      <c r="U15" s="238"/>
    </row>
    <row r="16" spans="1:21" ht="15.75" thickBot="1" x14ac:dyDescent="0.3">
      <c r="A16" s="43" t="s">
        <v>127</v>
      </c>
      <c r="B16" s="209" t="s">
        <v>135</v>
      </c>
      <c r="C16" s="210"/>
      <c r="D16" s="210"/>
      <c r="E16" s="210"/>
      <c r="F16" s="210"/>
      <c r="G16" s="210"/>
      <c r="H16" s="210"/>
      <c r="I16" s="211"/>
      <c r="J16" s="209" t="s">
        <v>42</v>
      </c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1"/>
    </row>
    <row r="17" spans="1:24" x14ac:dyDescent="0.25">
      <c r="A17" s="43" t="s">
        <v>127</v>
      </c>
      <c r="B17" s="127"/>
      <c r="C17" s="49"/>
      <c r="D17" s="102" t="s">
        <v>113</v>
      </c>
      <c r="E17" s="76"/>
      <c r="F17" s="102" t="s">
        <v>182</v>
      </c>
      <c r="G17" s="76"/>
      <c r="H17" s="102" t="s">
        <v>201</v>
      </c>
      <c r="I17" s="76"/>
      <c r="J17" s="78" t="s">
        <v>185</v>
      </c>
      <c r="K17" s="20" t="s">
        <v>1</v>
      </c>
      <c r="L17" s="20"/>
      <c r="M17" s="20"/>
      <c r="N17" s="155"/>
      <c r="O17" s="177"/>
      <c r="P17" s="78" t="s">
        <v>57</v>
      </c>
      <c r="Q17" s="155"/>
      <c r="R17" s="155"/>
      <c r="S17" s="155"/>
      <c r="T17" s="155"/>
      <c r="U17" s="177"/>
    </row>
    <row r="18" spans="1:24" x14ac:dyDescent="0.25">
      <c r="A18" s="43" t="s">
        <v>127</v>
      </c>
      <c r="B18" s="127"/>
      <c r="C18" s="49"/>
      <c r="D18" s="176" t="s">
        <v>148</v>
      </c>
      <c r="E18" s="115"/>
      <c r="F18" s="176" t="s">
        <v>18</v>
      </c>
      <c r="G18" s="115"/>
      <c r="H18" s="71" t="s">
        <v>195</v>
      </c>
      <c r="I18" s="40"/>
      <c r="J18" s="86"/>
      <c r="K18" s="23"/>
      <c r="L18" s="23"/>
      <c r="M18" s="23"/>
      <c r="N18" s="23"/>
      <c r="O18" s="2"/>
      <c r="P18" s="86"/>
      <c r="Q18" s="159"/>
      <c r="R18" s="159"/>
      <c r="S18" s="23"/>
      <c r="T18" s="23"/>
      <c r="U18" s="2"/>
    </row>
    <row r="19" spans="1:24" ht="15.75" thickBot="1" x14ac:dyDescent="0.3">
      <c r="A19" s="43" t="s">
        <v>127</v>
      </c>
      <c r="B19" s="127"/>
      <c r="C19" s="49"/>
      <c r="D19" s="81" t="s">
        <v>30</v>
      </c>
      <c r="E19" s="115"/>
      <c r="F19" s="85" t="s">
        <v>111</v>
      </c>
      <c r="G19" s="27"/>
      <c r="H19" s="85" t="s">
        <v>186</v>
      </c>
      <c r="I19" s="27"/>
      <c r="J19" s="195" t="s">
        <v>138</v>
      </c>
      <c r="K19" s="196"/>
      <c r="L19" s="196"/>
      <c r="M19" s="196"/>
      <c r="N19" s="196"/>
      <c r="O19" s="48"/>
      <c r="P19" s="195" t="s">
        <v>191</v>
      </c>
      <c r="Q19" s="196"/>
      <c r="R19" s="196"/>
      <c r="S19" s="105"/>
      <c r="T19" s="105"/>
      <c r="U19" s="48"/>
    </row>
    <row r="20" spans="1:24" ht="15.75" thickBot="1" x14ac:dyDescent="0.3">
      <c r="A20" s="43" t="s">
        <v>127</v>
      </c>
      <c r="B20" s="197" t="s">
        <v>53</v>
      </c>
      <c r="C20" s="199"/>
      <c r="D20" s="8" t="s">
        <v>151</v>
      </c>
      <c r="E20" s="56"/>
      <c r="F20" s="67"/>
      <c r="G20" s="161"/>
      <c r="H20" s="67"/>
      <c r="I20" s="161"/>
      <c r="J20" s="78" t="s">
        <v>123</v>
      </c>
      <c r="K20" s="111"/>
      <c r="L20" s="111"/>
      <c r="M20" s="111"/>
      <c r="N20" s="111"/>
      <c r="O20" s="111"/>
      <c r="P20" s="111"/>
      <c r="Q20" s="111"/>
      <c r="R20" s="140"/>
      <c r="S20" s="78" t="s">
        <v>190</v>
      </c>
      <c r="T20" s="150" t="s">
        <v>9</v>
      </c>
      <c r="U20" s="140"/>
    </row>
    <row r="21" spans="1:24" ht="15.75" thickBot="1" x14ac:dyDescent="0.3">
      <c r="A21" s="43" t="s">
        <v>127</v>
      </c>
      <c r="B21" s="226" t="s">
        <v>184</v>
      </c>
      <c r="C21" s="227"/>
      <c r="D21" s="8" t="s">
        <v>183</v>
      </c>
      <c r="E21" s="56"/>
      <c r="F21" s="127"/>
      <c r="G21" s="21"/>
      <c r="H21" s="127"/>
      <c r="I21" s="21"/>
      <c r="J21" s="107"/>
      <c r="K21" s="23"/>
      <c r="L21" s="23"/>
      <c r="M21" s="23"/>
      <c r="N21" s="23"/>
      <c r="O21" s="23"/>
      <c r="P21" s="23"/>
      <c r="Q21" s="23"/>
      <c r="R21" s="2"/>
      <c r="S21" s="145"/>
      <c r="T21" s="23"/>
      <c r="U21" s="2"/>
    </row>
    <row r="22" spans="1:24" ht="15.75" thickBot="1" x14ac:dyDescent="0.3">
      <c r="A22" s="43" t="s">
        <v>127</v>
      </c>
      <c r="B22" s="224" t="s">
        <v>103</v>
      </c>
      <c r="C22" s="225"/>
      <c r="D22" s="83" t="s">
        <v>95</v>
      </c>
      <c r="E22" s="125"/>
      <c r="F22" s="77" t="s">
        <v>120</v>
      </c>
      <c r="G22" s="56"/>
      <c r="H22" s="77" t="s">
        <v>64</v>
      </c>
      <c r="I22" s="56"/>
      <c r="J22" s="166"/>
      <c r="K22" s="166"/>
      <c r="L22" s="166"/>
      <c r="M22" s="166"/>
      <c r="N22" s="166"/>
      <c r="O22" s="166"/>
      <c r="P22" s="166"/>
      <c r="Q22" s="166"/>
      <c r="R22" s="87"/>
      <c r="S22" s="30"/>
      <c r="T22" s="166"/>
      <c r="U22" s="87"/>
    </row>
    <row r="23" spans="1:24" ht="15.75" thickBot="1" x14ac:dyDescent="0.3">
      <c r="A23" s="43" t="s">
        <v>127</v>
      </c>
      <c r="B23" s="209" t="s">
        <v>46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1"/>
    </row>
    <row r="24" spans="1:24" ht="15.75" thickBot="1" x14ac:dyDescent="0.3">
      <c r="A24" s="43" t="s">
        <v>127</v>
      </c>
      <c r="B24" s="230" t="s">
        <v>93</v>
      </c>
      <c r="C24" s="231"/>
      <c r="D24" s="215" t="s">
        <v>114</v>
      </c>
      <c r="E24" s="216"/>
      <c r="F24" s="216"/>
      <c r="G24" s="216"/>
      <c r="H24" s="217"/>
      <c r="I24" s="215" t="s">
        <v>62</v>
      </c>
      <c r="J24" s="216"/>
      <c r="K24" s="216"/>
      <c r="L24" s="216"/>
      <c r="M24" s="216"/>
      <c r="N24" s="216"/>
      <c r="O24" s="217"/>
      <c r="P24" s="202" t="s">
        <v>73</v>
      </c>
      <c r="Q24" s="203"/>
      <c r="R24" s="204"/>
      <c r="S24" s="215" t="s">
        <v>148</v>
      </c>
      <c r="T24" s="234"/>
      <c r="U24" s="235"/>
    </row>
    <row r="25" spans="1:24" ht="15.75" thickBot="1" x14ac:dyDescent="0.3">
      <c r="A25" s="43" t="s">
        <v>127</v>
      </c>
      <c r="B25" s="207"/>
      <c r="C25" s="208"/>
      <c r="D25" s="44" t="s">
        <v>144</v>
      </c>
      <c r="E25" s="27"/>
      <c r="F25" s="139" t="s">
        <v>92</v>
      </c>
      <c r="G25" s="85" t="s">
        <v>201</v>
      </c>
      <c r="H25" s="27"/>
      <c r="I25" s="85" t="s">
        <v>144</v>
      </c>
      <c r="J25" s="27"/>
      <c r="K25" s="200" t="s">
        <v>92</v>
      </c>
      <c r="L25" s="201"/>
      <c r="M25" s="212" t="s">
        <v>201</v>
      </c>
      <c r="N25" s="213"/>
      <c r="O25" s="214"/>
      <c r="P25" s="205"/>
      <c r="Q25" s="206"/>
      <c r="R25" s="206"/>
      <c r="S25" s="146" t="s">
        <v>173</v>
      </c>
      <c r="T25" s="146" t="s">
        <v>75</v>
      </c>
      <c r="U25" s="139" t="s">
        <v>201</v>
      </c>
    </row>
    <row r="26" spans="1:24" x14ac:dyDescent="0.25">
      <c r="A26" s="43" t="s">
        <v>127</v>
      </c>
      <c r="B26" s="207"/>
      <c r="C26" s="208"/>
      <c r="D26" s="60" t="s">
        <v>149</v>
      </c>
      <c r="E26" s="139" t="s">
        <v>149</v>
      </c>
      <c r="F26" s="108" t="s">
        <v>83</v>
      </c>
      <c r="G26" s="108"/>
      <c r="H26" s="108"/>
      <c r="I26" s="139" t="s">
        <v>149</v>
      </c>
      <c r="J26" s="139" t="s">
        <v>149</v>
      </c>
      <c r="K26" s="188" t="s">
        <v>83</v>
      </c>
      <c r="L26" s="189"/>
      <c r="M26" s="200"/>
      <c r="N26" s="201"/>
      <c r="O26" s="50"/>
      <c r="P26" s="139" t="s">
        <v>130</v>
      </c>
      <c r="Q26" s="139" t="s">
        <v>28</v>
      </c>
      <c r="R26" s="146"/>
      <c r="S26" s="32"/>
      <c r="T26" s="32"/>
      <c r="U26" s="108"/>
    </row>
    <row r="27" spans="1:24" x14ac:dyDescent="0.25">
      <c r="A27" s="43" t="s">
        <v>127</v>
      </c>
      <c r="B27" s="207" t="s">
        <v>166</v>
      </c>
      <c r="C27" s="208"/>
      <c r="D27" s="99" t="s">
        <v>169</v>
      </c>
      <c r="E27" s="108" t="s">
        <v>163</v>
      </c>
      <c r="F27" s="108" t="s">
        <v>163</v>
      </c>
      <c r="G27" s="108" t="s">
        <v>28</v>
      </c>
      <c r="H27" s="108" t="s">
        <v>130</v>
      </c>
      <c r="I27" s="108" t="s">
        <v>169</v>
      </c>
      <c r="J27" s="108" t="s">
        <v>163</v>
      </c>
      <c r="K27" s="188" t="s">
        <v>163</v>
      </c>
      <c r="L27" s="189"/>
      <c r="M27" s="188" t="s">
        <v>28</v>
      </c>
      <c r="N27" s="189"/>
      <c r="O27" s="108" t="s">
        <v>130</v>
      </c>
      <c r="P27" s="108" t="s">
        <v>201</v>
      </c>
      <c r="Q27" s="108" t="s">
        <v>201</v>
      </c>
      <c r="R27" s="32" t="s">
        <v>59</v>
      </c>
      <c r="S27" s="145"/>
      <c r="T27" s="145"/>
      <c r="U27" s="50"/>
    </row>
    <row r="28" spans="1:24" x14ac:dyDescent="0.25">
      <c r="A28" s="43" t="s">
        <v>127</v>
      </c>
      <c r="B28" s="228" t="s">
        <v>30</v>
      </c>
      <c r="C28" s="229"/>
      <c r="D28" s="24" t="s">
        <v>111</v>
      </c>
      <c r="E28" s="80" t="s">
        <v>186</v>
      </c>
      <c r="F28" s="80" t="s">
        <v>43</v>
      </c>
      <c r="G28" s="80" t="s">
        <v>124</v>
      </c>
      <c r="H28" s="80" t="s">
        <v>194</v>
      </c>
      <c r="I28" s="80" t="s">
        <v>54</v>
      </c>
      <c r="J28" s="80" t="s">
        <v>139</v>
      </c>
      <c r="K28" s="221" t="s">
        <v>207</v>
      </c>
      <c r="L28" s="222"/>
      <c r="M28" s="221" t="s">
        <v>8</v>
      </c>
      <c r="N28" s="222"/>
      <c r="O28" s="80" t="s">
        <v>87</v>
      </c>
      <c r="P28" s="80" t="s">
        <v>39</v>
      </c>
      <c r="Q28" s="80" t="s">
        <v>117</v>
      </c>
      <c r="R28" s="171" t="s">
        <v>24</v>
      </c>
      <c r="S28" s="171" t="s">
        <v>99</v>
      </c>
      <c r="T28" s="171" t="s">
        <v>181</v>
      </c>
      <c r="U28" s="80" t="s">
        <v>34</v>
      </c>
      <c r="W28" s="36" t="s">
        <v>115</v>
      </c>
      <c r="X28" s="36" t="s">
        <v>91</v>
      </c>
    </row>
    <row r="29" spans="1:24" ht="18" customHeight="1" x14ac:dyDescent="0.25">
      <c r="A29" s="6" t="s">
        <v>175</v>
      </c>
      <c r="B29" s="117" t="s">
        <v>52</v>
      </c>
      <c r="C29" s="3"/>
      <c r="D29" s="157" t="s">
        <v>121</v>
      </c>
      <c r="E29" s="9" t="s">
        <v>143</v>
      </c>
      <c r="F29" s="64" t="s">
        <v>158</v>
      </c>
      <c r="G29" s="138" t="s">
        <v>98</v>
      </c>
      <c r="H29" s="112" t="s">
        <v>134</v>
      </c>
      <c r="I29" s="168" t="s">
        <v>89</v>
      </c>
      <c r="J29" s="9" t="s">
        <v>160</v>
      </c>
      <c r="K29" s="243" t="s">
        <v>3</v>
      </c>
      <c r="L29" s="245"/>
      <c r="M29" s="243" t="s">
        <v>206</v>
      </c>
      <c r="N29" s="244"/>
      <c r="O29" s="65" t="s">
        <v>44</v>
      </c>
      <c r="P29" s="62" t="s">
        <v>96</v>
      </c>
      <c r="Q29" s="167" t="s">
        <v>172</v>
      </c>
      <c r="R29" s="53" t="s">
        <v>27</v>
      </c>
      <c r="S29" s="64" t="s">
        <v>21</v>
      </c>
      <c r="T29" s="142" t="s">
        <v>22</v>
      </c>
      <c r="U29" s="13" t="s">
        <v>146</v>
      </c>
      <c r="W29" s="153" t="e">
        <f>IF(I29=0,"-",(J29/I29))</f>
        <v>#VALUE!</v>
      </c>
      <c r="X29" s="153" t="e">
        <f>IF(K29=0,"-",(J29/K29))</f>
        <v>#VALUE!</v>
      </c>
    </row>
    <row r="30" spans="1:24" x14ac:dyDescent="0.25">
      <c r="A30" s="37" t="s">
        <v>112</v>
      </c>
      <c r="B30" s="129" t="s">
        <v>152</v>
      </c>
      <c r="C30" s="45"/>
      <c r="D30" s="157" t="s">
        <v>121</v>
      </c>
      <c r="E30" s="52" t="s">
        <v>143</v>
      </c>
      <c r="F30" s="64" t="s">
        <v>158</v>
      </c>
      <c r="G30" s="138" t="s">
        <v>98</v>
      </c>
      <c r="H30" s="46" t="s">
        <v>134</v>
      </c>
      <c r="I30" s="142" t="s">
        <v>89</v>
      </c>
      <c r="J30" s="52" t="s">
        <v>160</v>
      </c>
      <c r="K30" s="243" t="s">
        <v>3</v>
      </c>
      <c r="L30" s="245"/>
      <c r="M30" s="243" t="s">
        <v>206</v>
      </c>
      <c r="N30" s="244"/>
      <c r="O30" s="152" t="s">
        <v>44</v>
      </c>
      <c r="P30" s="62" t="s">
        <v>96</v>
      </c>
      <c r="Q30" s="167" t="s">
        <v>172</v>
      </c>
      <c r="R30" s="53" t="s">
        <v>27</v>
      </c>
      <c r="S30" s="64" t="s">
        <v>21</v>
      </c>
      <c r="T30" s="142" t="s">
        <v>22</v>
      </c>
      <c r="U30" s="13" t="s">
        <v>146</v>
      </c>
    </row>
    <row r="31" spans="1:24" x14ac:dyDescent="0.25">
      <c r="A31" s="37" t="s">
        <v>196</v>
      </c>
      <c r="B31" s="129" t="s">
        <v>66</v>
      </c>
      <c r="C31" s="45"/>
      <c r="D31" s="157" t="s">
        <v>121</v>
      </c>
      <c r="E31" s="52" t="s">
        <v>143</v>
      </c>
      <c r="F31" s="64" t="s">
        <v>158</v>
      </c>
      <c r="G31" s="138" t="s">
        <v>98</v>
      </c>
      <c r="H31" s="46" t="s">
        <v>134</v>
      </c>
      <c r="I31" s="142" t="s">
        <v>89</v>
      </c>
      <c r="J31" s="52" t="s">
        <v>160</v>
      </c>
      <c r="K31" s="243" t="s">
        <v>3</v>
      </c>
      <c r="L31" s="245"/>
      <c r="M31" s="243" t="s">
        <v>206</v>
      </c>
      <c r="N31" s="244"/>
      <c r="O31" s="152" t="s">
        <v>44</v>
      </c>
      <c r="P31" s="62" t="s">
        <v>96</v>
      </c>
      <c r="Q31" s="167" t="s">
        <v>172</v>
      </c>
      <c r="R31" s="53" t="s">
        <v>27</v>
      </c>
      <c r="S31" s="64" t="s">
        <v>21</v>
      </c>
      <c r="T31" s="142" t="s">
        <v>22</v>
      </c>
      <c r="U31" s="13" t="s">
        <v>146</v>
      </c>
    </row>
    <row r="32" spans="1:24" x14ac:dyDescent="0.25">
      <c r="A32" s="37" t="s">
        <v>36</v>
      </c>
      <c r="B32" s="129" t="s">
        <v>193</v>
      </c>
      <c r="C32" s="45"/>
      <c r="D32" s="66"/>
      <c r="E32" s="154"/>
      <c r="F32" s="154"/>
      <c r="G32" s="154"/>
      <c r="H32" s="154"/>
      <c r="I32" s="154"/>
      <c r="J32" s="154"/>
      <c r="K32" s="75"/>
      <c r="L32" s="75"/>
      <c r="M32" s="75"/>
      <c r="N32" s="75"/>
      <c r="O32" s="154"/>
      <c r="P32" s="154"/>
      <c r="Q32" s="154"/>
      <c r="R32" s="54"/>
      <c r="S32" s="42" t="s">
        <v>2</v>
      </c>
      <c r="T32" s="128" t="s">
        <v>132</v>
      </c>
      <c r="U32" s="13" t="s">
        <v>146</v>
      </c>
    </row>
    <row r="33" spans="1:24" s="134" customFormat="1" x14ac:dyDescent="0.25">
      <c r="A33" s="126" t="s">
        <v>79</v>
      </c>
      <c r="B33" s="51" t="s">
        <v>136</v>
      </c>
      <c r="C33" s="137"/>
      <c r="D33" s="26" t="s">
        <v>38</v>
      </c>
      <c r="E33" s="101" t="s">
        <v>38</v>
      </c>
      <c r="F33" s="114" t="s">
        <v>38</v>
      </c>
      <c r="G33" s="138" t="s">
        <v>98</v>
      </c>
      <c r="H33" s="163" t="s">
        <v>134</v>
      </c>
      <c r="I33" s="14" t="s">
        <v>38</v>
      </c>
      <c r="J33" s="95" t="s">
        <v>38</v>
      </c>
      <c r="K33" s="248" t="s">
        <v>38</v>
      </c>
      <c r="L33" s="250"/>
      <c r="M33" s="248" t="s">
        <v>206</v>
      </c>
      <c r="N33" s="249"/>
      <c r="O33" s="144" t="s">
        <v>44</v>
      </c>
      <c r="P33" s="14" t="s">
        <v>38</v>
      </c>
      <c r="Q33" s="114" t="s">
        <v>38</v>
      </c>
      <c r="R33" s="4" t="s">
        <v>38</v>
      </c>
      <c r="S33" s="114" t="s">
        <v>180</v>
      </c>
      <c r="T33" s="14" t="s">
        <v>180</v>
      </c>
      <c r="U33" s="13" t="s">
        <v>146</v>
      </c>
      <c r="W33" s="153" t="e">
        <f>IF(I33=0,"-",(J33/I33))</f>
        <v>#VALUE!</v>
      </c>
      <c r="X33" s="153" t="e">
        <f>IF(K33=0,"-",(J33/K33))</f>
        <v>#VALUE!</v>
      </c>
    </row>
    <row r="34" spans="1:24" x14ac:dyDescent="0.25">
      <c r="A34" s="37" t="s">
        <v>36</v>
      </c>
      <c r="B34" s="116" t="s">
        <v>25</v>
      </c>
      <c r="C34" s="31"/>
      <c r="D34" s="25"/>
      <c r="E34" s="110"/>
      <c r="F34" s="110"/>
      <c r="G34" s="110"/>
      <c r="H34" s="110"/>
      <c r="I34" s="110"/>
      <c r="J34" s="110"/>
      <c r="K34" s="41"/>
      <c r="L34" s="41"/>
      <c r="M34" s="41"/>
      <c r="N34" s="41"/>
      <c r="O34" s="110"/>
      <c r="P34" s="110"/>
      <c r="Q34" s="110"/>
      <c r="R34" s="12"/>
      <c r="S34" s="103" t="s">
        <v>13</v>
      </c>
      <c r="T34" s="25"/>
      <c r="U34" s="15"/>
    </row>
    <row r="35" spans="1:24" ht="15.75" thickBot="1" x14ac:dyDescent="0.3">
      <c r="A35" s="37" t="s">
        <v>36</v>
      </c>
      <c r="B35" s="79" t="s">
        <v>77</v>
      </c>
      <c r="C35" s="133"/>
      <c r="D35" s="165" t="s">
        <v>12</v>
      </c>
      <c r="E35" s="132" t="s">
        <v>12</v>
      </c>
      <c r="F35" s="47" t="s">
        <v>12</v>
      </c>
      <c r="G35" s="160" t="s">
        <v>131</v>
      </c>
      <c r="H35" s="10" t="s">
        <v>168</v>
      </c>
      <c r="I35" s="28" t="s">
        <v>12</v>
      </c>
      <c r="J35" s="132" t="s">
        <v>12</v>
      </c>
      <c r="K35" s="246" t="s">
        <v>12</v>
      </c>
      <c r="L35" s="251"/>
      <c r="M35" s="246" t="s">
        <v>129</v>
      </c>
      <c r="N35" s="247"/>
      <c r="O35" s="10" t="s">
        <v>44</v>
      </c>
      <c r="P35" s="96" t="s">
        <v>12</v>
      </c>
      <c r="Q35" s="47" t="s">
        <v>12</v>
      </c>
      <c r="R35" s="122" t="s">
        <v>12</v>
      </c>
      <c r="S35" s="28" t="s">
        <v>141</v>
      </c>
      <c r="T35" s="174"/>
      <c r="U35" s="136"/>
    </row>
    <row r="36" spans="1:24" ht="15.75" thickBot="1" x14ac:dyDescent="0.3">
      <c r="A36" s="37" t="s">
        <v>36</v>
      </c>
      <c r="B36" s="262" t="s">
        <v>7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4"/>
    </row>
    <row r="37" spans="1:24" x14ac:dyDescent="0.25">
      <c r="A37" s="37" t="s">
        <v>36</v>
      </c>
      <c r="B37" s="147" t="s">
        <v>20</v>
      </c>
      <c r="C37" s="94"/>
      <c r="D37" s="63"/>
      <c r="E37" s="63"/>
      <c r="F37" s="63"/>
      <c r="G37" s="63"/>
      <c r="H37" s="63"/>
      <c r="I37" s="63"/>
      <c r="J37" s="63"/>
      <c r="K37" s="63"/>
      <c r="L37" s="63"/>
      <c r="M37" s="260" t="s">
        <v>177</v>
      </c>
      <c r="N37" s="261"/>
      <c r="O37" s="33" t="s">
        <v>48</v>
      </c>
      <c r="P37" s="63"/>
      <c r="Q37" s="63"/>
      <c r="R37" s="63"/>
      <c r="S37" s="63"/>
      <c r="T37" s="63"/>
      <c r="U37" s="119"/>
    </row>
    <row r="38" spans="1:24" ht="15.75" thickBot="1" x14ac:dyDescent="0.3">
      <c r="A38" s="37" t="s">
        <v>36</v>
      </c>
      <c r="B38" s="35" t="s">
        <v>210</v>
      </c>
      <c r="C38" s="1"/>
      <c r="D38" s="156"/>
      <c r="E38" s="19"/>
      <c r="F38" s="19"/>
      <c r="G38" s="19"/>
      <c r="H38" s="19"/>
      <c r="I38" s="19"/>
      <c r="J38" s="19"/>
      <c r="K38" s="19"/>
      <c r="L38" s="19"/>
      <c r="M38" s="258" t="s">
        <v>17</v>
      </c>
      <c r="N38" s="259"/>
      <c r="O38" s="123" t="s">
        <v>17</v>
      </c>
      <c r="P38" s="19"/>
      <c r="Q38" s="19"/>
      <c r="R38" s="19"/>
      <c r="S38" s="164" t="s">
        <v>120</v>
      </c>
      <c r="T38" s="164" t="s">
        <v>95</v>
      </c>
      <c r="U38" s="90" t="s">
        <v>146</v>
      </c>
    </row>
    <row r="39" spans="1:24" x14ac:dyDescent="0.25">
      <c r="A39" s="37" t="s">
        <v>36</v>
      </c>
      <c r="I39" s="257" t="s">
        <v>100</v>
      </c>
      <c r="J39" s="257"/>
      <c r="K39" s="257"/>
      <c r="L39" s="257"/>
      <c r="M39" s="257"/>
      <c r="N39" s="257"/>
    </row>
    <row r="40" spans="1:24" x14ac:dyDescent="0.25">
      <c r="A40" s="37" t="s">
        <v>36</v>
      </c>
      <c r="B40" s="242" t="s">
        <v>61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</row>
    <row r="41" spans="1:24" x14ac:dyDescent="0.25">
      <c r="A41" s="37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</row>
    <row r="42" spans="1:24" x14ac:dyDescent="0.25">
      <c r="A42" s="37" t="s">
        <v>36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O42" s="118" t="e">
        <f>T33-K33</f>
        <v>#VALUE!</v>
      </c>
      <c r="P42" s="124"/>
      <c r="Q42" s="124"/>
      <c r="R42" s="124"/>
      <c r="S42" s="88" t="s">
        <v>165</v>
      </c>
      <c r="T42" s="124"/>
      <c r="U42" s="124"/>
    </row>
    <row r="43" spans="1:24" x14ac:dyDescent="0.25">
      <c r="A43" s="37" t="s">
        <v>36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O43" s="118" t="e">
        <f>S33-J33</f>
        <v>#VALUE!</v>
      </c>
      <c r="P43" s="124"/>
      <c r="Q43" s="124"/>
      <c r="R43" s="124"/>
      <c r="S43" s="88" t="s">
        <v>167</v>
      </c>
      <c r="T43" s="124"/>
      <c r="U43" s="124"/>
    </row>
    <row r="44" spans="1:24" x14ac:dyDescent="0.25">
      <c r="A44" s="37" t="s">
        <v>36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O44" s="34" t="e">
        <f>S34/O43</f>
        <v>#VALUE!</v>
      </c>
      <c r="P44" s="124"/>
      <c r="Q44" s="124"/>
      <c r="R44" s="124"/>
      <c r="S44" s="88" t="s">
        <v>108</v>
      </c>
      <c r="T44" s="124"/>
      <c r="U44" s="124"/>
    </row>
    <row r="45" spans="1:24" x14ac:dyDescent="0.25">
      <c r="A45" s="37" t="s">
        <v>36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34" t="e">
        <f>I33/S33</f>
        <v>#VALUE!</v>
      </c>
      <c r="P45" s="124"/>
      <c r="Q45" s="124"/>
      <c r="R45" s="124"/>
      <c r="S45" s="88" t="s">
        <v>118</v>
      </c>
      <c r="T45" s="124"/>
      <c r="U45" s="124"/>
    </row>
    <row r="46" spans="1:24" x14ac:dyDescent="0.25">
      <c r="A46" s="37" t="s">
        <v>36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34" t="e">
        <f>J33/S33</f>
        <v>#VALUE!</v>
      </c>
      <c r="P46" s="124"/>
      <c r="Q46" s="124"/>
      <c r="R46" s="124"/>
      <c r="S46" s="88" t="s">
        <v>159</v>
      </c>
      <c r="T46" s="124"/>
      <c r="U46" s="124"/>
    </row>
    <row r="47" spans="1:24" x14ac:dyDescent="0.25">
      <c r="A47" s="37" t="s">
        <v>36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34" t="e">
        <f>K33/S33</f>
        <v>#VALUE!</v>
      </c>
      <c r="P47" s="124"/>
      <c r="Q47" s="124"/>
      <c r="R47" s="124"/>
      <c r="S47" s="88" t="s">
        <v>85</v>
      </c>
      <c r="T47" s="124"/>
      <c r="U47" s="124"/>
    </row>
    <row r="48" spans="1:24" x14ac:dyDescent="0.25">
      <c r="A48" s="37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x14ac:dyDescent="0.25">
      <c r="A49" s="37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x14ac:dyDescent="0.25">
      <c r="A50" s="61" t="s">
        <v>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1" x14ac:dyDescent="0.25">
      <c r="A51" s="61" t="s">
        <v>5</v>
      </c>
      <c r="B51" s="254" t="s">
        <v>4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</row>
    <row r="52" spans="1:21" x14ac:dyDescent="0.25">
      <c r="A52" s="61" t="s">
        <v>5</v>
      </c>
      <c r="B52" s="256" t="s">
        <v>84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</row>
    <row r="53" spans="1:21" x14ac:dyDescent="0.25">
      <c r="A53" s="61" t="s">
        <v>5</v>
      </c>
      <c r="B53" s="256" t="s">
        <v>197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</row>
    <row r="54" spans="1:21" x14ac:dyDescent="0.25">
      <c r="A54" s="61" t="s">
        <v>5</v>
      </c>
      <c r="B54" s="256" t="s">
        <v>45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</row>
    <row r="55" spans="1:21" x14ac:dyDescent="0.25">
      <c r="A55" s="61" t="s">
        <v>5</v>
      </c>
      <c r="B55" s="253" t="s">
        <v>49</v>
      </c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</row>
    <row r="56" spans="1:21" x14ac:dyDescent="0.25">
      <c r="O56" s="37"/>
      <c r="P56" s="120"/>
      <c r="Q56" s="120"/>
      <c r="R56" s="120"/>
      <c r="S56" s="130" t="s">
        <v>125</v>
      </c>
      <c r="T56" s="130" t="s">
        <v>101</v>
      </c>
      <c r="U56" s="130" t="s">
        <v>107</v>
      </c>
    </row>
    <row r="57" spans="1:21" x14ac:dyDescent="0.25">
      <c r="O57" s="37"/>
      <c r="P57" s="37"/>
      <c r="Q57" s="37"/>
      <c r="S57" s="58" t="s">
        <v>106</v>
      </c>
      <c r="T57" s="57" t="s">
        <v>105</v>
      </c>
      <c r="U57" s="22" t="s">
        <v>107</v>
      </c>
    </row>
    <row r="58" spans="1:21" x14ac:dyDescent="0.25">
      <c r="O58" s="37"/>
      <c r="P58" s="37"/>
      <c r="Q58" s="37"/>
    </row>
    <row r="60" spans="1:21" x14ac:dyDescent="0.25">
      <c r="O60" s="130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55:U55"/>
    <mergeCell ref="B51:U51"/>
    <mergeCell ref="B52:U52"/>
    <mergeCell ref="B53:U53"/>
    <mergeCell ref="B54:U54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ColWidth="20.85546875" defaultRowHeight="15" x14ac:dyDescent="0.25"/>
  <sheetData>
    <row r="1" spans="1:3" x14ac:dyDescent="0.25">
      <c r="A1" s="29" t="s">
        <v>47</v>
      </c>
      <c r="B1" s="29" t="s">
        <v>178</v>
      </c>
      <c r="C1" s="29" t="s">
        <v>198</v>
      </c>
    </row>
    <row r="2" spans="1:3" x14ac:dyDescent="0.25">
      <c r="A2" s="100">
        <v>44043</v>
      </c>
      <c r="B2" s="29" t="s">
        <v>128</v>
      </c>
      <c r="C2">
        <v>9664</v>
      </c>
    </row>
    <row r="3" spans="1:3" x14ac:dyDescent="0.25">
      <c r="A3" s="100">
        <v>44074</v>
      </c>
      <c r="B3" s="29" t="s">
        <v>31</v>
      </c>
      <c r="C3">
        <v>168</v>
      </c>
    </row>
    <row r="4" spans="1:3" x14ac:dyDescent="0.25">
      <c r="A4" s="100">
        <v>45930</v>
      </c>
      <c r="B4" s="29" t="s">
        <v>26</v>
      </c>
      <c r="C4">
        <v>10152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5"/>
  <sheetViews>
    <sheetView workbookViewId="0"/>
  </sheetViews>
  <sheetFormatPr defaultColWidth="20.85546875" defaultRowHeight="15" x14ac:dyDescent="0.25"/>
  <sheetData>
    <row r="1" spans="1:5" x14ac:dyDescent="0.25">
      <c r="A1" s="29" t="s">
        <v>104</v>
      </c>
      <c r="B1" s="29" t="s">
        <v>203</v>
      </c>
      <c r="C1" s="29" t="s">
        <v>47</v>
      </c>
      <c r="D1" s="29" t="s">
        <v>147</v>
      </c>
      <c r="E1" s="29" t="s">
        <v>72</v>
      </c>
    </row>
    <row r="2" spans="1:5" x14ac:dyDescent="0.25">
      <c r="A2" s="29" t="s">
        <v>11</v>
      </c>
      <c r="B2" s="29" t="s">
        <v>164</v>
      </c>
      <c r="C2" s="100">
        <v>44043</v>
      </c>
      <c r="D2" s="179">
        <v>1717169.5604000001</v>
      </c>
      <c r="E2" t="b">
        <v>1</v>
      </c>
    </row>
    <row r="3" spans="1:5" x14ac:dyDescent="0.25">
      <c r="A3" s="29" t="s">
        <v>11</v>
      </c>
      <c r="B3" s="29" t="s">
        <v>164</v>
      </c>
      <c r="C3" s="100">
        <v>44074</v>
      </c>
      <c r="D3" s="179">
        <v>22837.0677</v>
      </c>
      <c r="E3" t="b">
        <v>1</v>
      </c>
    </row>
    <row r="4" spans="1:5" x14ac:dyDescent="0.25">
      <c r="A4" s="29" t="s">
        <v>11</v>
      </c>
      <c r="B4" s="29" t="s">
        <v>164</v>
      </c>
      <c r="C4" s="100">
        <v>45930</v>
      </c>
      <c r="D4" s="179">
        <v>211671.90299999999</v>
      </c>
      <c r="E4" t="b">
        <v>1</v>
      </c>
    </row>
    <row r="5" spans="1:5" x14ac:dyDescent="0.25">
      <c r="A5" s="29" t="s">
        <v>11</v>
      </c>
      <c r="B5" s="29" t="s">
        <v>161</v>
      </c>
      <c r="C5" s="100">
        <v>44043</v>
      </c>
      <c r="D5" s="179">
        <v>1717169.5604000001</v>
      </c>
      <c r="E5" t="b">
        <v>1</v>
      </c>
    </row>
    <row r="6" spans="1:5" x14ac:dyDescent="0.25">
      <c r="A6" s="29" t="s">
        <v>11</v>
      </c>
      <c r="B6" s="29" t="s">
        <v>161</v>
      </c>
      <c r="C6" s="100">
        <v>44074</v>
      </c>
      <c r="D6" s="179">
        <v>22837.0677</v>
      </c>
      <c r="E6" t="b">
        <v>1</v>
      </c>
    </row>
    <row r="7" spans="1:5" x14ac:dyDescent="0.25">
      <c r="A7" s="29" t="s">
        <v>11</v>
      </c>
      <c r="B7" s="29" t="s">
        <v>187</v>
      </c>
      <c r="C7" s="100">
        <v>44043</v>
      </c>
      <c r="D7" s="179">
        <v>1564402.12</v>
      </c>
      <c r="E7" t="b">
        <v>1</v>
      </c>
    </row>
    <row r="8" spans="1:5" x14ac:dyDescent="0.25">
      <c r="A8" s="29" t="s">
        <v>11</v>
      </c>
      <c r="B8" s="29" t="s">
        <v>187</v>
      </c>
      <c r="C8" s="100">
        <v>44074</v>
      </c>
      <c r="D8" s="179">
        <v>26469.91</v>
      </c>
      <c r="E8" t="b">
        <v>1</v>
      </c>
    </row>
    <row r="9" spans="1:5" x14ac:dyDescent="0.25">
      <c r="A9" s="29" t="s">
        <v>11</v>
      </c>
      <c r="B9" s="29" t="s">
        <v>15</v>
      </c>
      <c r="C9" s="100">
        <v>44043</v>
      </c>
      <c r="D9" s="179">
        <v>1564402.12</v>
      </c>
      <c r="E9" t="b">
        <v>1</v>
      </c>
    </row>
    <row r="10" spans="1:5" x14ac:dyDescent="0.25">
      <c r="A10" s="29" t="s">
        <v>11</v>
      </c>
      <c r="B10" s="29" t="s">
        <v>15</v>
      </c>
      <c r="C10" s="100">
        <v>44074</v>
      </c>
      <c r="D10" s="179">
        <v>26469.91</v>
      </c>
      <c r="E10" t="b">
        <v>1</v>
      </c>
    </row>
    <row r="11" spans="1:5" x14ac:dyDescent="0.25">
      <c r="A11" s="29" t="s">
        <v>11</v>
      </c>
      <c r="B11" s="29" t="s">
        <v>15</v>
      </c>
      <c r="C11" s="100">
        <v>45930</v>
      </c>
      <c r="D11" s="179">
        <v>211671.90299999999</v>
      </c>
      <c r="E11" t="b">
        <v>1</v>
      </c>
    </row>
    <row r="12" spans="1:5" x14ac:dyDescent="0.25">
      <c r="A12" s="29" t="s">
        <v>86</v>
      </c>
      <c r="B12" s="29" t="s">
        <v>164</v>
      </c>
      <c r="C12" s="100">
        <v>44043</v>
      </c>
      <c r="D12" s="179">
        <v>2311011.679</v>
      </c>
      <c r="E12" t="b">
        <v>1</v>
      </c>
    </row>
    <row r="13" spans="1:5" x14ac:dyDescent="0.25">
      <c r="A13" s="29" t="s">
        <v>86</v>
      </c>
      <c r="B13" s="29" t="s">
        <v>164</v>
      </c>
      <c r="C13" s="100">
        <v>44074</v>
      </c>
      <c r="D13" s="179">
        <v>59447.226499999997</v>
      </c>
      <c r="E13" t="b">
        <v>1</v>
      </c>
    </row>
    <row r="14" spans="1:5" x14ac:dyDescent="0.25">
      <c r="A14" s="29" t="s">
        <v>86</v>
      </c>
      <c r="B14" s="29" t="s">
        <v>164</v>
      </c>
      <c r="C14" s="100">
        <v>45930</v>
      </c>
      <c r="D14" s="179">
        <v>1809675.8366</v>
      </c>
      <c r="E14" t="b">
        <v>1</v>
      </c>
    </row>
    <row r="15" spans="1:5" x14ac:dyDescent="0.25">
      <c r="A15" s="29" t="s">
        <v>86</v>
      </c>
      <c r="B15" s="29" t="s">
        <v>161</v>
      </c>
      <c r="C15" s="100">
        <v>44043</v>
      </c>
      <c r="D15" s="179">
        <v>1913833.0367000001</v>
      </c>
      <c r="E15" t="b">
        <v>1</v>
      </c>
    </row>
    <row r="16" spans="1:5" x14ac:dyDescent="0.25">
      <c r="A16" s="29" t="s">
        <v>86</v>
      </c>
      <c r="B16" s="29" t="s">
        <v>161</v>
      </c>
      <c r="C16" s="100">
        <v>44074</v>
      </c>
      <c r="D16" s="179">
        <v>7736.7574000000004</v>
      </c>
      <c r="E16" t="b">
        <v>1</v>
      </c>
    </row>
    <row r="17" spans="1:5" x14ac:dyDescent="0.25">
      <c r="A17" s="29" t="s">
        <v>86</v>
      </c>
      <c r="B17" s="29" t="s">
        <v>187</v>
      </c>
      <c r="C17" s="100">
        <v>44043</v>
      </c>
      <c r="D17" s="179">
        <v>1726391.09</v>
      </c>
      <c r="E17" t="b">
        <v>1</v>
      </c>
    </row>
    <row r="18" spans="1:5" x14ac:dyDescent="0.25">
      <c r="A18" s="29" t="s">
        <v>86</v>
      </c>
      <c r="B18" s="29" t="s">
        <v>187</v>
      </c>
      <c r="C18" s="100">
        <v>44074</v>
      </c>
      <c r="D18" s="179">
        <v>9785.56</v>
      </c>
      <c r="E18" t="b">
        <v>1</v>
      </c>
    </row>
    <row r="19" spans="1:5" x14ac:dyDescent="0.25">
      <c r="A19" s="29" t="s">
        <v>86</v>
      </c>
      <c r="B19" s="29" t="s">
        <v>15</v>
      </c>
      <c r="C19" s="100">
        <v>44043</v>
      </c>
      <c r="D19" s="179">
        <v>1726391.09</v>
      </c>
      <c r="E19" t="b">
        <v>1</v>
      </c>
    </row>
    <row r="20" spans="1:5" x14ac:dyDescent="0.25">
      <c r="A20" s="29" t="s">
        <v>86</v>
      </c>
      <c r="B20" s="29" t="s">
        <v>15</v>
      </c>
      <c r="C20" s="100">
        <v>44074</v>
      </c>
      <c r="D20" s="179">
        <v>9785.56</v>
      </c>
      <c r="E20" t="b">
        <v>1</v>
      </c>
    </row>
    <row r="21" spans="1:5" x14ac:dyDescent="0.25">
      <c r="A21" s="29" t="s">
        <v>86</v>
      </c>
      <c r="B21" s="29" t="s">
        <v>15</v>
      </c>
      <c r="C21" s="100">
        <v>45930</v>
      </c>
      <c r="D21" s="179">
        <v>2263527.6655999999</v>
      </c>
      <c r="E21" t="b">
        <v>1</v>
      </c>
    </row>
    <row r="22" spans="1:5" x14ac:dyDescent="0.25">
      <c r="A22" s="29" t="s">
        <v>170</v>
      </c>
      <c r="B22" s="29" t="s">
        <v>164</v>
      </c>
      <c r="C22" s="100">
        <v>44043</v>
      </c>
      <c r="D22" s="179">
        <v>3750910.6603000001</v>
      </c>
      <c r="E22" t="b">
        <v>1</v>
      </c>
    </row>
    <row r="23" spans="1:5" x14ac:dyDescent="0.25">
      <c r="A23" s="29" t="s">
        <v>170</v>
      </c>
      <c r="B23" s="29" t="s">
        <v>164</v>
      </c>
      <c r="C23" s="100">
        <v>44074</v>
      </c>
      <c r="D23" s="179">
        <v>78114.477299999999</v>
      </c>
      <c r="E23" t="b">
        <v>1</v>
      </c>
    </row>
    <row r="24" spans="1:5" x14ac:dyDescent="0.25">
      <c r="A24" s="29" t="s">
        <v>170</v>
      </c>
      <c r="B24" s="29" t="s">
        <v>164</v>
      </c>
      <c r="C24" s="100">
        <v>45930</v>
      </c>
      <c r="D24" s="179">
        <v>1426068.4443000001</v>
      </c>
      <c r="E24" t="b">
        <v>1</v>
      </c>
    </row>
    <row r="25" spans="1:5" x14ac:dyDescent="0.25">
      <c r="A25" s="29" t="s">
        <v>170</v>
      </c>
      <c r="B25" s="29" t="s">
        <v>161</v>
      </c>
      <c r="C25" s="100">
        <v>44043</v>
      </c>
      <c r="D25" s="179">
        <v>3572720.6828000001</v>
      </c>
      <c r="E25" t="b">
        <v>1</v>
      </c>
    </row>
    <row r="26" spans="1:5" x14ac:dyDescent="0.25">
      <c r="A26" s="29" t="s">
        <v>170</v>
      </c>
      <c r="B26" s="29" t="s">
        <v>161</v>
      </c>
      <c r="C26" s="100">
        <v>44074</v>
      </c>
      <c r="D26" s="179">
        <v>88227.960699999996</v>
      </c>
      <c r="E26" t="b">
        <v>1</v>
      </c>
    </row>
    <row r="27" spans="1:5" x14ac:dyDescent="0.25">
      <c r="A27" s="29" t="s">
        <v>170</v>
      </c>
      <c r="B27" s="29" t="s">
        <v>187</v>
      </c>
      <c r="C27" s="100">
        <v>44043</v>
      </c>
      <c r="D27" s="179">
        <v>3692148.62</v>
      </c>
      <c r="E27" t="b">
        <v>1</v>
      </c>
    </row>
    <row r="28" spans="1:5" x14ac:dyDescent="0.25">
      <c r="A28" s="29" t="s">
        <v>170</v>
      </c>
      <c r="B28" s="29" t="s">
        <v>187</v>
      </c>
      <c r="C28" s="100">
        <v>44074</v>
      </c>
      <c r="D28" s="179">
        <v>134123.79999999999</v>
      </c>
      <c r="E28" t="b">
        <v>1</v>
      </c>
    </row>
    <row r="29" spans="1:5" x14ac:dyDescent="0.25">
      <c r="A29" s="29" t="s">
        <v>170</v>
      </c>
      <c r="B29" s="29" t="s">
        <v>15</v>
      </c>
      <c r="C29" s="100">
        <v>44043</v>
      </c>
      <c r="D29" s="179">
        <v>3692148.62</v>
      </c>
      <c r="E29" t="b">
        <v>1</v>
      </c>
    </row>
    <row r="30" spans="1:5" x14ac:dyDescent="0.25">
      <c r="A30" s="29" t="s">
        <v>170</v>
      </c>
      <c r="B30" s="29" t="s">
        <v>15</v>
      </c>
      <c r="C30" s="100">
        <v>44074</v>
      </c>
      <c r="D30" s="179">
        <v>134123.79999999999</v>
      </c>
      <c r="E30" t="b">
        <v>1</v>
      </c>
    </row>
    <row r="31" spans="1:5" x14ac:dyDescent="0.25">
      <c r="A31" s="29" t="s">
        <v>170</v>
      </c>
      <c r="B31" s="29" t="s">
        <v>15</v>
      </c>
      <c r="C31" s="100">
        <v>45930</v>
      </c>
      <c r="D31" s="179">
        <v>1901419.4989</v>
      </c>
      <c r="E31" t="b">
        <v>1</v>
      </c>
    </row>
    <row r="32" spans="1:5" x14ac:dyDescent="0.25">
      <c r="A32" s="29" t="s">
        <v>23</v>
      </c>
      <c r="B32" s="29" t="s">
        <v>164</v>
      </c>
      <c r="C32" s="100">
        <v>44043</v>
      </c>
      <c r="D32" s="179">
        <v>2246956.6864</v>
      </c>
      <c r="E32" t="b">
        <v>1</v>
      </c>
    </row>
    <row r="33" spans="1:5" x14ac:dyDescent="0.25">
      <c r="A33" s="29" t="s">
        <v>23</v>
      </c>
      <c r="B33" s="29" t="s">
        <v>164</v>
      </c>
      <c r="C33" s="100">
        <v>44074</v>
      </c>
      <c r="D33" s="179">
        <v>1837.8965000000001</v>
      </c>
      <c r="E33" t="b">
        <v>1</v>
      </c>
    </row>
    <row r="34" spans="1:5" x14ac:dyDescent="0.25">
      <c r="A34" s="29" t="s">
        <v>23</v>
      </c>
      <c r="B34" s="29" t="s">
        <v>164</v>
      </c>
      <c r="C34" s="100">
        <v>45930</v>
      </c>
      <c r="D34" s="179">
        <v>1784315.2091000001</v>
      </c>
      <c r="E34" t="b">
        <v>1</v>
      </c>
    </row>
    <row r="35" spans="1:5" x14ac:dyDescent="0.25">
      <c r="A35" s="29" t="s">
        <v>23</v>
      </c>
      <c r="B35" s="29" t="s">
        <v>161</v>
      </c>
      <c r="C35" s="100">
        <v>44043</v>
      </c>
      <c r="D35" s="179">
        <v>2020692.6954000001</v>
      </c>
      <c r="E35" t="b">
        <v>1</v>
      </c>
    </row>
    <row r="36" spans="1:5" x14ac:dyDescent="0.25">
      <c r="A36" s="29" t="s">
        <v>23</v>
      </c>
      <c r="B36" s="29" t="s">
        <v>161</v>
      </c>
      <c r="C36" s="100">
        <v>44074</v>
      </c>
      <c r="D36" s="179">
        <v>361314.76659999997</v>
      </c>
      <c r="E36" t="b">
        <v>1</v>
      </c>
    </row>
    <row r="37" spans="1:5" x14ac:dyDescent="0.25">
      <c r="A37" s="29" t="s">
        <v>23</v>
      </c>
      <c r="B37" s="29" t="s">
        <v>187</v>
      </c>
      <c r="C37" s="100">
        <v>44043</v>
      </c>
      <c r="D37" s="179">
        <v>1855967.6</v>
      </c>
      <c r="E37" t="b">
        <v>1</v>
      </c>
    </row>
    <row r="38" spans="1:5" x14ac:dyDescent="0.25">
      <c r="A38" s="29" t="s">
        <v>23</v>
      </c>
      <c r="B38" s="29" t="s">
        <v>187</v>
      </c>
      <c r="C38" s="100">
        <v>44074</v>
      </c>
      <c r="D38" s="179">
        <v>237413.55</v>
      </c>
      <c r="E38" t="b">
        <v>1</v>
      </c>
    </row>
    <row r="39" spans="1:5" x14ac:dyDescent="0.25">
      <c r="A39" s="29" t="s">
        <v>23</v>
      </c>
      <c r="B39" s="29" t="s">
        <v>15</v>
      </c>
      <c r="C39" s="100">
        <v>44043</v>
      </c>
      <c r="D39" s="179">
        <v>1855967.6</v>
      </c>
      <c r="E39" t="b">
        <v>1</v>
      </c>
    </row>
    <row r="40" spans="1:5" x14ac:dyDescent="0.25">
      <c r="A40" s="29" t="s">
        <v>23</v>
      </c>
      <c r="B40" s="29" t="s">
        <v>15</v>
      </c>
      <c r="C40" s="100">
        <v>44074</v>
      </c>
      <c r="D40" s="179">
        <v>237413.55</v>
      </c>
      <c r="E40" t="b">
        <v>1</v>
      </c>
    </row>
    <row r="41" spans="1:5" x14ac:dyDescent="0.25">
      <c r="A41" s="29" t="s">
        <v>23</v>
      </c>
      <c r="B41" s="29" t="s">
        <v>15</v>
      </c>
      <c r="C41" s="100">
        <v>45930</v>
      </c>
      <c r="D41" s="179">
        <v>1892130.3019000001</v>
      </c>
      <c r="E41" t="b">
        <v>1</v>
      </c>
    </row>
    <row r="42" spans="1:5" x14ac:dyDescent="0.25">
      <c r="A42" s="29" t="s">
        <v>102</v>
      </c>
      <c r="B42" s="29" t="s">
        <v>164</v>
      </c>
      <c r="C42" s="100">
        <v>44043</v>
      </c>
      <c r="D42" s="179">
        <v>2321535.4064000002</v>
      </c>
      <c r="E42" t="b">
        <v>1</v>
      </c>
    </row>
    <row r="43" spans="1:5" x14ac:dyDescent="0.25">
      <c r="A43" s="29" t="s">
        <v>102</v>
      </c>
      <c r="B43" s="29" t="s">
        <v>164</v>
      </c>
      <c r="C43" s="100">
        <v>44074</v>
      </c>
      <c r="D43" s="179">
        <v>9852.6033000000007</v>
      </c>
      <c r="E43" t="b">
        <v>1</v>
      </c>
    </row>
    <row r="44" spans="1:5" x14ac:dyDescent="0.25">
      <c r="A44" s="29" t="s">
        <v>102</v>
      </c>
      <c r="B44" s="29" t="s">
        <v>164</v>
      </c>
      <c r="C44" s="100">
        <v>45930</v>
      </c>
      <c r="D44" s="179">
        <v>3032078.4180000001</v>
      </c>
      <c r="E44" t="b">
        <v>1</v>
      </c>
    </row>
    <row r="45" spans="1:5" x14ac:dyDescent="0.25">
      <c r="A45" s="29" t="s">
        <v>102</v>
      </c>
      <c r="B45" s="29" t="s">
        <v>161</v>
      </c>
      <c r="C45" s="100">
        <v>44043</v>
      </c>
      <c r="D45" s="179">
        <v>2251616.4183999998</v>
      </c>
      <c r="E45" t="b">
        <v>1</v>
      </c>
    </row>
    <row r="46" spans="1:5" x14ac:dyDescent="0.25">
      <c r="A46" s="29" t="s">
        <v>102</v>
      </c>
      <c r="B46" s="29" t="s">
        <v>161</v>
      </c>
      <c r="C46" s="100">
        <v>44074</v>
      </c>
      <c r="D46" s="179">
        <v>165605.42629999999</v>
      </c>
      <c r="E46" t="b">
        <v>1</v>
      </c>
    </row>
    <row r="47" spans="1:5" x14ac:dyDescent="0.25">
      <c r="A47" s="29" t="s">
        <v>102</v>
      </c>
      <c r="B47" s="29" t="s">
        <v>187</v>
      </c>
      <c r="C47" s="100">
        <v>44043</v>
      </c>
      <c r="D47" s="179">
        <v>2224786.2000000002</v>
      </c>
      <c r="E47" t="b">
        <v>1</v>
      </c>
    </row>
    <row r="48" spans="1:5" x14ac:dyDescent="0.25">
      <c r="A48" s="29" t="s">
        <v>102</v>
      </c>
      <c r="B48" s="29" t="s">
        <v>187</v>
      </c>
      <c r="C48" s="100">
        <v>44074</v>
      </c>
      <c r="D48" s="179">
        <v>172901.12</v>
      </c>
      <c r="E48" t="b">
        <v>1</v>
      </c>
    </row>
    <row r="49" spans="1:5" x14ac:dyDescent="0.25">
      <c r="A49" s="29" t="s">
        <v>102</v>
      </c>
      <c r="B49" s="29" t="s">
        <v>15</v>
      </c>
      <c r="C49" s="100">
        <v>44043</v>
      </c>
      <c r="D49" s="179">
        <v>2224786.2000000002</v>
      </c>
      <c r="E49" t="b">
        <v>1</v>
      </c>
    </row>
    <row r="50" spans="1:5" x14ac:dyDescent="0.25">
      <c r="A50" s="29" t="s">
        <v>102</v>
      </c>
      <c r="B50" s="29" t="s">
        <v>15</v>
      </c>
      <c r="C50" s="100">
        <v>44074</v>
      </c>
      <c r="D50" s="179">
        <v>172901.12</v>
      </c>
      <c r="E50" t="b">
        <v>1</v>
      </c>
    </row>
    <row r="51" spans="1:5" x14ac:dyDescent="0.25">
      <c r="A51" s="29" t="s">
        <v>102</v>
      </c>
      <c r="B51" s="29" t="s">
        <v>15</v>
      </c>
      <c r="C51" s="100">
        <v>45930</v>
      </c>
      <c r="D51" s="179">
        <v>3748333.2289999998</v>
      </c>
      <c r="E51" t="b">
        <v>1</v>
      </c>
    </row>
    <row r="52" spans="1:5" x14ac:dyDescent="0.25">
      <c r="A52" s="29" t="s">
        <v>179</v>
      </c>
      <c r="B52" s="29" t="s">
        <v>164</v>
      </c>
      <c r="C52" s="100">
        <v>44043</v>
      </c>
      <c r="D52" s="179">
        <v>242014.25099999999</v>
      </c>
      <c r="E52" t="b">
        <v>1</v>
      </c>
    </row>
    <row r="53" spans="1:5" x14ac:dyDescent="0.25">
      <c r="A53" s="29" t="s">
        <v>179</v>
      </c>
      <c r="B53" s="29" t="s">
        <v>164</v>
      </c>
      <c r="C53" s="100">
        <v>45930</v>
      </c>
      <c r="D53" s="179">
        <v>1003076.1449</v>
      </c>
      <c r="E53" t="b">
        <v>1</v>
      </c>
    </row>
    <row r="54" spans="1:5" x14ac:dyDescent="0.25">
      <c r="A54" s="29" t="s">
        <v>179</v>
      </c>
      <c r="B54" s="29" t="s">
        <v>161</v>
      </c>
      <c r="C54" s="100">
        <v>44043</v>
      </c>
      <c r="D54" s="179">
        <v>322827.48749999999</v>
      </c>
      <c r="E54" t="b">
        <v>1</v>
      </c>
    </row>
    <row r="55" spans="1:5" x14ac:dyDescent="0.25">
      <c r="A55" s="29" t="s">
        <v>179</v>
      </c>
      <c r="B55" s="29" t="s">
        <v>187</v>
      </c>
      <c r="C55" s="100">
        <v>44043</v>
      </c>
      <c r="D55" s="179">
        <v>305803.53999999998</v>
      </c>
      <c r="E55" t="b">
        <v>1</v>
      </c>
    </row>
    <row r="56" spans="1:5" x14ac:dyDescent="0.25">
      <c r="A56" s="29" t="s">
        <v>179</v>
      </c>
      <c r="B56" s="29" t="s">
        <v>187</v>
      </c>
      <c r="C56" s="100">
        <v>44074</v>
      </c>
      <c r="D56" s="179">
        <v>4165.37</v>
      </c>
      <c r="E56" t="b">
        <v>1</v>
      </c>
    </row>
    <row r="57" spans="1:5" x14ac:dyDescent="0.25">
      <c r="A57" s="29" t="s">
        <v>179</v>
      </c>
      <c r="B57" s="29" t="s">
        <v>15</v>
      </c>
      <c r="C57" s="100">
        <v>44043</v>
      </c>
      <c r="D57" s="179">
        <v>305803.53999999998</v>
      </c>
      <c r="E57" t="b">
        <v>1</v>
      </c>
    </row>
    <row r="58" spans="1:5" x14ac:dyDescent="0.25">
      <c r="A58" s="29" t="s">
        <v>179</v>
      </c>
      <c r="B58" s="29" t="s">
        <v>15</v>
      </c>
      <c r="C58" s="100">
        <v>44074</v>
      </c>
      <c r="D58" s="179">
        <v>4165.37</v>
      </c>
      <c r="E58" t="b">
        <v>1</v>
      </c>
    </row>
    <row r="59" spans="1:5" x14ac:dyDescent="0.25">
      <c r="A59" s="29" t="s">
        <v>179</v>
      </c>
      <c r="B59" s="29" t="s">
        <v>15</v>
      </c>
      <c r="C59" s="100">
        <v>45930</v>
      </c>
      <c r="D59" s="179">
        <v>922646.52590000001</v>
      </c>
      <c r="E59" t="b">
        <v>1</v>
      </c>
    </row>
    <row r="60" spans="1:5" x14ac:dyDescent="0.25">
      <c r="A60" s="29" t="s">
        <v>32</v>
      </c>
      <c r="B60" s="29" t="s">
        <v>164</v>
      </c>
      <c r="C60" s="100">
        <v>44043</v>
      </c>
      <c r="D60" s="179">
        <v>99147.550799999997</v>
      </c>
      <c r="E60" t="b">
        <v>1</v>
      </c>
    </row>
    <row r="61" spans="1:5" x14ac:dyDescent="0.25">
      <c r="A61" s="29" t="s">
        <v>32</v>
      </c>
      <c r="B61" s="29" t="s">
        <v>164</v>
      </c>
      <c r="C61" s="100">
        <v>45930</v>
      </c>
      <c r="D61" s="179">
        <v>71022.272700000001</v>
      </c>
      <c r="E61" t="b">
        <v>1</v>
      </c>
    </row>
    <row r="62" spans="1:5" x14ac:dyDescent="0.25">
      <c r="A62" s="29" t="s">
        <v>32</v>
      </c>
      <c r="B62" s="29" t="s">
        <v>161</v>
      </c>
      <c r="C62" s="100">
        <v>44043</v>
      </c>
      <c r="D62" s="179">
        <v>99147.550799999997</v>
      </c>
      <c r="E62" t="b">
        <v>1</v>
      </c>
    </row>
    <row r="63" spans="1:5" x14ac:dyDescent="0.25">
      <c r="A63" s="29" t="s">
        <v>32</v>
      </c>
      <c r="B63" s="29" t="s">
        <v>187</v>
      </c>
      <c r="C63" s="100">
        <v>44043</v>
      </c>
      <c r="D63" s="179">
        <v>78303.81</v>
      </c>
      <c r="E63" t="b">
        <v>1</v>
      </c>
    </row>
    <row r="64" spans="1:5" x14ac:dyDescent="0.25">
      <c r="A64" s="29" t="s">
        <v>32</v>
      </c>
      <c r="B64" s="29" t="s">
        <v>15</v>
      </c>
      <c r="C64" s="100">
        <v>44043</v>
      </c>
      <c r="D64" s="179">
        <v>78303.81</v>
      </c>
      <c r="E64" t="b">
        <v>1</v>
      </c>
    </row>
    <row r="65" spans="1:5" x14ac:dyDescent="0.25">
      <c r="A65" s="29" t="s">
        <v>32</v>
      </c>
      <c r="B65" s="29" t="s">
        <v>15</v>
      </c>
      <c r="C65" s="100">
        <v>45930</v>
      </c>
      <c r="D65" s="179">
        <v>71022.272700000001</v>
      </c>
      <c r="E65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Gutta, Rajendra Rao</dc:creator>
  <cp:lastModifiedBy>Sourikova,Irina V</cp:lastModifiedBy>
  <cp:lastPrinted>2020-09-18T17:54:45Z</cp:lastPrinted>
  <dcterms:created xsi:type="dcterms:W3CDTF">2020-09-18T17:53:17Z</dcterms:created>
  <dcterms:modified xsi:type="dcterms:W3CDTF">2020-09-21T16:10:44Z</dcterms:modified>
</cp:coreProperties>
</file>