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63B917AA-FAE3-4F8C-A106-7DC7FA7A20ED}" xr6:coauthVersionLast="47" xr6:coauthVersionMax="47" xr10:uidLastSave="{00000000-0000-0000-0000-000000000000}"/>
  <bookViews>
    <workbookView xWindow="-108" yWindow="-108" windowWidth="23256" windowHeight="12576" tabRatio="661" activeTab="5" xr2:uid="{F032C20C-6369-4DE1-9CBB-F9AD128439B4}"/>
  </bookViews>
  <sheets>
    <sheet name="ETC sheet-Cat A" sheetId="13" r:id="rId1"/>
    <sheet name="ETC sheet-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ETC sheet-Cat T_BT" sheetId="12" state="hidden" r:id="rId7"/>
    <sheet name="ETC sheet-Cat B" sheetId="10" state="hidden" r:id="rId8"/>
    <sheet name="ETC sheet-All incomplete" sheetId="9" state="hidden" r:id="rId9"/>
    <sheet name="ETC sheet-full" sheetId="4" state="hidden" r:id="rId10"/>
    <sheet name="forecast data dump" sheetId="5" state="hidden" r:id="rId11"/>
  </sheets>
  <definedNames>
    <definedName name="_xlnm._FilterDatabase" localSheetId="8" hidden="1">'ETC sheet-All incomplete'!$A$2:$N$1812</definedName>
    <definedName name="_xlnm._FilterDatabase" localSheetId="0" hidden="1">'ETC sheet-Cat A'!$A$2:$N$147</definedName>
    <definedName name="_xlnm._FilterDatabase" localSheetId="7" hidden="1">'ETC sheet-Cat B'!$A$2:$N$134</definedName>
    <definedName name="_xlnm._FilterDatabase" localSheetId="1" hidden="1">'ETC sheet-Cat C'!$A$2:$N$1292</definedName>
    <definedName name="_xlnm._FilterDatabase" localSheetId="6" hidden="1">'ETC sheet-Cat T_BT'!$A$2:$N$352</definedName>
    <definedName name="_xlnm._FilterDatabase" localSheetId="9" hidden="1">'ETC sheet-full'!$A$2:$N$4017</definedName>
    <definedName name="_xlnm.Print_Titles" localSheetId="0">'ETC sheet-Cat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3" i="17" l="1"/>
  <c r="F2" i="17"/>
  <c r="F7" i="17"/>
  <c r="F22" i="16"/>
  <c r="F20" i="16"/>
  <c r="F17" i="16"/>
  <c r="F15" i="16"/>
  <c r="T63" i="15"/>
  <c r="S63" i="15"/>
  <c r="T60" i="15"/>
  <c r="T56" i="15"/>
  <c r="S52" i="15"/>
  <c r="T47" i="15"/>
  <c r="T41" i="15"/>
  <c r="T26" i="15"/>
  <c r="T17" i="15"/>
  <c r="T11" i="15"/>
  <c r="T14" i="15"/>
  <c r="S2" i="15"/>
  <c r="F9" i="17" l="1"/>
  <c r="T95" i="14"/>
  <c r="S95" i="14"/>
  <c r="T92" i="14"/>
  <c r="T84" i="14"/>
  <c r="S79" i="14"/>
  <c r="O79" i="14"/>
  <c r="T74" i="14"/>
  <c r="T57" i="14"/>
  <c r="T43" i="14"/>
  <c r="S36" i="14"/>
  <c r="S32" i="14"/>
  <c r="T25" i="14"/>
  <c r="T11" i="14"/>
  <c r="S21" i="14"/>
  <c r="S6" i="14"/>
  <c r="S2" i="14"/>
  <c r="O92" i="14"/>
  <c r="O84" i="14"/>
  <c r="F22" i="17" l="1"/>
  <c r="F15" i="17"/>
  <c r="F17" i="17" s="1"/>
  <c r="F20" i="17" s="1"/>
  <c r="R60" i="15"/>
  <c r="R56" i="15"/>
  <c r="R52" i="15"/>
  <c r="R47" i="15"/>
  <c r="R41" i="15"/>
  <c r="R17" i="15"/>
  <c r="R14" i="15"/>
  <c r="R11" i="15"/>
  <c r="P60" i="15"/>
  <c r="P56" i="15"/>
  <c r="P52" i="15"/>
  <c r="P47" i="15"/>
  <c r="P41" i="15"/>
  <c r="P17" i="15"/>
  <c r="P11" i="15"/>
  <c r="R2" i="15"/>
  <c r="P2" i="15"/>
  <c r="U13" i="13" l="1"/>
  <c r="U9" i="13"/>
  <c r="O60" i="15"/>
  <c r="O56" i="15"/>
  <c r="O52" i="15"/>
  <c r="O47" i="15"/>
  <c r="O41" i="15"/>
  <c r="O26" i="15"/>
  <c r="O17" i="15"/>
  <c r="O14" i="15"/>
  <c r="O11" i="15"/>
  <c r="O2" i="15"/>
  <c r="O11" i="14"/>
  <c r="U20" i="13"/>
  <c r="X60" i="14" l="1"/>
  <c r="X64" i="14" s="1"/>
  <c r="X65" i="14" s="1"/>
  <c r="X59" i="14"/>
  <c r="D5" i="16"/>
  <c r="F7" i="16" s="1"/>
  <c r="D152" i="13" l="1"/>
  <c r="M152" i="13" s="1"/>
  <c r="R152" i="13" s="1"/>
  <c r="O57" i="14"/>
  <c r="R6" i="14"/>
  <c r="O87" i="14"/>
  <c r="O74" i="14"/>
  <c r="O54" i="14"/>
  <c r="O50" i="14"/>
  <c r="O43" i="14"/>
  <c r="O36" i="14"/>
  <c r="O32" i="14"/>
  <c r="O25" i="14"/>
  <c r="O21" i="14"/>
  <c r="O6" i="14"/>
  <c r="O2" i="14"/>
  <c r="D1294" i="11"/>
  <c r="C1294" i="11"/>
  <c r="M153" i="13"/>
  <c r="R153" i="13" s="1"/>
  <c r="S152" i="13" l="1"/>
  <c r="T152" i="13"/>
  <c r="T153" i="13"/>
  <c r="S153" i="13"/>
  <c r="D155" i="13" l="1"/>
  <c r="C149" i="13"/>
  <c r="D149" i="13"/>
  <c r="H149" i="13"/>
  <c r="G147" i="13"/>
  <c r="L147" i="13" s="1"/>
  <c r="F147" i="13"/>
  <c r="E147" i="13"/>
  <c r="G146" i="13"/>
  <c r="I146" i="13" s="1"/>
  <c r="F146" i="13"/>
  <c r="E146" i="13"/>
  <c r="G144" i="13"/>
  <c r="F144" i="13"/>
  <c r="E144" i="13"/>
  <c r="G142" i="13"/>
  <c r="F142" i="13"/>
  <c r="E142" i="13"/>
  <c r="G140" i="13"/>
  <c r="L140" i="13" s="1"/>
  <c r="M140" i="13" s="1"/>
  <c r="F140" i="13"/>
  <c r="E140" i="13"/>
  <c r="G138" i="13"/>
  <c r="I138" i="13" s="1"/>
  <c r="F138" i="13"/>
  <c r="E138" i="13"/>
  <c r="I136" i="13"/>
  <c r="F136" i="13"/>
  <c r="E136" i="13"/>
  <c r="G135" i="13"/>
  <c r="F135" i="13"/>
  <c r="E135" i="13"/>
  <c r="G134" i="13"/>
  <c r="L134" i="13" s="1"/>
  <c r="M134" i="13" s="1"/>
  <c r="F134" i="13"/>
  <c r="E134" i="13"/>
  <c r="G133" i="13"/>
  <c r="I133" i="13" s="1"/>
  <c r="F133" i="13"/>
  <c r="E133" i="13"/>
  <c r="F131" i="13"/>
  <c r="E131" i="13"/>
  <c r="G130" i="13"/>
  <c r="F130" i="13"/>
  <c r="E130" i="13"/>
  <c r="G129" i="13"/>
  <c r="F129" i="13"/>
  <c r="E129" i="13"/>
  <c r="G127" i="13"/>
  <c r="F127" i="13"/>
  <c r="E127" i="13"/>
  <c r="G126" i="13"/>
  <c r="F126" i="13"/>
  <c r="E126" i="13"/>
  <c r="G124" i="13"/>
  <c r="F124" i="13"/>
  <c r="E124" i="13"/>
  <c r="L123" i="13"/>
  <c r="F123" i="13"/>
  <c r="E123" i="13"/>
  <c r="I122" i="13"/>
  <c r="F122" i="13"/>
  <c r="E122" i="13"/>
  <c r="I121" i="13"/>
  <c r="F121" i="13"/>
  <c r="E121" i="13"/>
  <c r="G119" i="13"/>
  <c r="F119" i="13"/>
  <c r="E119" i="13"/>
  <c r="G118" i="13"/>
  <c r="L118" i="13" s="1"/>
  <c r="M118" i="13" s="1"/>
  <c r="F118" i="13"/>
  <c r="E118" i="13"/>
  <c r="G117" i="13"/>
  <c r="I117" i="13" s="1"/>
  <c r="F117" i="13"/>
  <c r="E117" i="13"/>
  <c r="F115" i="13"/>
  <c r="E115" i="13"/>
  <c r="F114" i="13"/>
  <c r="E114" i="13"/>
  <c r="F112" i="13"/>
  <c r="E112" i="13"/>
  <c r="F111" i="13"/>
  <c r="E111" i="13"/>
  <c r="F110" i="13"/>
  <c r="E110" i="13"/>
  <c r="G108" i="13"/>
  <c r="F108" i="13"/>
  <c r="E108" i="13"/>
  <c r="G107" i="13"/>
  <c r="F107" i="13"/>
  <c r="E107" i="13"/>
  <c r="L106" i="13"/>
  <c r="F106" i="13"/>
  <c r="E106" i="13"/>
  <c r="G105" i="13"/>
  <c r="L105" i="13" s="1"/>
  <c r="M105" i="13" s="1"/>
  <c r="F105" i="13"/>
  <c r="E105" i="13"/>
  <c r="G104" i="13"/>
  <c r="F104" i="13"/>
  <c r="E104" i="13"/>
  <c r="G103" i="13"/>
  <c r="F103" i="13"/>
  <c r="E103" i="13"/>
  <c r="G102" i="13"/>
  <c r="F102" i="13"/>
  <c r="E102" i="13"/>
  <c r="G101" i="13"/>
  <c r="F101" i="13"/>
  <c r="E101" i="13"/>
  <c r="G100" i="13"/>
  <c r="I100" i="13" s="1"/>
  <c r="F100" i="13"/>
  <c r="E100" i="13"/>
  <c r="F99" i="13"/>
  <c r="E99" i="13"/>
  <c r="F98" i="13"/>
  <c r="E98" i="13"/>
  <c r="F97" i="13"/>
  <c r="E97" i="13"/>
  <c r="G95" i="13"/>
  <c r="I95" i="13" s="1"/>
  <c r="F95" i="13"/>
  <c r="E95" i="13"/>
  <c r="G94" i="13"/>
  <c r="F94" i="13"/>
  <c r="E94" i="13"/>
  <c r="G93" i="13"/>
  <c r="F93" i="13"/>
  <c r="E93" i="13"/>
  <c r="G92" i="13"/>
  <c r="F92" i="13"/>
  <c r="E92" i="13"/>
  <c r="G91" i="13"/>
  <c r="F91" i="13"/>
  <c r="E91" i="13"/>
  <c r="G90" i="13"/>
  <c r="I90" i="13" s="1"/>
  <c r="F90" i="13"/>
  <c r="E90" i="13"/>
  <c r="G89" i="13"/>
  <c r="F89" i="13"/>
  <c r="E89" i="13"/>
  <c r="G88" i="13"/>
  <c r="F88" i="13"/>
  <c r="E88" i="13"/>
  <c r="G87" i="13"/>
  <c r="F87" i="13"/>
  <c r="E87" i="13"/>
  <c r="G86" i="13"/>
  <c r="F86" i="13"/>
  <c r="E86" i="13"/>
  <c r="G85" i="13"/>
  <c r="F85" i="13"/>
  <c r="E85" i="13"/>
  <c r="G84" i="13"/>
  <c r="F84" i="13"/>
  <c r="E84" i="13"/>
  <c r="G83" i="13"/>
  <c r="F83" i="13"/>
  <c r="E83" i="13"/>
  <c r="G82" i="13"/>
  <c r="F82" i="13"/>
  <c r="E82" i="13"/>
  <c r="G81" i="13"/>
  <c r="F81" i="13"/>
  <c r="E81" i="13"/>
  <c r="G80" i="13"/>
  <c r="F80" i="13"/>
  <c r="E80" i="13"/>
  <c r="G79" i="13"/>
  <c r="I79" i="13" s="1"/>
  <c r="F79" i="13"/>
  <c r="E79" i="13"/>
  <c r="G78" i="13"/>
  <c r="F78" i="13"/>
  <c r="E78" i="13"/>
  <c r="G77" i="13"/>
  <c r="F77" i="13"/>
  <c r="E77" i="13"/>
  <c r="G76" i="13"/>
  <c r="L76" i="13" s="1"/>
  <c r="M76" i="13" s="1"/>
  <c r="F76" i="13"/>
  <c r="E76" i="13"/>
  <c r="G75" i="13"/>
  <c r="F75" i="13"/>
  <c r="E75" i="13"/>
  <c r="G74" i="13"/>
  <c r="F74" i="13"/>
  <c r="E74" i="13"/>
  <c r="G73" i="13"/>
  <c r="I73" i="13" s="1"/>
  <c r="F73" i="13"/>
  <c r="E73" i="13"/>
  <c r="G72" i="13"/>
  <c r="F72" i="13"/>
  <c r="E72" i="13"/>
  <c r="G71" i="13"/>
  <c r="F71" i="13"/>
  <c r="E71" i="13"/>
  <c r="G70" i="13"/>
  <c r="I70" i="13" s="1"/>
  <c r="F70" i="13"/>
  <c r="E70" i="13"/>
  <c r="G69" i="13"/>
  <c r="I69" i="13" s="1"/>
  <c r="F69" i="13"/>
  <c r="E69" i="13"/>
  <c r="G68" i="13"/>
  <c r="L68" i="13" s="1"/>
  <c r="F68" i="13"/>
  <c r="E68" i="13"/>
  <c r="G67" i="13"/>
  <c r="F67" i="13"/>
  <c r="E67" i="13"/>
  <c r="G66" i="13"/>
  <c r="F66" i="13"/>
  <c r="E66" i="13"/>
  <c r="G65" i="13"/>
  <c r="F65" i="13"/>
  <c r="E65" i="13"/>
  <c r="G64" i="13"/>
  <c r="F64" i="13"/>
  <c r="E64" i="13"/>
  <c r="G63" i="13"/>
  <c r="F63" i="13"/>
  <c r="E63" i="13"/>
  <c r="G62" i="13"/>
  <c r="F62" i="13"/>
  <c r="E62" i="13"/>
  <c r="G61" i="13"/>
  <c r="F61" i="13"/>
  <c r="E61" i="13"/>
  <c r="G60" i="13"/>
  <c r="F60" i="13"/>
  <c r="E60" i="13"/>
  <c r="G59" i="13"/>
  <c r="F59" i="13"/>
  <c r="E59" i="13"/>
  <c r="G58" i="13"/>
  <c r="I58" i="13" s="1"/>
  <c r="F58" i="13"/>
  <c r="E58" i="13"/>
  <c r="G57" i="13"/>
  <c r="F57" i="13"/>
  <c r="E57" i="13"/>
  <c r="G56" i="13"/>
  <c r="F56" i="13"/>
  <c r="E56" i="13"/>
  <c r="G55" i="13"/>
  <c r="F55" i="13"/>
  <c r="E55" i="13"/>
  <c r="G54" i="13"/>
  <c r="I54" i="13" s="1"/>
  <c r="F54" i="13"/>
  <c r="E54" i="13"/>
  <c r="G53" i="13"/>
  <c r="F53" i="13"/>
  <c r="E53" i="13"/>
  <c r="G52" i="13"/>
  <c r="L52" i="13" s="1"/>
  <c r="M52" i="13" s="1"/>
  <c r="F52" i="13"/>
  <c r="E52" i="13"/>
  <c r="G51" i="13"/>
  <c r="F51" i="13"/>
  <c r="E51" i="13"/>
  <c r="G50" i="13"/>
  <c r="F50" i="13"/>
  <c r="E50" i="13"/>
  <c r="G49" i="13"/>
  <c r="F49" i="13"/>
  <c r="E49" i="13"/>
  <c r="G48" i="13"/>
  <c r="F48" i="13"/>
  <c r="E48" i="13"/>
  <c r="G47" i="13"/>
  <c r="F47" i="13"/>
  <c r="E47" i="13"/>
  <c r="G46" i="13"/>
  <c r="F46" i="13"/>
  <c r="E46" i="13"/>
  <c r="G45" i="13"/>
  <c r="F45" i="13"/>
  <c r="E45" i="13"/>
  <c r="F44" i="13"/>
  <c r="E44" i="13"/>
  <c r="F43" i="13"/>
  <c r="E43" i="13"/>
  <c r="F42" i="13"/>
  <c r="E42" i="13"/>
  <c r="F40" i="13"/>
  <c r="E40" i="13"/>
  <c r="F39" i="13"/>
  <c r="E39" i="13"/>
  <c r="G38" i="13"/>
  <c r="F38" i="13"/>
  <c r="E38" i="13"/>
  <c r="F37" i="13"/>
  <c r="E37" i="13"/>
  <c r="G35" i="13"/>
  <c r="F35" i="13"/>
  <c r="E35" i="13"/>
  <c r="G33" i="13"/>
  <c r="F33" i="13"/>
  <c r="E33" i="13"/>
  <c r="G32" i="13"/>
  <c r="F32" i="13"/>
  <c r="E32" i="13"/>
  <c r="G31" i="13"/>
  <c r="F31" i="13"/>
  <c r="E31" i="13"/>
  <c r="G29" i="13"/>
  <c r="F29" i="13"/>
  <c r="E29" i="13"/>
  <c r="G28" i="13"/>
  <c r="L28" i="13" s="1"/>
  <c r="F28" i="13"/>
  <c r="E28" i="13"/>
  <c r="G27" i="13"/>
  <c r="F27" i="13"/>
  <c r="E27" i="13"/>
  <c r="G26" i="13"/>
  <c r="F26" i="13"/>
  <c r="E26" i="13"/>
  <c r="G25" i="13"/>
  <c r="F25" i="13"/>
  <c r="E25" i="13"/>
  <c r="F23" i="13"/>
  <c r="E23" i="13"/>
  <c r="G22" i="13"/>
  <c r="F22" i="13"/>
  <c r="E22" i="13"/>
  <c r="F21" i="13"/>
  <c r="E21" i="13"/>
  <c r="F19" i="13"/>
  <c r="E19" i="13"/>
  <c r="F18" i="13"/>
  <c r="E18" i="13"/>
  <c r="F17" i="13"/>
  <c r="E17" i="13"/>
  <c r="G16" i="13"/>
  <c r="F16" i="13"/>
  <c r="E16" i="13"/>
  <c r="L15" i="13"/>
  <c r="F15" i="13"/>
  <c r="E15" i="13"/>
  <c r="G14" i="13"/>
  <c r="F14" i="13"/>
  <c r="E14" i="13"/>
  <c r="F12" i="13"/>
  <c r="E12" i="13"/>
  <c r="F11" i="13"/>
  <c r="E11" i="13"/>
  <c r="F10" i="13"/>
  <c r="E10" i="13"/>
  <c r="F8" i="13"/>
  <c r="E8" i="13"/>
  <c r="G6" i="13"/>
  <c r="F6" i="13"/>
  <c r="E6" i="13"/>
  <c r="F5" i="13"/>
  <c r="E5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292" i="11"/>
  <c r="I1292" i="11" s="1"/>
  <c r="F1292" i="11"/>
  <c r="E1292" i="11"/>
  <c r="G1291" i="11"/>
  <c r="I1291" i="11" s="1"/>
  <c r="F1291" i="11"/>
  <c r="E1291" i="11"/>
  <c r="G1290" i="11"/>
  <c r="F1290" i="11"/>
  <c r="E1290" i="11"/>
  <c r="G1289" i="11"/>
  <c r="L1289" i="11" s="1"/>
  <c r="M1289" i="11" s="1"/>
  <c r="F1289" i="11"/>
  <c r="E1289" i="11"/>
  <c r="G1288" i="11"/>
  <c r="I1288" i="11" s="1"/>
  <c r="F1288" i="11"/>
  <c r="E1288" i="11"/>
  <c r="G1287" i="11"/>
  <c r="L1287" i="11" s="1"/>
  <c r="F1287" i="11"/>
  <c r="E1287" i="11"/>
  <c r="G1286" i="11"/>
  <c r="F1286" i="11"/>
  <c r="E1286" i="11"/>
  <c r="G1285" i="11"/>
  <c r="F1285" i="11"/>
  <c r="E1285" i="11"/>
  <c r="G1284" i="11"/>
  <c r="F1284" i="11"/>
  <c r="E1284" i="11"/>
  <c r="G1283" i="11"/>
  <c r="I1283" i="11" s="1"/>
  <c r="F1283" i="11"/>
  <c r="E1283" i="11"/>
  <c r="G1282" i="11"/>
  <c r="F1282" i="11"/>
  <c r="E1282" i="11"/>
  <c r="G1281" i="11"/>
  <c r="F1281" i="11"/>
  <c r="E1281" i="11"/>
  <c r="G1280" i="11"/>
  <c r="F1280" i="11"/>
  <c r="E1280" i="11"/>
  <c r="G1279" i="11"/>
  <c r="I1279" i="11" s="1"/>
  <c r="F1279" i="11"/>
  <c r="E1279" i="11"/>
  <c r="G1278" i="11"/>
  <c r="F1278" i="11"/>
  <c r="E1278" i="11"/>
  <c r="G1277" i="11"/>
  <c r="F1277" i="11"/>
  <c r="E1277" i="11"/>
  <c r="G1276" i="11"/>
  <c r="F1276" i="11"/>
  <c r="E1276" i="11"/>
  <c r="G1275" i="11"/>
  <c r="F1275" i="11"/>
  <c r="E1275" i="11"/>
  <c r="G1274" i="11"/>
  <c r="F1274" i="11"/>
  <c r="E1274" i="11"/>
  <c r="G1273" i="11"/>
  <c r="F1273" i="11"/>
  <c r="E1273" i="11"/>
  <c r="G1272" i="11"/>
  <c r="F1272" i="11"/>
  <c r="E1272" i="11"/>
  <c r="G1271" i="11"/>
  <c r="F1271" i="11"/>
  <c r="E1271" i="11"/>
  <c r="G1270" i="11"/>
  <c r="F1270" i="11"/>
  <c r="E1270" i="11"/>
  <c r="G1269" i="11"/>
  <c r="F1269" i="11"/>
  <c r="E1269" i="11"/>
  <c r="G1268" i="11"/>
  <c r="F1268" i="11"/>
  <c r="E1268" i="11"/>
  <c r="G1267" i="11"/>
  <c r="I1267" i="11" s="1"/>
  <c r="F1267" i="11"/>
  <c r="E1267" i="11"/>
  <c r="G1266" i="11"/>
  <c r="F1266" i="11"/>
  <c r="E1266" i="11"/>
  <c r="G1265" i="11"/>
  <c r="F1265" i="11"/>
  <c r="E1265" i="11"/>
  <c r="G1264" i="11"/>
  <c r="F1264" i="11"/>
  <c r="E1264" i="11"/>
  <c r="G1263" i="11"/>
  <c r="F1263" i="11"/>
  <c r="E1263" i="11"/>
  <c r="G1262" i="11"/>
  <c r="F1262" i="11"/>
  <c r="E1262" i="11"/>
  <c r="G1261" i="11"/>
  <c r="F1261" i="11"/>
  <c r="E1261" i="11"/>
  <c r="G1260" i="11"/>
  <c r="F1260" i="11"/>
  <c r="E1260" i="11"/>
  <c r="G1259" i="11"/>
  <c r="F1259" i="11"/>
  <c r="E1259" i="11"/>
  <c r="G1258" i="11"/>
  <c r="F1258" i="11"/>
  <c r="E1258" i="11"/>
  <c r="G1257" i="11"/>
  <c r="F1257" i="11"/>
  <c r="E1257" i="11"/>
  <c r="G1256" i="11"/>
  <c r="F1256" i="11"/>
  <c r="E1256" i="11"/>
  <c r="G1255" i="11"/>
  <c r="F1255" i="11"/>
  <c r="E1255" i="11"/>
  <c r="G1254" i="11"/>
  <c r="F1254" i="11"/>
  <c r="E1254" i="11"/>
  <c r="G1253" i="11"/>
  <c r="F1253" i="11"/>
  <c r="E1253" i="11"/>
  <c r="G1252" i="11"/>
  <c r="F1252" i="11"/>
  <c r="E1252" i="11"/>
  <c r="G1251" i="11"/>
  <c r="F1251" i="11"/>
  <c r="E1251" i="11"/>
  <c r="G1250" i="11"/>
  <c r="F1250" i="11"/>
  <c r="E1250" i="11"/>
  <c r="G1249" i="11"/>
  <c r="F1249" i="11"/>
  <c r="E1249" i="11"/>
  <c r="G1248" i="11"/>
  <c r="F1248" i="11"/>
  <c r="E1248" i="11"/>
  <c r="G1247" i="11"/>
  <c r="F1247" i="11"/>
  <c r="E1247" i="11"/>
  <c r="G1246" i="11"/>
  <c r="F1246" i="11"/>
  <c r="E1246" i="11"/>
  <c r="G1245" i="11"/>
  <c r="F1245" i="11"/>
  <c r="E1245" i="11"/>
  <c r="G1244" i="11"/>
  <c r="F1244" i="11"/>
  <c r="E1244" i="11"/>
  <c r="G1243" i="11"/>
  <c r="I1243" i="11" s="1"/>
  <c r="F1243" i="11"/>
  <c r="E1243" i="11"/>
  <c r="G1242" i="11"/>
  <c r="F1242" i="11"/>
  <c r="E1242" i="11"/>
  <c r="G1241" i="11"/>
  <c r="F1241" i="11"/>
  <c r="E1241" i="11"/>
  <c r="G1240" i="11"/>
  <c r="F1240" i="11"/>
  <c r="E1240" i="11"/>
  <c r="G1239" i="11"/>
  <c r="F1239" i="11"/>
  <c r="E1239" i="11"/>
  <c r="G1238" i="11"/>
  <c r="F1238" i="11"/>
  <c r="E1238" i="11"/>
  <c r="G1237" i="11"/>
  <c r="F1237" i="11"/>
  <c r="E1237" i="11"/>
  <c r="G1236" i="11"/>
  <c r="F1236" i="11"/>
  <c r="E1236" i="11"/>
  <c r="G1235" i="11"/>
  <c r="F1235" i="11"/>
  <c r="E1235" i="11"/>
  <c r="G1234" i="11"/>
  <c r="F1234" i="11"/>
  <c r="E1234" i="11"/>
  <c r="G1233" i="11"/>
  <c r="L1233" i="11" s="1"/>
  <c r="F1233" i="11"/>
  <c r="E1233" i="11"/>
  <c r="G1232" i="11"/>
  <c r="F1232" i="11"/>
  <c r="E1232" i="11"/>
  <c r="G1231" i="11"/>
  <c r="F1231" i="11"/>
  <c r="E1231" i="11"/>
  <c r="G1230" i="11"/>
  <c r="F1230" i="11"/>
  <c r="E1230" i="11"/>
  <c r="G1229" i="11"/>
  <c r="L1229" i="11" s="1"/>
  <c r="M1229" i="11" s="1"/>
  <c r="F1229" i="11"/>
  <c r="E1229" i="11"/>
  <c r="G1228" i="11"/>
  <c r="I1228" i="11" s="1"/>
  <c r="F1228" i="11"/>
  <c r="E1228" i="11"/>
  <c r="G1227" i="11"/>
  <c r="I1227" i="11" s="1"/>
  <c r="F1227" i="11"/>
  <c r="E1227" i="11"/>
  <c r="G1226" i="11"/>
  <c r="L1226" i="11" s="1"/>
  <c r="M1226" i="11" s="1"/>
  <c r="F1226" i="11"/>
  <c r="E1226" i="11"/>
  <c r="G1225" i="11"/>
  <c r="L1225" i="11" s="1"/>
  <c r="M1225" i="11" s="1"/>
  <c r="F1225" i="11"/>
  <c r="E1225" i="11"/>
  <c r="G1224" i="11"/>
  <c r="I1224" i="11" s="1"/>
  <c r="F1224" i="11"/>
  <c r="E1224" i="11"/>
  <c r="G1223" i="11"/>
  <c r="F1223" i="11"/>
  <c r="E1223" i="11"/>
  <c r="G1222" i="11"/>
  <c r="F1222" i="11"/>
  <c r="E1222" i="11"/>
  <c r="G1221" i="11"/>
  <c r="F1221" i="11"/>
  <c r="E1221" i="11"/>
  <c r="G1220" i="11"/>
  <c r="F1220" i="11"/>
  <c r="E1220" i="11"/>
  <c r="G1219" i="11"/>
  <c r="F1219" i="11"/>
  <c r="E1219" i="11"/>
  <c r="G1218" i="11"/>
  <c r="F1218" i="11"/>
  <c r="E1218" i="11"/>
  <c r="G1217" i="11"/>
  <c r="F1217" i="11"/>
  <c r="E1217" i="11"/>
  <c r="G1216" i="11"/>
  <c r="F1216" i="11"/>
  <c r="E1216" i="11"/>
  <c r="G1215" i="11"/>
  <c r="F1215" i="11"/>
  <c r="E1215" i="11"/>
  <c r="G1214" i="11"/>
  <c r="L1214" i="11" s="1"/>
  <c r="F1214" i="11"/>
  <c r="E1214" i="11"/>
  <c r="G1212" i="11"/>
  <c r="I1212" i="11" s="1"/>
  <c r="F1212" i="11"/>
  <c r="E1212" i="11"/>
  <c r="G1211" i="11"/>
  <c r="F1211" i="11"/>
  <c r="E1211" i="11"/>
  <c r="G1210" i="11"/>
  <c r="F1210" i="11"/>
  <c r="E1210" i="11"/>
  <c r="G1209" i="11"/>
  <c r="F1209" i="11"/>
  <c r="E1209" i="11"/>
  <c r="G1208" i="11"/>
  <c r="F1208" i="11"/>
  <c r="E1208" i="11"/>
  <c r="G1207" i="11"/>
  <c r="I1207" i="11" s="1"/>
  <c r="F1207" i="11"/>
  <c r="E1207" i="11"/>
  <c r="G1206" i="11"/>
  <c r="F1206" i="11"/>
  <c r="E1206" i="11"/>
  <c r="G1205" i="11"/>
  <c r="F1205" i="11"/>
  <c r="E1205" i="11"/>
  <c r="G1204" i="11"/>
  <c r="F1204" i="11"/>
  <c r="E1204" i="11"/>
  <c r="G1203" i="11"/>
  <c r="I1203" i="11" s="1"/>
  <c r="F1203" i="11"/>
  <c r="E1203" i="11"/>
  <c r="G1202" i="11"/>
  <c r="F1202" i="11"/>
  <c r="E1202" i="11"/>
  <c r="G1201" i="11"/>
  <c r="L1201" i="11" s="1"/>
  <c r="F1201" i="11"/>
  <c r="E1201" i="11"/>
  <c r="G1200" i="11"/>
  <c r="F1200" i="11"/>
  <c r="E1200" i="11"/>
  <c r="G1199" i="11"/>
  <c r="F1199" i="11"/>
  <c r="E1199" i="11"/>
  <c r="G1198" i="11"/>
  <c r="F1198" i="11"/>
  <c r="E1198" i="11"/>
  <c r="G1197" i="11"/>
  <c r="F1197" i="11"/>
  <c r="E1197" i="11"/>
  <c r="G1196" i="11"/>
  <c r="F1196" i="11"/>
  <c r="E1196" i="11"/>
  <c r="G1195" i="11"/>
  <c r="L1195" i="11" s="1"/>
  <c r="M1195" i="11" s="1"/>
  <c r="F1195" i="11"/>
  <c r="E1195" i="11"/>
  <c r="G1194" i="11"/>
  <c r="F1194" i="11"/>
  <c r="E1194" i="11"/>
  <c r="G1193" i="11"/>
  <c r="F1193" i="11"/>
  <c r="E1193" i="11"/>
  <c r="G1192" i="11"/>
  <c r="F1192" i="11"/>
  <c r="E1192" i="11"/>
  <c r="G1191" i="11"/>
  <c r="L1191" i="11" s="1"/>
  <c r="F1191" i="11"/>
  <c r="E1191" i="11"/>
  <c r="G1190" i="11"/>
  <c r="F1190" i="11"/>
  <c r="E1190" i="11"/>
  <c r="G1189" i="11"/>
  <c r="L1189" i="11" s="1"/>
  <c r="M1189" i="11" s="1"/>
  <c r="F1189" i="11"/>
  <c r="E1189" i="11"/>
  <c r="G1188" i="11"/>
  <c r="I1188" i="11" s="1"/>
  <c r="F1188" i="11"/>
  <c r="E1188" i="11"/>
  <c r="G1187" i="11"/>
  <c r="F1187" i="11"/>
  <c r="E1187" i="11"/>
  <c r="G1186" i="11"/>
  <c r="F1186" i="11"/>
  <c r="E1186" i="11"/>
  <c r="G1185" i="11"/>
  <c r="F1185" i="11"/>
  <c r="E1185" i="11"/>
  <c r="G1184" i="11"/>
  <c r="F1184" i="11"/>
  <c r="E1184" i="11"/>
  <c r="G1183" i="11"/>
  <c r="F1183" i="11"/>
  <c r="E1183" i="11"/>
  <c r="G1182" i="11"/>
  <c r="F1182" i="11"/>
  <c r="E1182" i="11"/>
  <c r="G1181" i="11"/>
  <c r="F1181" i="11"/>
  <c r="E1181" i="11"/>
  <c r="G1180" i="11"/>
  <c r="F1180" i="11"/>
  <c r="E1180" i="11"/>
  <c r="G1179" i="11"/>
  <c r="F1179" i="11"/>
  <c r="E1179" i="11"/>
  <c r="G1178" i="11"/>
  <c r="F1178" i="11"/>
  <c r="E1178" i="11"/>
  <c r="G1177" i="11"/>
  <c r="F1177" i="11"/>
  <c r="E1177" i="11"/>
  <c r="G1176" i="11"/>
  <c r="F1176" i="11"/>
  <c r="E1176" i="11"/>
  <c r="G1175" i="11"/>
  <c r="I1175" i="11" s="1"/>
  <c r="F1175" i="11"/>
  <c r="E1175" i="11"/>
  <c r="G1174" i="11"/>
  <c r="F1174" i="11"/>
  <c r="E1174" i="11"/>
  <c r="G1173" i="11"/>
  <c r="F1173" i="11"/>
  <c r="E1173" i="11"/>
  <c r="G1172" i="11"/>
  <c r="F1172" i="11"/>
  <c r="E1172" i="11"/>
  <c r="G1171" i="11"/>
  <c r="L1171" i="11" s="1"/>
  <c r="M1171" i="11" s="1"/>
  <c r="F1171" i="11"/>
  <c r="E1171" i="11"/>
  <c r="G1170" i="11"/>
  <c r="F1170" i="11"/>
  <c r="E1170" i="11"/>
  <c r="G1169" i="11"/>
  <c r="F1169" i="11"/>
  <c r="E1169" i="11"/>
  <c r="G1168" i="11"/>
  <c r="F1168" i="11"/>
  <c r="E1168" i="11"/>
  <c r="F1167" i="11"/>
  <c r="E1167" i="11"/>
  <c r="F1166" i="11"/>
  <c r="E1166" i="11"/>
  <c r="G1165" i="11"/>
  <c r="L1165" i="11" s="1"/>
  <c r="M1165" i="11" s="1"/>
  <c r="F1165" i="11"/>
  <c r="E1165" i="11"/>
  <c r="G1164" i="11"/>
  <c r="I1164" i="11" s="1"/>
  <c r="F1164" i="11"/>
  <c r="E1164" i="11"/>
  <c r="G1163" i="11"/>
  <c r="F1163" i="11"/>
  <c r="E1163" i="11"/>
  <c r="G1162" i="11"/>
  <c r="F1162" i="11"/>
  <c r="E1162" i="11"/>
  <c r="G1161" i="11"/>
  <c r="F1161" i="11"/>
  <c r="E1161" i="11"/>
  <c r="G1159" i="11"/>
  <c r="F1159" i="11"/>
  <c r="E1159" i="11"/>
  <c r="G1158" i="11"/>
  <c r="L1158" i="11" s="1"/>
  <c r="F1158" i="11"/>
  <c r="E1158" i="11"/>
  <c r="G1157" i="11"/>
  <c r="F1157" i="11"/>
  <c r="E1157" i="11"/>
  <c r="G1156" i="11"/>
  <c r="F1156" i="11"/>
  <c r="E1156" i="11"/>
  <c r="G1155" i="11"/>
  <c r="F1155" i="11"/>
  <c r="E1155" i="11"/>
  <c r="G1154" i="11"/>
  <c r="I1154" i="11" s="1"/>
  <c r="F1154" i="11"/>
  <c r="E1154" i="11"/>
  <c r="G1153" i="11"/>
  <c r="F1153" i="11"/>
  <c r="E1153" i="11"/>
  <c r="G1152" i="11"/>
  <c r="F1152" i="11"/>
  <c r="E1152" i="11"/>
  <c r="G1151" i="11"/>
  <c r="F1151" i="11"/>
  <c r="E1151" i="11"/>
  <c r="G1150" i="11"/>
  <c r="I1150" i="11" s="1"/>
  <c r="F1150" i="11"/>
  <c r="E1150" i="11"/>
  <c r="G1149" i="11"/>
  <c r="F1149" i="11"/>
  <c r="E1149" i="11"/>
  <c r="G1148" i="11"/>
  <c r="F1148" i="11"/>
  <c r="E1148" i="11"/>
  <c r="G1147" i="11"/>
  <c r="F1147" i="11"/>
  <c r="E1147" i="11"/>
  <c r="G1146" i="11"/>
  <c r="L1146" i="11" s="1"/>
  <c r="F1146" i="11"/>
  <c r="E1146" i="11"/>
  <c r="G1145" i="11"/>
  <c r="F1145" i="11"/>
  <c r="E1145" i="11"/>
  <c r="G1144" i="11"/>
  <c r="L1144" i="11" s="1"/>
  <c r="M1144" i="11" s="1"/>
  <c r="F1144" i="11"/>
  <c r="E1144" i="11"/>
  <c r="G1143" i="11"/>
  <c r="I1143" i="11" s="1"/>
  <c r="F1143" i="11"/>
  <c r="E1143" i="11"/>
  <c r="G1142" i="11"/>
  <c r="I1142" i="11" s="1"/>
  <c r="F1142" i="11"/>
  <c r="E1142" i="11"/>
  <c r="G1141" i="11"/>
  <c r="F1141" i="11"/>
  <c r="E1141" i="11"/>
  <c r="G1140" i="11"/>
  <c r="L1140" i="11" s="1"/>
  <c r="M1140" i="11" s="1"/>
  <c r="F1140" i="11"/>
  <c r="E1140" i="11"/>
  <c r="G1139" i="11"/>
  <c r="I1139" i="11" s="1"/>
  <c r="F1139" i="11"/>
  <c r="E1139" i="11"/>
  <c r="G1138" i="11"/>
  <c r="F1138" i="11"/>
  <c r="E1138" i="11"/>
  <c r="G1137" i="11"/>
  <c r="F1137" i="11"/>
  <c r="E1137" i="11"/>
  <c r="G1136" i="11"/>
  <c r="F1136" i="11"/>
  <c r="E1136" i="11"/>
  <c r="G1135" i="11"/>
  <c r="F1135" i="11"/>
  <c r="E1135" i="11"/>
  <c r="G1134" i="11"/>
  <c r="F1134" i="11"/>
  <c r="E1134" i="11"/>
  <c r="G1133" i="11"/>
  <c r="F1133" i="11"/>
  <c r="E1133" i="11"/>
  <c r="G1132" i="11"/>
  <c r="F1132" i="11"/>
  <c r="E1132" i="11"/>
  <c r="G1131" i="11"/>
  <c r="F1131" i="11"/>
  <c r="E1131" i="11"/>
  <c r="G1130" i="11"/>
  <c r="L1130" i="11" s="1"/>
  <c r="F1130" i="11"/>
  <c r="E1130" i="11"/>
  <c r="G1129" i="11"/>
  <c r="F1129" i="11"/>
  <c r="E1129" i="11"/>
  <c r="G1128" i="11"/>
  <c r="F1128" i="11"/>
  <c r="E1128" i="11"/>
  <c r="G1127" i="11"/>
  <c r="F1127" i="11"/>
  <c r="E1127" i="11"/>
  <c r="G1126" i="11"/>
  <c r="I1126" i="11" s="1"/>
  <c r="F1126" i="11"/>
  <c r="E1126" i="11"/>
  <c r="G1125" i="11"/>
  <c r="I1125" i="11" s="1"/>
  <c r="F1125" i="11"/>
  <c r="E1125" i="11"/>
  <c r="G1124" i="11"/>
  <c r="F1124" i="11"/>
  <c r="E1124" i="11"/>
  <c r="G1123" i="11"/>
  <c r="F1123" i="11"/>
  <c r="E1123" i="11"/>
  <c r="G1122" i="11"/>
  <c r="L1122" i="11" s="1"/>
  <c r="M1122" i="11" s="1"/>
  <c r="F1122" i="11"/>
  <c r="E1122" i="11"/>
  <c r="G1121" i="11"/>
  <c r="I1121" i="11" s="1"/>
  <c r="F1121" i="11"/>
  <c r="E1121" i="11"/>
  <c r="G1120" i="11"/>
  <c r="L1120" i="11" s="1"/>
  <c r="M1120" i="11" s="1"/>
  <c r="F1120" i="11"/>
  <c r="E1120" i="11"/>
  <c r="G1119" i="11"/>
  <c r="F1119" i="11"/>
  <c r="E1119" i="11"/>
  <c r="G1118" i="11"/>
  <c r="L1118" i="11" s="1"/>
  <c r="F1118" i="11"/>
  <c r="E1118" i="11"/>
  <c r="G1117" i="11"/>
  <c r="I1117" i="11" s="1"/>
  <c r="F1117" i="11"/>
  <c r="E1117" i="11"/>
  <c r="L1116" i="11"/>
  <c r="F1116" i="11"/>
  <c r="E1116" i="11"/>
  <c r="I1115" i="11"/>
  <c r="F1115" i="11"/>
  <c r="E1115" i="11"/>
  <c r="G1114" i="11"/>
  <c r="I1114" i="11" s="1"/>
  <c r="F1114" i="11"/>
  <c r="E1114" i="11"/>
  <c r="G1113" i="11"/>
  <c r="F1113" i="11"/>
  <c r="E1113" i="11"/>
  <c r="G1112" i="11"/>
  <c r="L1112" i="11" s="1"/>
  <c r="M1112" i="11" s="1"/>
  <c r="F1112" i="11"/>
  <c r="E1112" i="11"/>
  <c r="G1111" i="11"/>
  <c r="I1111" i="11" s="1"/>
  <c r="F1111" i="11"/>
  <c r="E1111" i="11"/>
  <c r="G1110" i="11"/>
  <c r="I1110" i="11" s="1"/>
  <c r="F1110" i="11"/>
  <c r="E1110" i="11"/>
  <c r="G1108" i="11"/>
  <c r="F1108" i="11"/>
  <c r="E1108" i="11"/>
  <c r="G1107" i="11"/>
  <c r="F1107" i="11"/>
  <c r="E1107" i="11"/>
  <c r="G1106" i="11"/>
  <c r="F1106" i="11"/>
  <c r="E1106" i="11"/>
  <c r="G1105" i="11"/>
  <c r="I1105" i="11" s="1"/>
  <c r="F1105" i="11"/>
  <c r="E1105" i="11"/>
  <c r="G1104" i="11"/>
  <c r="I1104" i="11" s="1"/>
  <c r="F1104" i="11"/>
  <c r="E1104" i="11"/>
  <c r="G1103" i="11"/>
  <c r="L1103" i="11" s="1"/>
  <c r="M1103" i="11" s="1"/>
  <c r="F1103" i="11"/>
  <c r="E1103" i="11"/>
  <c r="G1102" i="11"/>
  <c r="F1102" i="11"/>
  <c r="E1102" i="11"/>
  <c r="G1101" i="11"/>
  <c r="I1101" i="11" s="1"/>
  <c r="F1101" i="11"/>
  <c r="E1101" i="11"/>
  <c r="G1100" i="11"/>
  <c r="F1100" i="11"/>
  <c r="E1100" i="11"/>
  <c r="G1099" i="11"/>
  <c r="F1099" i="11"/>
  <c r="E1099" i="11"/>
  <c r="G1098" i="11"/>
  <c r="F1098" i="11"/>
  <c r="E1098" i="11"/>
  <c r="G1097" i="11"/>
  <c r="L1097" i="11" s="1"/>
  <c r="M1097" i="11" s="1"/>
  <c r="F1097" i="11"/>
  <c r="E1097" i="11"/>
  <c r="G1096" i="11"/>
  <c r="F1096" i="11"/>
  <c r="E1096" i="11"/>
  <c r="G1095" i="11"/>
  <c r="F1095" i="11"/>
  <c r="E1095" i="11"/>
  <c r="G1094" i="11"/>
  <c r="I1094" i="11" s="1"/>
  <c r="F1094" i="11"/>
  <c r="E1094" i="11"/>
  <c r="G1093" i="11"/>
  <c r="F1093" i="11"/>
  <c r="E1093" i="11"/>
  <c r="G1092" i="11"/>
  <c r="F1092" i="11"/>
  <c r="E1092" i="11"/>
  <c r="G1091" i="11"/>
  <c r="F1091" i="11"/>
  <c r="E1091" i="11"/>
  <c r="G1090" i="11"/>
  <c r="F1090" i="11"/>
  <c r="E1090" i="11"/>
  <c r="G1089" i="11"/>
  <c r="L1089" i="11" s="1"/>
  <c r="M1089" i="11" s="1"/>
  <c r="F1089" i="11"/>
  <c r="E1089" i="11"/>
  <c r="G1088" i="11"/>
  <c r="I1088" i="11" s="1"/>
  <c r="F1088" i="11"/>
  <c r="E1088" i="11"/>
  <c r="G1087" i="11"/>
  <c r="L1087" i="11" s="1"/>
  <c r="M1087" i="11" s="1"/>
  <c r="F1087" i="11"/>
  <c r="E1087" i="11"/>
  <c r="G1086" i="11"/>
  <c r="F1086" i="11"/>
  <c r="E1086" i="11"/>
  <c r="G1085" i="11"/>
  <c r="F1085" i="11"/>
  <c r="E1085" i="11"/>
  <c r="G1084" i="11"/>
  <c r="F1084" i="11"/>
  <c r="E1084" i="11"/>
  <c r="G1083" i="11"/>
  <c r="F1083" i="11"/>
  <c r="E1083" i="11"/>
  <c r="G1082" i="11"/>
  <c r="F1082" i="11"/>
  <c r="E1082" i="11"/>
  <c r="G1081" i="11"/>
  <c r="F1081" i="11"/>
  <c r="E1081" i="11"/>
  <c r="G1080" i="11"/>
  <c r="F1080" i="11"/>
  <c r="E1080" i="11"/>
  <c r="G1079" i="11"/>
  <c r="F1079" i="11"/>
  <c r="E1079" i="11"/>
  <c r="G1078" i="11"/>
  <c r="I1078" i="11" s="1"/>
  <c r="F1078" i="11"/>
  <c r="E1078" i="11"/>
  <c r="G1077" i="11"/>
  <c r="I1077" i="11" s="1"/>
  <c r="F1077" i="11"/>
  <c r="E1077" i="11"/>
  <c r="G1076" i="11"/>
  <c r="F1076" i="11"/>
  <c r="E1076" i="11"/>
  <c r="G1075" i="11"/>
  <c r="F1075" i="11"/>
  <c r="E1075" i="11"/>
  <c r="G1074" i="11"/>
  <c r="F1074" i="11"/>
  <c r="E1074" i="11"/>
  <c r="G1073" i="11"/>
  <c r="L1073" i="11" s="1"/>
  <c r="M1073" i="11" s="1"/>
  <c r="F1073" i="11"/>
  <c r="E1073" i="11"/>
  <c r="G1072" i="11"/>
  <c r="I1072" i="11" s="1"/>
  <c r="F1072" i="11"/>
  <c r="E1072" i="11"/>
  <c r="G1071" i="11"/>
  <c r="L1071" i="11" s="1"/>
  <c r="M1071" i="11" s="1"/>
  <c r="F1071" i="11"/>
  <c r="E1071" i="11"/>
  <c r="G1070" i="11"/>
  <c r="F1070" i="11"/>
  <c r="E1070" i="11"/>
  <c r="G1069" i="11"/>
  <c r="F1069" i="11"/>
  <c r="E1069" i="11"/>
  <c r="G1068" i="11"/>
  <c r="F1068" i="11"/>
  <c r="E1068" i="11"/>
  <c r="G1067" i="11"/>
  <c r="F1067" i="11"/>
  <c r="E1067" i="11"/>
  <c r="G1066" i="11"/>
  <c r="F1066" i="11"/>
  <c r="E1066" i="11"/>
  <c r="G1065" i="11"/>
  <c r="F1065" i="11"/>
  <c r="E1065" i="11"/>
  <c r="G1064" i="11"/>
  <c r="F1064" i="11"/>
  <c r="E1064" i="11"/>
  <c r="G1063" i="11"/>
  <c r="L1063" i="11" s="1"/>
  <c r="M1063" i="11" s="1"/>
  <c r="F1063" i="11"/>
  <c r="E1063" i="11"/>
  <c r="G1062" i="11"/>
  <c r="I1062" i="11" s="1"/>
  <c r="F1062" i="11"/>
  <c r="E1062" i="11"/>
  <c r="G1061" i="11"/>
  <c r="F1061" i="11"/>
  <c r="E1061" i="11"/>
  <c r="G1060" i="11"/>
  <c r="I1060" i="11" s="1"/>
  <c r="F1060" i="11"/>
  <c r="E1060" i="11"/>
  <c r="G1059" i="11"/>
  <c r="L1059" i="11" s="1"/>
  <c r="M1059" i="11" s="1"/>
  <c r="F1059" i="11"/>
  <c r="E1059" i="11"/>
  <c r="G1058" i="11"/>
  <c r="I1058" i="11" s="1"/>
  <c r="F1058" i="11"/>
  <c r="E1058" i="11"/>
  <c r="G1056" i="11"/>
  <c r="L1056" i="11" s="1"/>
  <c r="M1056" i="11" s="1"/>
  <c r="F1056" i="11"/>
  <c r="E1056" i="11"/>
  <c r="G1055" i="11"/>
  <c r="I1055" i="11" s="1"/>
  <c r="F1055" i="11"/>
  <c r="E1055" i="11"/>
  <c r="G1054" i="11"/>
  <c r="F1054" i="11"/>
  <c r="E1054" i="11"/>
  <c r="G1053" i="11"/>
  <c r="F1053" i="11"/>
  <c r="E1053" i="11"/>
  <c r="G1052" i="11"/>
  <c r="F1052" i="11"/>
  <c r="E1052" i="11"/>
  <c r="G1051" i="11"/>
  <c r="F1051" i="11"/>
  <c r="E1051" i="11"/>
  <c r="G1050" i="11"/>
  <c r="F1050" i="11"/>
  <c r="E1050" i="11"/>
  <c r="G1049" i="11"/>
  <c r="F1049" i="11"/>
  <c r="E1049" i="11"/>
  <c r="G1048" i="11"/>
  <c r="I1048" i="11" s="1"/>
  <c r="F1048" i="11"/>
  <c r="E1048" i="11"/>
  <c r="G1047" i="11"/>
  <c r="F1047" i="11"/>
  <c r="E1047" i="11"/>
  <c r="G1046" i="11"/>
  <c r="L1046" i="11" s="1"/>
  <c r="M1046" i="11" s="1"/>
  <c r="F1046" i="11"/>
  <c r="E1046" i="11"/>
  <c r="G1045" i="11"/>
  <c r="I1045" i="11" s="1"/>
  <c r="F1045" i="11"/>
  <c r="E1045" i="11"/>
  <c r="G1044" i="11"/>
  <c r="L1044" i="11" s="1"/>
  <c r="M1044" i="11" s="1"/>
  <c r="F1044" i="11"/>
  <c r="E1044" i="11"/>
  <c r="G1043" i="11"/>
  <c r="I1043" i="11" s="1"/>
  <c r="F1043" i="11"/>
  <c r="E1043" i="11"/>
  <c r="G1042" i="11"/>
  <c r="F1042" i="11"/>
  <c r="E1042" i="11"/>
  <c r="G1041" i="11"/>
  <c r="F1041" i="11"/>
  <c r="E1041" i="11"/>
  <c r="G1040" i="11"/>
  <c r="I1040" i="11" s="1"/>
  <c r="F1040" i="11"/>
  <c r="E1040" i="11"/>
  <c r="G1039" i="11"/>
  <c r="F1039" i="11"/>
  <c r="E1039" i="11"/>
  <c r="G1038" i="11"/>
  <c r="F1038" i="11"/>
  <c r="E1038" i="11"/>
  <c r="G1037" i="11"/>
  <c r="F1037" i="11"/>
  <c r="E1037" i="11"/>
  <c r="G1036" i="11"/>
  <c r="L1036" i="11" s="1"/>
  <c r="M1036" i="11" s="1"/>
  <c r="F1036" i="11"/>
  <c r="E1036" i="11"/>
  <c r="G1035" i="11"/>
  <c r="I1035" i="11" s="1"/>
  <c r="F1035" i="11"/>
  <c r="E1035" i="11"/>
  <c r="G1034" i="11"/>
  <c r="L1034" i="11" s="1"/>
  <c r="F1034" i="11"/>
  <c r="E1034" i="11"/>
  <c r="G1033" i="11"/>
  <c r="F1033" i="11"/>
  <c r="E1033" i="11"/>
  <c r="G1032" i="11"/>
  <c r="L1032" i="11" s="1"/>
  <c r="M1032" i="11" s="1"/>
  <c r="F1032" i="11"/>
  <c r="E1032" i="11"/>
  <c r="G1031" i="11"/>
  <c r="I1031" i="11" s="1"/>
  <c r="F1031" i="11"/>
  <c r="E1031" i="11"/>
  <c r="G1030" i="11"/>
  <c r="L1030" i="11" s="1"/>
  <c r="F1030" i="11"/>
  <c r="E1030" i="11"/>
  <c r="G1029" i="11"/>
  <c r="F1029" i="11"/>
  <c r="E1029" i="11"/>
  <c r="G1028" i="11"/>
  <c r="L1028" i="11" s="1"/>
  <c r="M1028" i="11" s="1"/>
  <c r="F1028" i="11"/>
  <c r="E1028" i="11"/>
  <c r="G1027" i="11"/>
  <c r="I1027" i="11" s="1"/>
  <c r="F1027" i="11"/>
  <c r="E1027" i="11"/>
  <c r="G1026" i="11"/>
  <c r="L1026" i="11" s="1"/>
  <c r="F1026" i="11"/>
  <c r="E1026" i="11"/>
  <c r="G1025" i="11"/>
  <c r="F1025" i="11"/>
  <c r="E1025" i="11"/>
  <c r="G1024" i="11"/>
  <c r="I1024" i="11" s="1"/>
  <c r="F1024" i="11"/>
  <c r="E1024" i="11"/>
  <c r="G1023" i="11"/>
  <c r="F1023" i="11"/>
  <c r="E1023" i="11"/>
  <c r="G1022" i="11"/>
  <c r="F1022" i="11"/>
  <c r="E1022" i="11"/>
  <c r="G1021" i="11"/>
  <c r="F1021" i="11"/>
  <c r="E1021" i="11"/>
  <c r="G1020" i="11"/>
  <c r="F1020" i="11"/>
  <c r="E1020" i="11"/>
  <c r="G1019" i="11"/>
  <c r="F1019" i="11"/>
  <c r="E1019" i="11"/>
  <c r="G1018" i="11"/>
  <c r="F1018" i="11"/>
  <c r="E1018" i="11"/>
  <c r="G1017" i="11"/>
  <c r="F1017" i="11"/>
  <c r="E1017" i="11"/>
  <c r="G1016" i="11"/>
  <c r="F1016" i="11"/>
  <c r="E1016" i="11"/>
  <c r="G1015" i="11"/>
  <c r="F1015" i="11"/>
  <c r="E1015" i="11"/>
  <c r="G1014" i="11"/>
  <c r="F1014" i="11"/>
  <c r="E1014" i="11"/>
  <c r="G1013" i="11"/>
  <c r="F1013" i="11"/>
  <c r="E1013" i="11"/>
  <c r="G1012" i="11"/>
  <c r="F1012" i="11"/>
  <c r="E1012" i="11"/>
  <c r="G1011" i="11"/>
  <c r="F1011" i="11"/>
  <c r="E1011" i="11"/>
  <c r="G1010" i="11"/>
  <c r="F1010" i="11"/>
  <c r="E1010" i="11"/>
  <c r="G1009" i="11"/>
  <c r="F1009" i="11"/>
  <c r="E1009" i="11"/>
  <c r="G1008" i="11"/>
  <c r="I1008" i="11" s="1"/>
  <c r="F1008" i="11"/>
  <c r="E1008" i="11"/>
  <c r="G1007" i="11"/>
  <c r="F1007" i="11"/>
  <c r="E1007" i="11"/>
  <c r="G1006" i="11"/>
  <c r="F1006" i="11"/>
  <c r="E1006" i="11"/>
  <c r="G1005" i="11"/>
  <c r="F1005" i="11"/>
  <c r="E1005" i="11"/>
  <c r="G1004" i="11"/>
  <c r="L1004" i="11" s="1"/>
  <c r="M1004" i="11" s="1"/>
  <c r="F1004" i="11"/>
  <c r="E1004" i="11"/>
  <c r="I1003" i="11"/>
  <c r="F1003" i="11"/>
  <c r="E1003" i="11"/>
  <c r="L1002" i="11"/>
  <c r="F1002" i="11"/>
  <c r="E1002" i="11"/>
  <c r="F1001" i="11"/>
  <c r="E1001" i="11"/>
  <c r="G1000" i="11"/>
  <c r="I1000" i="11" s="1"/>
  <c r="F1000" i="11"/>
  <c r="E1000" i="11"/>
  <c r="G999" i="11"/>
  <c r="I999" i="11" s="1"/>
  <c r="F999" i="11"/>
  <c r="E999" i="11"/>
  <c r="G997" i="11"/>
  <c r="L997" i="11" s="1"/>
  <c r="F997" i="11"/>
  <c r="E997" i="11"/>
  <c r="G996" i="11"/>
  <c r="F996" i="11"/>
  <c r="E996" i="11"/>
  <c r="G995" i="11"/>
  <c r="I995" i="11" s="1"/>
  <c r="F995" i="11"/>
  <c r="E995" i="11"/>
  <c r="G994" i="11"/>
  <c r="F994" i="11"/>
  <c r="E994" i="11"/>
  <c r="G993" i="11"/>
  <c r="F993" i="11"/>
  <c r="E993" i="11"/>
  <c r="G992" i="11"/>
  <c r="F992" i="11"/>
  <c r="E992" i="11"/>
  <c r="G991" i="11"/>
  <c r="F991" i="11"/>
  <c r="E991" i="11"/>
  <c r="G990" i="11"/>
  <c r="F990" i="11"/>
  <c r="E990" i="11"/>
  <c r="G989" i="11"/>
  <c r="F989" i="11"/>
  <c r="E989" i="11"/>
  <c r="G988" i="11"/>
  <c r="F988" i="11"/>
  <c r="E988" i="11"/>
  <c r="F987" i="11"/>
  <c r="E987" i="11"/>
  <c r="G986" i="11"/>
  <c r="F986" i="11"/>
  <c r="E986" i="11"/>
  <c r="G985" i="11"/>
  <c r="F985" i="11"/>
  <c r="E985" i="11"/>
  <c r="G984" i="11"/>
  <c r="F984" i="11"/>
  <c r="E984" i="11"/>
  <c r="G983" i="11"/>
  <c r="I983" i="11" s="1"/>
  <c r="F983" i="11"/>
  <c r="E983" i="11"/>
  <c r="G982" i="11"/>
  <c r="F982" i="11"/>
  <c r="E982" i="11"/>
  <c r="G981" i="11"/>
  <c r="F981" i="11"/>
  <c r="E981" i="11"/>
  <c r="G980" i="11"/>
  <c r="F980" i="11"/>
  <c r="E980" i="11"/>
  <c r="G979" i="11"/>
  <c r="L979" i="11" s="1"/>
  <c r="M979" i="11" s="1"/>
  <c r="F979" i="11"/>
  <c r="E979" i="11"/>
  <c r="G978" i="11"/>
  <c r="F978" i="11"/>
  <c r="E978" i="11"/>
  <c r="G977" i="11"/>
  <c r="F977" i="11"/>
  <c r="E977" i="11"/>
  <c r="G976" i="11"/>
  <c r="I976" i="11" s="1"/>
  <c r="F976" i="11"/>
  <c r="E976" i="11"/>
  <c r="G975" i="11"/>
  <c r="L975" i="11" s="1"/>
  <c r="M975" i="11" s="1"/>
  <c r="F975" i="11"/>
  <c r="E975" i="11"/>
  <c r="G974" i="11"/>
  <c r="I974" i="11" s="1"/>
  <c r="F974" i="11"/>
  <c r="E974" i="11"/>
  <c r="G973" i="11"/>
  <c r="F973" i="11"/>
  <c r="E973" i="11"/>
  <c r="G972" i="11"/>
  <c r="F972" i="11"/>
  <c r="E972" i="11"/>
  <c r="G971" i="11"/>
  <c r="I971" i="11" s="1"/>
  <c r="F971" i="11"/>
  <c r="E971" i="11"/>
  <c r="G970" i="11"/>
  <c r="I970" i="11" s="1"/>
  <c r="F970" i="11"/>
  <c r="E970" i="11"/>
  <c r="G969" i="11"/>
  <c r="L969" i="11" s="1"/>
  <c r="M969" i="11" s="1"/>
  <c r="F969" i="11"/>
  <c r="E969" i="11"/>
  <c r="G968" i="11"/>
  <c r="F968" i="11"/>
  <c r="E968" i="11"/>
  <c r="G967" i="11"/>
  <c r="F967" i="11"/>
  <c r="E967" i="11"/>
  <c r="G966" i="11"/>
  <c r="F966" i="11"/>
  <c r="E966" i="11"/>
  <c r="G965" i="11"/>
  <c r="F965" i="11"/>
  <c r="E965" i="11"/>
  <c r="G964" i="11"/>
  <c r="F964" i="11"/>
  <c r="E964" i="11"/>
  <c r="G963" i="11"/>
  <c r="F963" i="11"/>
  <c r="E963" i="11"/>
  <c r="F962" i="11"/>
  <c r="E962" i="11"/>
  <c r="F961" i="11"/>
  <c r="E961" i="11"/>
  <c r="I960" i="11"/>
  <c r="F960" i="11"/>
  <c r="E960" i="11"/>
  <c r="L959" i="11"/>
  <c r="M959" i="11" s="1"/>
  <c r="F959" i="11"/>
  <c r="E959" i="11"/>
  <c r="I958" i="11"/>
  <c r="F958" i="11"/>
  <c r="E958" i="11"/>
  <c r="F957" i="11"/>
  <c r="E957" i="11"/>
  <c r="G955" i="11"/>
  <c r="F955" i="11"/>
  <c r="E955" i="11"/>
  <c r="G954" i="11"/>
  <c r="I954" i="11" s="1"/>
  <c r="F954" i="11"/>
  <c r="E954" i="11"/>
  <c r="G953" i="11"/>
  <c r="I953" i="11" s="1"/>
  <c r="F953" i="11"/>
  <c r="E953" i="11"/>
  <c r="G952" i="11"/>
  <c r="F952" i="11"/>
  <c r="E952" i="11"/>
  <c r="G951" i="11"/>
  <c r="F951" i="11"/>
  <c r="E951" i="11"/>
  <c r="G950" i="11"/>
  <c r="F950" i="11"/>
  <c r="E950" i="11"/>
  <c r="G949" i="11"/>
  <c r="F949" i="11"/>
  <c r="E949" i="11"/>
  <c r="G948" i="11"/>
  <c r="F948" i="11"/>
  <c r="E948" i="11"/>
  <c r="G947" i="11"/>
  <c r="F947" i="11"/>
  <c r="E947" i="11"/>
  <c r="G946" i="11"/>
  <c r="I946" i="11" s="1"/>
  <c r="F946" i="11"/>
  <c r="E946" i="11"/>
  <c r="G945" i="11"/>
  <c r="F945" i="11"/>
  <c r="E945" i="11"/>
  <c r="G944" i="11"/>
  <c r="L944" i="11" s="1"/>
  <c r="M944" i="11" s="1"/>
  <c r="F944" i="11"/>
  <c r="E944" i="11"/>
  <c r="G943" i="11"/>
  <c r="I943" i="11" s="1"/>
  <c r="F943" i="11"/>
  <c r="E943" i="11"/>
  <c r="G942" i="11"/>
  <c r="F942" i="11"/>
  <c r="E942" i="11"/>
  <c r="G941" i="11"/>
  <c r="I941" i="11" s="1"/>
  <c r="F941" i="11"/>
  <c r="E941" i="11"/>
  <c r="G940" i="11"/>
  <c r="F940" i="11"/>
  <c r="E940" i="11"/>
  <c r="G939" i="11"/>
  <c r="F939" i="11"/>
  <c r="E939" i="11"/>
  <c r="G938" i="11"/>
  <c r="L938" i="11" s="1"/>
  <c r="M938" i="11" s="1"/>
  <c r="F938" i="11"/>
  <c r="E938" i="11"/>
  <c r="G937" i="11"/>
  <c r="I937" i="11" s="1"/>
  <c r="F937" i="11"/>
  <c r="E937" i="11"/>
  <c r="G936" i="11"/>
  <c r="L936" i="11" s="1"/>
  <c r="M936" i="11" s="1"/>
  <c r="F936" i="11"/>
  <c r="E936" i="11"/>
  <c r="G935" i="11"/>
  <c r="F935" i="11"/>
  <c r="E935" i="11"/>
  <c r="G934" i="11"/>
  <c r="L934" i="11" s="1"/>
  <c r="M934" i="11" s="1"/>
  <c r="F934" i="11"/>
  <c r="E934" i="11"/>
  <c r="G933" i="11"/>
  <c r="I933" i="11" s="1"/>
  <c r="F933" i="11"/>
  <c r="E933" i="11"/>
  <c r="G932" i="11"/>
  <c r="L932" i="11" s="1"/>
  <c r="F932" i="11"/>
  <c r="E932" i="11"/>
  <c r="G931" i="11"/>
  <c r="I931" i="11" s="1"/>
  <c r="F931" i="11"/>
  <c r="E931" i="11"/>
  <c r="G930" i="11"/>
  <c r="F930" i="11"/>
  <c r="E930" i="11"/>
  <c r="G929" i="11"/>
  <c r="F929" i="11"/>
  <c r="E929" i="11"/>
  <c r="G928" i="11"/>
  <c r="F928" i="11"/>
  <c r="E928" i="11"/>
  <c r="G927" i="11"/>
  <c r="I927" i="11" s="1"/>
  <c r="F927" i="11"/>
  <c r="E927" i="11"/>
  <c r="G926" i="11"/>
  <c r="L926" i="11" s="1"/>
  <c r="M926" i="11" s="1"/>
  <c r="F926" i="11"/>
  <c r="E926" i="11"/>
  <c r="G925" i="11"/>
  <c r="I925" i="11" s="1"/>
  <c r="F925" i="11"/>
  <c r="E925" i="11"/>
  <c r="G924" i="11"/>
  <c r="L924" i="11" s="1"/>
  <c r="M924" i="11" s="1"/>
  <c r="F924" i="11"/>
  <c r="E924" i="11"/>
  <c r="G923" i="11"/>
  <c r="I923" i="11" s="1"/>
  <c r="F923" i="11"/>
  <c r="E923" i="11"/>
  <c r="G922" i="11"/>
  <c r="F922" i="11"/>
  <c r="E922" i="11"/>
  <c r="G921" i="11"/>
  <c r="I921" i="11" s="1"/>
  <c r="F921" i="11"/>
  <c r="E921" i="11"/>
  <c r="G920" i="11"/>
  <c r="F920" i="11"/>
  <c r="E920" i="11"/>
  <c r="G919" i="11"/>
  <c r="F919" i="11"/>
  <c r="E919" i="11"/>
  <c r="G918" i="11"/>
  <c r="L918" i="11" s="1"/>
  <c r="M918" i="11" s="1"/>
  <c r="F918" i="11"/>
  <c r="E918" i="11"/>
  <c r="G917" i="11"/>
  <c r="I917" i="11" s="1"/>
  <c r="F917" i="11"/>
  <c r="E917" i="11"/>
  <c r="G916" i="11"/>
  <c r="L916" i="11" s="1"/>
  <c r="F916" i="11"/>
  <c r="E916" i="11"/>
  <c r="G915" i="11"/>
  <c r="I915" i="11" s="1"/>
  <c r="F915" i="11"/>
  <c r="E915" i="11"/>
  <c r="G914" i="11"/>
  <c r="I914" i="11" s="1"/>
  <c r="F914" i="11"/>
  <c r="E914" i="11"/>
  <c r="G913" i="11"/>
  <c r="F913" i="11"/>
  <c r="E913" i="11"/>
  <c r="G912" i="11"/>
  <c r="F912" i="11"/>
  <c r="E912" i="11"/>
  <c r="G911" i="11"/>
  <c r="I911" i="11" s="1"/>
  <c r="F911" i="11"/>
  <c r="E911" i="11"/>
  <c r="G910" i="11"/>
  <c r="I910" i="11" s="1"/>
  <c r="F910" i="11"/>
  <c r="E910" i="11"/>
  <c r="G909" i="11"/>
  <c r="I909" i="11" s="1"/>
  <c r="F909" i="11"/>
  <c r="E909" i="11"/>
  <c r="G908" i="11"/>
  <c r="F908" i="11"/>
  <c r="E908" i="11"/>
  <c r="G907" i="11"/>
  <c r="F907" i="11"/>
  <c r="E907" i="11"/>
  <c r="G906" i="11"/>
  <c r="F906" i="11"/>
  <c r="E906" i="11"/>
  <c r="G905" i="11"/>
  <c r="I905" i="11" s="1"/>
  <c r="F905" i="11"/>
  <c r="E905" i="11"/>
  <c r="G904" i="11"/>
  <c r="L904" i="11" s="1"/>
  <c r="M904" i="11" s="1"/>
  <c r="F904" i="11"/>
  <c r="E904" i="11"/>
  <c r="G903" i="11"/>
  <c r="F903" i="11"/>
  <c r="E903" i="11"/>
  <c r="L902" i="11"/>
  <c r="F902" i="11"/>
  <c r="E902" i="11"/>
  <c r="I901" i="11"/>
  <c r="F901" i="11"/>
  <c r="E901" i="11"/>
  <c r="L900" i="11"/>
  <c r="F900" i="11"/>
  <c r="E900" i="11"/>
  <c r="G899" i="11"/>
  <c r="F899" i="11"/>
  <c r="E899" i="11"/>
  <c r="G898" i="11"/>
  <c r="F898" i="11"/>
  <c r="E898" i="11"/>
  <c r="G896" i="11"/>
  <c r="I896" i="11" s="1"/>
  <c r="F896" i="11"/>
  <c r="E896" i="11"/>
  <c r="G895" i="11"/>
  <c r="F895" i="11"/>
  <c r="E895" i="11"/>
  <c r="G894" i="11"/>
  <c r="F894" i="11"/>
  <c r="E894" i="11"/>
  <c r="G893" i="11"/>
  <c r="L893" i="11" s="1"/>
  <c r="M893" i="11" s="1"/>
  <c r="F893" i="11"/>
  <c r="E893" i="11"/>
  <c r="G892" i="11"/>
  <c r="I892" i="11" s="1"/>
  <c r="F892" i="11"/>
  <c r="E892" i="11"/>
  <c r="G891" i="11"/>
  <c r="I891" i="11" s="1"/>
  <c r="F891" i="11"/>
  <c r="E891" i="11"/>
  <c r="G890" i="11"/>
  <c r="I890" i="11" s="1"/>
  <c r="F890" i="11"/>
  <c r="E890" i="11"/>
  <c r="G889" i="11"/>
  <c r="F889" i="11"/>
  <c r="E889" i="11"/>
  <c r="G888" i="11"/>
  <c r="F888" i="11"/>
  <c r="E888" i="11"/>
  <c r="G887" i="11"/>
  <c r="L887" i="11" s="1"/>
  <c r="M887" i="11" s="1"/>
  <c r="F887" i="11"/>
  <c r="E887" i="11"/>
  <c r="G886" i="11"/>
  <c r="I886" i="11" s="1"/>
  <c r="F886" i="11"/>
  <c r="E886" i="11"/>
  <c r="G885" i="11"/>
  <c r="L885" i="11" s="1"/>
  <c r="F885" i="11"/>
  <c r="E885" i="11"/>
  <c r="G884" i="11"/>
  <c r="I884" i="11" s="1"/>
  <c r="F884" i="11"/>
  <c r="E884" i="11"/>
  <c r="G883" i="11"/>
  <c r="I883" i="11" s="1"/>
  <c r="F883" i="11"/>
  <c r="E883" i="11"/>
  <c r="G882" i="11"/>
  <c r="F882" i="11"/>
  <c r="E882" i="11"/>
  <c r="G881" i="11"/>
  <c r="L881" i="11" s="1"/>
  <c r="M881" i="11" s="1"/>
  <c r="F881" i="11"/>
  <c r="E881" i="11"/>
  <c r="G880" i="11"/>
  <c r="I880" i="11" s="1"/>
  <c r="F880" i="11"/>
  <c r="E880" i="11"/>
  <c r="G879" i="11"/>
  <c r="F879" i="11"/>
  <c r="E879" i="11"/>
  <c r="G878" i="11"/>
  <c r="F878" i="11"/>
  <c r="E878" i="11"/>
  <c r="G877" i="11"/>
  <c r="F877" i="11"/>
  <c r="E877" i="11"/>
  <c r="G876" i="11"/>
  <c r="F876" i="11"/>
  <c r="E876" i="11"/>
  <c r="G875" i="11"/>
  <c r="F875" i="11"/>
  <c r="E875" i="11"/>
  <c r="G874" i="11"/>
  <c r="I874" i="11" s="1"/>
  <c r="F874" i="11"/>
  <c r="E874" i="11"/>
  <c r="G873" i="11"/>
  <c r="F873" i="11"/>
  <c r="E873" i="11"/>
  <c r="G872" i="11"/>
  <c r="F872" i="11"/>
  <c r="E872" i="11"/>
  <c r="G871" i="11"/>
  <c r="I871" i="11" s="1"/>
  <c r="F871" i="11"/>
  <c r="E871" i="11"/>
  <c r="G870" i="11"/>
  <c r="I870" i="11" s="1"/>
  <c r="F870" i="11"/>
  <c r="E870" i="11"/>
  <c r="G869" i="11"/>
  <c r="L869" i="11" s="1"/>
  <c r="F869" i="11"/>
  <c r="E869" i="11"/>
  <c r="G868" i="11"/>
  <c r="I868" i="11" s="1"/>
  <c r="F868" i="11"/>
  <c r="E868" i="11"/>
  <c r="G867" i="11"/>
  <c r="F867" i="11"/>
  <c r="E867" i="11"/>
  <c r="G866" i="11"/>
  <c r="F866" i="11"/>
  <c r="E866" i="11"/>
  <c r="G865" i="11"/>
  <c r="F865" i="11"/>
  <c r="E865" i="11"/>
  <c r="G864" i="11"/>
  <c r="I864" i="11" s="1"/>
  <c r="F864" i="11"/>
  <c r="E864" i="11"/>
  <c r="G863" i="11"/>
  <c r="F863" i="11"/>
  <c r="E863" i="11"/>
  <c r="G862" i="11"/>
  <c r="F862" i="11"/>
  <c r="E862" i="11"/>
  <c r="G861" i="11"/>
  <c r="L861" i="11" s="1"/>
  <c r="M861" i="11" s="1"/>
  <c r="F861" i="11"/>
  <c r="E861" i="11"/>
  <c r="G860" i="11"/>
  <c r="I860" i="11" s="1"/>
  <c r="F860" i="11"/>
  <c r="E860" i="11"/>
  <c r="G859" i="11"/>
  <c r="F859" i="11"/>
  <c r="E859" i="11"/>
  <c r="G858" i="11"/>
  <c r="I858" i="11" s="1"/>
  <c r="F858" i="11"/>
  <c r="E858" i="11"/>
  <c r="G857" i="11"/>
  <c r="F857" i="11"/>
  <c r="E857" i="11"/>
  <c r="G856" i="11"/>
  <c r="F856" i="11"/>
  <c r="E856" i="11"/>
  <c r="G855" i="11"/>
  <c r="F855" i="11"/>
  <c r="E855" i="11"/>
  <c r="G854" i="11"/>
  <c r="F854" i="11"/>
  <c r="E854" i="11"/>
  <c r="G853" i="11"/>
  <c r="F853" i="11"/>
  <c r="E853" i="11"/>
  <c r="G852" i="11"/>
  <c r="F852" i="11"/>
  <c r="E852" i="11"/>
  <c r="G851" i="11"/>
  <c r="L851" i="11" s="1"/>
  <c r="M851" i="11" s="1"/>
  <c r="F851" i="11"/>
  <c r="E851" i="11"/>
  <c r="G850" i="11"/>
  <c r="F850" i="11"/>
  <c r="E850" i="11"/>
  <c r="G849" i="11"/>
  <c r="L849" i="11" s="1"/>
  <c r="M849" i="11" s="1"/>
  <c r="F849" i="11"/>
  <c r="E849" i="11"/>
  <c r="G848" i="11"/>
  <c r="I848" i="11" s="1"/>
  <c r="F848" i="11"/>
  <c r="E848" i="11"/>
  <c r="G846" i="11"/>
  <c r="L846" i="11" s="1"/>
  <c r="M846" i="11" s="1"/>
  <c r="F846" i="11"/>
  <c r="E846" i="11"/>
  <c r="G845" i="11"/>
  <c r="I845" i="11" s="1"/>
  <c r="F845" i="11"/>
  <c r="E845" i="11"/>
  <c r="G844" i="11"/>
  <c r="F844" i="11"/>
  <c r="E844" i="11"/>
  <c r="G843" i="11"/>
  <c r="F843" i="11"/>
  <c r="E843" i="11"/>
  <c r="G842" i="11"/>
  <c r="F842" i="11"/>
  <c r="E842" i="11"/>
  <c r="G841" i="11"/>
  <c r="I841" i="11" s="1"/>
  <c r="F841" i="11"/>
  <c r="E841" i="11"/>
  <c r="G840" i="11"/>
  <c r="L840" i="11" s="1"/>
  <c r="M840" i="11" s="1"/>
  <c r="F840" i="11"/>
  <c r="E840" i="11"/>
  <c r="G839" i="11"/>
  <c r="F839" i="11"/>
  <c r="E839" i="11"/>
  <c r="I838" i="11"/>
  <c r="F838" i="11"/>
  <c r="E838" i="11"/>
  <c r="F837" i="11"/>
  <c r="E837" i="11"/>
  <c r="F836" i="11"/>
  <c r="E836" i="11"/>
  <c r="F835" i="11"/>
  <c r="E835" i="11"/>
  <c r="G834" i="11"/>
  <c r="F834" i="11"/>
  <c r="E834" i="11"/>
  <c r="G833" i="11"/>
  <c r="F833" i="11"/>
  <c r="E833" i="11"/>
  <c r="G832" i="11"/>
  <c r="F832" i="11"/>
  <c r="E832" i="11"/>
  <c r="G831" i="11"/>
  <c r="I831" i="11" s="1"/>
  <c r="F831" i="11"/>
  <c r="E831" i="11"/>
  <c r="G830" i="11"/>
  <c r="L830" i="11" s="1"/>
  <c r="M830" i="11" s="1"/>
  <c r="F830" i="11"/>
  <c r="E830" i="11"/>
  <c r="G829" i="11"/>
  <c r="I829" i="11" s="1"/>
  <c r="F829" i="11"/>
  <c r="E829" i="11"/>
  <c r="G828" i="11"/>
  <c r="F828" i="11"/>
  <c r="E828" i="11"/>
  <c r="G827" i="11"/>
  <c r="F827" i="11"/>
  <c r="E827" i="11"/>
  <c r="G826" i="11"/>
  <c r="I826" i="11" s="1"/>
  <c r="F826" i="11"/>
  <c r="E826" i="11"/>
  <c r="G825" i="11"/>
  <c r="I825" i="11" s="1"/>
  <c r="F825" i="11"/>
  <c r="E825" i="11"/>
  <c r="F824" i="11"/>
  <c r="E824" i="11"/>
  <c r="G823" i="11"/>
  <c r="F823" i="11"/>
  <c r="E823" i="11"/>
  <c r="G822" i="11"/>
  <c r="F822" i="11"/>
  <c r="E822" i="11"/>
  <c r="G821" i="11"/>
  <c r="F821" i="11"/>
  <c r="E821" i="11"/>
  <c r="G820" i="11"/>
  <c r="F820" i="11"/>
  <c r="E820" i="11"/>
  <c r="G819" i="11"/>
  <c r="F819" i="11"/>
  <c r="E819" i="11"/>
  <c r="G818" i="11"/>
  <c r="I818" i="11" s="1"/>
  <c r="F818" i="11"/>
  <c r="E818" i="11"/>
  <c r="G817" i="11"/>
  <c r="F817" i="11"/>
  <c r="E817" i="11"/>
  <c r="G816" i="11"/>
  <c r="L816" i="11" s="1"/>
  <c r="M816" i="11" s="1"/>
  <c r="F816" i="11"/>
  <c r="E816" i="11"/>
  <c r="G815" i="11"/>
  <c r="I815" i="11" s="1"/>
  <c r="F815" i="11"/>
  <c r="E815" i="11"/>
  <c r="G814" i="11"/>
  <c r="F814" i="11"/>
  <c r="E814" i="11"/>
  <c r="G813" i="11"/>
  <c r="F813" i="11"/>
  <c r="E813" i="11"/>
  <c r="G812" i="11"/>
  <c r="F812" i="11"/>
  <c r="E812" i="11"/>
  <c r="G811" i="11"/>
  <c r="F811" i="11"/>
  <c r="E811" i="11"/>
  <c r="G810" i="11"/>
  <c r="I810" i="11" s="1"/>
  <c r="F810" i="11"/>
  <c r="E810" i="11"/>
  <c r="G809" i="11"/>
  <c r="I809" i="11" s="1"/>
  <c r="F809" i="11"/>
  <c r="E809" i="11"/>
  <c r="G808" i="11"/>
  <c r="F808" i="11"/>
  <c r="E808" i="11"/>
  <c r="G807" i="11"/>
  <c r="F807" i="11"/>
  <c r="E807" i="11"/>
  <c r="G806" i="11"/>
  <c r="I806" i="11" s="1"/>
  <c r="F806" i="11"/>
  <c r="E806" i="11"/>
  <c r="G805" i="11"/>
  <c r="F805" i="11"/>
  <c r="E805" i="11"/>
  <c r="G804" i="11"/>
  <c r="F804" i="11"/>
  <c r="E804" i="11"/>
  <c r="G803" i="11"/>
  <c r="F803" i="11"/>
  <c r="E803" i="11"/>
  <c r="G802" i="11"/>
  <c r="F802" i="11"/>
  <c r="E802" i="11"/>
  <c r="G801" i="11"/>
  <c r="F801" i="11"/>
  <c r="E801" i="11"/>
  <c r="F800" i="11"/>
  <c r="E800" i="11"/>
  <c r="I799" i="11"/>
  <c r="F799" i="11"/>
  <c r="E799" i="11"/>
  <c r="L798" i="11"/>
  <c r="M798" i="11" s="1"/>
  <c r="F798" i="11"/>
  <c r="E798" i="11"/>
  <c r="G796" i="11"/>
  <c r="I796" i="11" s="1"/>
  <c r="F796" i="11"/>
  <c r="E796" i="11"/>
  <c r="G795" i="11"/>
  <c r="L795" i="11" s="1"/>
  <c r="M795" i="11" s="1"/>
  <c r="F795" i="11"/>
  <c r="E795" i="11"/>
  <c r="G794" i="11"/>
  <c r="I794" i="11" s="1"/>
  <c r="F794" i="11"/>
  <c r="E794" i="11"/>
  <c r="G793" i="11"/>
  <c r="F793" i="11"/>
  <c r="E793" i="11"/>
  <c r="G792" i="11"/>
  <c r="I792" i="11" s="1"/>
  <c r="F792" i="11"/>
  <c r="E792" i="11"/>
  <c r="G791" i="11"/>
  <c r="F791" i="11"/>
  <c r="E791" i="11"/>
  <c r="G790" i="11"/>
  <c r="F790" i="11"/>
  <c r="E790" i="11"/>
  <c r="G789" i="11"/>
  <c r="F789" i="11"/>
  <c r="E789" i="11"/>
  <c r="G788" i="11"/>
  <c r="F788" i="11"/>
  <c r="E788" i="11"/>
  <c r="G787" i="11"/>
  <c r="F787" i="11"/>
  <c r="E787" i="11"/>
  <c r="G786" i="11"/>
  <c r="F786" i="11"/>
  <c r="E786" i="11"/>
  <c r="G785" i="11"/>
  <c r="F785" i="11"/>
  <c r="E785" i="11"/>
  <c r="G784" i="11"/>
  <c r="F784" i="11"/>
  <c r="E784" i="11"/>
  <c r="G783" i="11"/>
  <c r="F783" i="11"/>
  <c r="E783" i="11"/>
  <c r="G782" i="11"/>
  <c r="I782" i="11" s="1"/>
  <c r="F782" i="11"/>
  <c r="E782" i="11"/>
  <c r="G781" i="11"/>
  <c r="I781" i="11" s="1"/>
  <c r="F781" i="11"/>
  <c r="E781" i="11"/>
  <c r="G780" i="11"/>
  <c r="F780" i="11"/>
  <c r="E780" i="11"/>
  <c r="G779" i="11"/>
  <c r="F779" i="11"/>
  <c r="E779" i="11"/>
  <c r="G778" i="11"/>
  <c r="F778" i="11"/>
  <c r="E778" i="11"/>
  <c r="G776" i="11"/>
  <c r="L776" i="11" s="1"/>
  <c r="M776" i="11" s="1"/>
  <c r="F776" i="11"/>
  <c r="E776" i="11"/>
  <c r="G775" i="11"/>
  <c r="I775" i="11" s="1"/>
  <c r="F775" i="11"/>
  <c r="E775" i="11"/>
  <c r="G774" i="11"/>
  <c r="L774" i="11" s="1"/>
  <c r="M774" i="11" s="1"/>
  <c r="F774" i="11"/>
  <c r="E774" i="11"/>
  <c r="G773" i="11"/>
  <c r="F773" i="11"/>
  <c r="E773" i="11"/>
  <c r="G772" i="11"/>
  <c r="I772" i="11" s="1"/>
  <c r="F772" i="11"/>
  <c r="E772" i="11"/>
  <c r="G771" i="11"/>
  <c r="F771" i="11"/>
  <c r="E771" i="11"/>
  <c r="G770" i="11"/>
  <c r="F770" i="11"/>
  <c r="E770" i="11"/>
  <c r="G769" i="11"/>
  <c r="F769" i="11"/>
  <c r="E769" i="11"/>
  <c r="G768" i="11"/>
  <c r="F768" i="11"/>
  <c r="E768" i="11"/>
  <c r="G767" i="11"/>
  <c r="F767" i="11"/>
  <c r="E767" i="11"/>
  <c r="G766" i="11"/>
  <c r="F766" i="11"/>
  <c r="E766" i="11"/>
  <c r="G765" i="11"/>
  <c r="I765" i="11" s="1"/>
  <c r="F765" i="11"/>
  <c r="E765" i="11"/>
  <c r="G764" i="11"/>
  <c r="F764" i="11"/>
  <c r="E764" i="11"/>
  <c r="G763" i="11"/>
  <c r="F763" i="11"/>
  <c r="E763" i="11"/>
  <c r="G762" i="11"/>
  <c r="F762" i="11"/>
  <c r="E762" i="11"/>
  <c r="G761" i="11"/>
  <c r="I761" i="11" s="1"/>
  <c r="F761" i="11"/>
  <c r="E761" i="11"/>
  <c r="G760" i="11"/>
  <c r="L760" i="11" s="1"/>
  <c r="F760" i="11"/>
  <c r="E760" i="11"/>
  <c r="G759" i="11"/>
  <c r="F759" i="11"/>
  <c r="E759" i="11"/>
  <c r="G758" i="11"/>
  <c r="F758" i="11"/>
  <c r="E758" i="11"/>
  <c r="G757" i="11"/>
  <c r="F757" i="11"/>
  <c r="E757" i="11"/>
  <c r="G756" i="11"/>
  <c r="F756" i="11"/>
  <c r="E756" i="11"/>
  <c r="G755" i="11"/>
  <c r="F755" i="11"/>
  <c r="E755" i="11"/>
  <c r="G754" i="11"/>
  <c r="L754" i="11" s="1"/>
  <c r="M754" i="11" s="1"/>
  <c r="F754" i="11"/>
  <c r="E754" i="11"/>
  <c r="G753" i="11"/>
  <c r="I753" i="11" s="1"/>
  <c r="F753" i="11"/>
  <c r="E753" i="11"/>
  <c r="G752" i="11"/>
  <c r="L752" i="11" s="1"/>
  <c r="F752" i="11"/>
  <c r="E752" i="11"/>
  <c r="G751" i="11"/>
  <c r="F751" i="11"/>
  <c r="E751" i="11"/>
  <c r="G750" i="11"/>
  <c r="L750" i="11" s="1"/>
  <c r="M750" i="11" s="1"/>
  <c r="F750" i="11"/>
  <c r="E750" i="11"/>
  <c r="G749" i="11"/>
  <c r="I749" i="11" s="1"/>
  <c r="F749" i="11"/>
  <c r="E749" i="11"/>
  <c r="G748" i="11"/>
  <c r="L748" i="11" s="1"/>
  <c r="F748" i="11"/>
  <c r="E748" i="11"/>
  <c r="G747" i="11"/>
  <c r="F747" i="11"/>
  <c r="E747" i="11"/>
  <c r="G746" i="11"/>
  <c r="L746" i="11" s="1"/>
  <c r="M746" i="11" s="1"/>
  <c r="F746" i="11"/>
  <c r="E746" i="11"/>
  <c r="G745" i="11"/>
  <c r="I745" i="11" s="1"/>
  <c r="F745" i="11"/>
  <c r="E745" i="11"/>
  <c r="G744" i="11"/>
  <c r="L744" i="11" s="1"/>
  <c r="F744" i="11"/>
  <c r="E744" i="11"/>
  <c r="G743" i="11"/>
  <c r="F743" i="11"/>
  <c r="E743" i="11"/>
  <c r="G742" i="11"/>
  <c r="I742" i="11" s="1"/>
  <c r="F742" i="11"/>
  <c r="E742" i="11"/>
  <c r="G741" i="11"/>
  <c r="F741" i="11"/>
  <c r="E741" i="11"/>
  <c r="G740" i="11"/>
  <c r="F740" i="11"/>
  <c r="E740" i="11"/>
  <c r="G739" i="11"/>
  <c r="F739" i="11"/>
  <c r="E739" i="11"/>
  <c r="G738" i="11"/>
  <c r="L738" i="11" s="1"/>
  <c r="M738" i="11" s="1"/>
  <c r="F738" i="11"/>
  <c r="E738" i="11"/>
  <c r="G737" i="11"/>
  <c r="I737" i="11" s="1"/>
  <c r="F737" i="11"/>
  <c r="E737" i="11"/>
  <c r="G736" i="11"/>
  <c r="L736" i="11" s="1"/>
  <c r="F736" i="11"/>
  <c r="E736" i="11"/>
  <c r="G735" i="11"/>
  <c r="F735" i="11"/>
  <c r="E735" i="11"/>
  <c r="G734" i="11"/>
  <c r="L734" i="11" s="1"/>
  <c r="M734" i="11" s="1"/>
  <c r="F734" i="11"/>
  <c r="E734" i="11"/>
  <c r="G733" i="11"/>
  <c r="I733" i="11" s="1"/>
  <c r="F733" i="11"/>
  <c r="E733" i="11"/>
  <c r="G732" i="11"/>
  <c r="L732" i="11" s="1"/>
  <c r="F732" i="11"/>
  <c r="E732" i="11"/>
  <c r="G731" i="11"/>
  <c r="F731" i="11"/>
  <c r="E731" i="11"/>
  <c r="G730" i="11"/>
  <c r="F730" i="11"/>
  <c r="E730" i="11"/>
  <c r="G729" i="11"/>
  <c r="F729" i="11"/>
  <c r="E729" i="11"/>
  <c r="G728" i="11"/>
  <c r="F728" i="11"/>
  <c r="E728" i="11"/>
  <c r="G727" i="11"/>
  <c r="F727" i="11"/>
  <c r="E727" i="11"/>
  <c r="G726" i="11"/>
  <c r="F726" i="11"/>
  <c r="E726" i="11"/>
  <c r="G725" i="11"/>
  <c r="F725" i="11"/>
  <c r="E725" i="11"/>
  <c r="G724" i="11"/>
  <c r="F724" i="11"/>
  <c r="E724" i="11"/>
  <c r="G723" i="11"/>
  <c r="F723" i="11"/>
  <c r="E723" i="11"/>
  <c r="G722" i="11"/>
  <c r="F722" i="11"/>
  <c r="E722" i="11"/>
  <c r="G721" i="11"/>
  <c r="F721" i="11"/>
  <c r="E721" i="11"/>
  <c r="G720" i="11"/>
  <c r="F720" i="11"/>
  <c r="E720" i="11"/>
  <c r="G719" i="11"/>
  <c r="F719" i="11"/>
  <c r="E719" i="11"/>
  <c r="G718" i="11"/>
  <c r="I718" i="11" s="1"/>
  <c r="F718" i="11"/>
  <c r="E718" i="11"/>
  <c r="G717" i="11"/>
  <c r="F717" i="11"/>
  <c r="E717" i="11"/>
  <c r="G716" i="11"/>
  <c r="F716" i="11"/>
  <c r="E716" i="11"/>
  <c r="G715" i="11"/>
  <c r="F715" i="11"/>
  <c r="E715" i="11"/>
  <c r="G714" i="11"/>
  <c r="F714" i="11"/>
  <c r="E714" i="11"/>
  <c r="G713" i="11"/>
  <c r="F713" i="11"/>
  <c r="E713" i="11"/>
  <c r="G712" i="11"/>
  <c r="F712" i="11"/>
  <c r="E712" i="11"/>
  <c r="G711" i="11"/>
  <c r="F711" i="11"/>
  <c r="E711" i="11"/>
  <c r="G710" i="11"/>
  <c r="I710" i="11" s="1"/>
  <c r="F710" i="11"/>
  <c r="E710" i="11"/>
  <c r="G709" i="11"/>
  <c r="F709" i="11"/>
  <c r="E709" i="11"/>
  <c r="G708" i="11"/>
  <c r="F708" i="11"/>
  <c r="E708" i="11"/>
  <c r="G707" i="11"/>
  <c r="F707" i="11"/>
  <c r="E707" i="11"/>
  <c r="G706" i="11"/>
  <c r="I706" i="11" s="1"/>
  <c r="F706" i="11"/>
  <c r="E706" i="11"/>
  <c r="G705" i="11"/>
  <c r="F705" i="11"/>
  <c r="E705" i="11"/>
  <c r="G704" i="11"/>
  <c r="F704" i="11"/>
  <c r="E704" i="11"/>
  <c r="G703" i="11"/>
  <c r="F703" i="11"/>
  <c r="E703" i="11"/>
  <c r="G702" i="11"/>
  <c r="F702" i="11"/>
  <c r="E702" i="11"/>
  <c r="G701" i="11"/>
  <c r="F701" i="11"/>
  <c r="E701" i="11"/>
  <c r="G699" i="11"/>
  <c r="F699" i="11"/>
  <c r="E699" i="11"/>
  <c r="G698" i="11"/>
  <c r="F698" i="11"/>
  <c r="E698" i="11"/>
  <c r="G697" i="11"/>
  <c r="L697" i="11" s="1"/>
  <c r="M697" i="11" s="1"/>
  <c r="F697" i="11"/>
  <c r="E697" i="11"/>
  <c r="G696" i="11"/>
  <c r="I696" i="11" s="1"/>
  <c r="F696" i="11"/>
  <c r="E696" i="11"/>
  <c r="L695" i="11"/>
  <c r="F695" i="11"/>
  <c r="E695" i="11"/>
  <c r="F694" i="11"/>
  <c r="E694" i="11"/>
  <c r="G693" i="11"/>
  <c r="I693" i="11" s="1"/>
  <c r="F693" i="11"/>
  <c r="E693" i="11"/>
  <c r="G692" i="11"/>
  <c r="I692" i="11" s="1"/>
  <c r="F692" i="11"/>
  <c r="E692" i="11"/>
  <c r="G691" i="11"/>
  <c r="L691" i="11" s="1"/>
  <c r="F691" i="11"/>
  <c r="E691" i="11"/>
  <c r="G690" i="11"/>
  <c r="F690" i="11"/>
  <c r="E690" i="11"/>
  <c r="G689" i="11"/>
  <c r="I689" i="11" s="1"/>
  <c r="F689" i="11"/>
  <c r="E689" i="11"/>
  <c r="G688" i="11"/>
  <c r="F688" i="11"/>
  <c r="E688" i="11"/>
  <c r="G687" i="11"/>
  <c r="F687" i="11"/>
  <c r="E687" i="11"/>
  <c r="G686" i="11"/>
  <c r="F686" i="11"/>
  <c r="E686" i="11"/>
  <c r="G685" i="11"/>
  <c r="L685" i="11" s="1"/>
  <c r="M685" i="11" s="1"/>
  <c r="F685" i="11"/>
  <c r="E685" i="11"/>
  <c r="G684" i="11"/>
  <c r="I684" i="11" s="1"/>
  <c r="F684" i="11"/>
  <c r="E684" i="11"/>
  <c r="G683" i="11"/>
  <c r="L683" i="11" s="1"/>
  <c r="F683" i="11"/>
  <c r="E683" i="11"/>
  <c r="G682" i="11"/>
  <c r="F682" i="11"/>
  <c r="E682" i="11"/>
  <c r="G681" i="11"/>
  <c r="L681" i="11" s="1"/>
  <c r="M681" i="11" s="1"/>
  <c r="F681" i="11"/>
  <c r="E681" i="11"/>
  <c r="G680" i="11"/>
  <c r="I680" i="11" s="1"/>
  <c r="F680" i="11"/>
  <c r="E680" i="11"/>
  <c r="G679" i="11"/>
  <c r="L679" i="11" s="1"/>
  <c r="F679" i="11"/>
  <c r="E679" i="11"/>
  <c r="G678" i="11"/>
  <c r="F678" i="11"/>
  <c r="E678" i="11"/>
  <c r="G677" i="11"/>
  <c r="I677" i="11" s="1"/>
  <c r="F677" i="11"/>
  <c r="E677" i="11"/>
  <c r="G676" i="11"/>
  <c r="F676" i="11"/>
  <c r="E676" i="11"/>
  <c r="G675" i="11"/>
  <c r="F675" i="11"/>
  <c r="E675" i="11"/>
  <c r="G674" i="11"/>
  <c r="F674" i="11"/>
  <c r="E674" i="11"/>
  <c r="G673" i="11"/>
  <c r="F673" i="11"/>
  <c r="E673" i="11"/>
  <c r="F671" i="11"/>
  <c r="E671" i="11"/>
  <c r="F670" i="11"/>
  <c r="E670" i="11"/>
  <c r="F669" i="11"/>
  <c r="E669" i="11"/>
  <c r="G668" i="11"/>
  <c r="L668" i="11" s="1"/>
  <c r="M668" i="11" s="1"/>
  <c r="F668" i="11"/>
  <c r="E668" i="11"/>
  <c r="G667" i="11"/>
  <c r="I667" i="11" s="1"/>
  <c r="F667" i="11"/>
  <c r="E667" i="11"/>
  <c r="G666" i="11"/>
  <c r="L666" i="11" s="1"/>
  <c r="F666" i="11"/>
  <c r="E666" i="11"/>
  <c r="G665" i="11"/>
  <c r="F665" i="11"/>
  <c r="E665" i="11"/>
  <c r="G664" i="11"/>
  <c r="L664" i="11" s="1"/>
  <c r="M664" i="11" s="1"/>
  <c r="F664" i="11"/>
  <c r="E664" i="11"/>
  <c r="G663" i="11"/>
  <c r="I663" i="11" s="1"/>
  <c r="F663" i="11"/>
  <c r="E663" i="11"/>
  <c r="G662" i="11"/>
  <c r="L662" i="11" s="1"/>
  <c r="F662" i="11"/>
  <c r="E662" i="11"/>
  <c r="G661" i="11"/>
  <c r="F661" i="11"/>
  <c r="E661" i="11"/>
  <c r="G660" i="11"/>
  <c r="F660" i="11"/>
  <c r="E660" i="11"/>
  <c r="G659" i="11"/>
  <c r="F659" i="11"/>
  <c r="E659" i="11"/>
  <c r="G658" i="11"/>
  <c r="F658" i="11"/>
  <c r="E658" i="11"/>
  <c r="G657" i="11"/>
  <c r="F657" i="11"/>
  <c r="E657" i="11"/>
  <c r="G656" i="11"/>
  <c r="I656" i="11" s="1"/>
  <c r="F656" i="11"/>
  <c r="E656" i="11"/>
  <c r="G655" i="11"/>
  <c r="F655" i="11"/>
  <c r="E655" i="11"/>
  <c r="G654" i="11"/>
  <c r="F654" i="11"/>
  <c r="E654" i="11"/>
  <c r="G653" i="11"/>
  <c r="F653" i="11"/>
  <c r="E653" i="11"/>
  <c r="G652" i="11"/>
  <c r="F652" i="11"/>
  <c r="E652" i="11"/>
  <c r="G651" i="11"/>
  <c r="F651" i="11"/>
  <c r="E651" i="11"/>
  <c r="G650" i="11"/>
  <c r="F650" i="11"/>
  <c r="E650" i="11"/>
  <c r="G649" i="11"/>
  <c r="F649" i="11"/>
  <c r="E649" i="11"/>
  <c r="G648" i="11"/>
  <c r="F648" i="11"/>
  <c r="E648" i="11"/>
  <c r="G647" i="11"/>
  <c r="F647" i="11"/>
  <c r="E647" i="11"/>
  <c r="F646" i="11"/>
  <c r="E646" i="11"/>
  <c r="F644" i="11"/>
  <c r="E644" i="11"/>
  <c r="G643" i="11"/>
  <c r="I643" i="11" s="1"/>
  <c r="F643" i="11"/>
  <c r="E643" i="11"/>
  <c r="G642" i="11"/>
  <c r="F642" i="11"/>
  <c r="E642" i="11"/>
  <c r="G641" i="11"/>
  <c r="F641" i="11"/>
  <c r="E641" i="11"/>
  <c r="G640" i="11"/>
  <c r="F640" i="11"/>
  <c r="E640" i="11"/>
  <c r="G639" i="11"/>
  <c r="I639" i="11" s="1"/>
  <c r="F639" i="11"/>
  <c r="E639" i="11"/>
  <c r="G638" i="11"/>
  <c r="F638" i="11"/>
  <c r="E638" i="11"/>
  <c r="G637" i="11"/>
  <c r="F637" i="11"/>
  <c r="E637" i="11"/>
  <c r="G636" i="11"/>
  <c r="F636" i="11"/>
  <c r="E636" i="11"/>
  <c r="G635" i="11"/>
  <c r="F635" i="11"/>
  <c r="E635" i="11"/>
  <c r="G634" i="11"/>
  <c r="F634" i="11"/>
  <c r="E634" i="11"/>
  <c r="G633" i="11"/>
  <c r="F633" i="11"/>
  <c r="E633" i="11"/>
  <c r="G632" i="11"/>
  <c r="F632" i="11"/>
  <c r="E632" i="11"/>
  <c r="G631" i="11"/>
  <c r="I631" i="11" s="1"/>
  <c r="F631" i="11"/>
  <c r="E631" i="11"/>
  <c r="G630" i="11"/>
  <c r="F630" i="11"/>
  <c r="E630" i="11"/>
  <c r="G629" i="11"/>
  <c r="L629" i="11" s="1"/>
  <c r="M629" i="11" s="1"/>
  <c r="F629" i="11"/>
  <c r="E629" i="11"/>
  <c r="G628" i="11"/>
  <c r="I628" i="11" s="1"/>
  <c r="F628" i="11"/>
  <c r="E628" i="11"/>
  <c r="G627" i="11"/>
  <c r="L627" i="11" s="1"/>
  <c r="F627" i="11"/>
  <c r="E627" i="11"/>
  <c r="G626" i="11"/>
  <c r="I626" i="11" s="1"/>
  <c r="F626" i="11"/>
  <c r="E626" i="11"/>
  <c r="G625" i="11"/>
  <c r="F625" i="11"/>
  <c r="E625" i="11"/>
  <c r="G623" i="11"/>
  <c r="F623" i="11"/>
  <c r="E623" i="11"/>
  <c r="G622" i="11"/>
  <c r="F622" i="11"/>
  <c r="E622" i="11"/>
  <c r="G621" i="11"/>
  <c r="I621" i="11" s="1"/>
  <c r="F621" i="11"/>
  <c r="E621" i="11"/>
  <c r="G620" i="11"/>
  <c r="F620" i="11"/>
  <c r="E620" i="11"/>
  <c r="G619" i="11"/>
  <c r="F619" i="11"/>
  <c r="E619" i="11"/>
  <c r="G618" i="11"/>
  <c r="F618" i="11"/>
  <c r="E618" i="11"/>
  <c r="G617" i="11"/>
  <c r="I617" i="11" s="1"/>
  <c r="F617" i="11"/>
  <c r="E617" i="11"/>
  <c r="G616" i="11"/>
  <c r="F616" i="11"/>
  <c r="E616" i="11"/>
  <c r="G615" i="11"/>
  <c r="F615" i="11"/>
  <c r="E615" i="11"/>
  <c r="G614" i="11"/>
  <c r="I614" i="11" s="1"/>
  <c r="F614" i="11"/>
  <c r="E614" i="11"/>
  <c r="G613" i="11"/>
  <c r="I613" i="11" s="1"/>
  <c r="F613" i="11"/>
  <c r="E613" i="11"/>
  <c r="G612" i="11"/>
  <c r="F612" i="11"/>
  <c r="E612" i="11"/>
  <c r="G611" i="11"/>
  <c r="L611" i="11" s="1"/>
  <c r="M611" i="11" s="1"/>
  <c r="F611" i="11"/>
  <c r="E611" i="11"/>
  <c r="G610" i="11"/>
  <c r="I610" i="11" s="1"/>
  <c r="F610" i="11"/>
  <c r="E610" i="11"/>
  <c r="G609" i="11"/>
  <c r="L609" i="11" s="1"/>
  <c r="M609" i="11" s="1"/>
  <c r="F609" i="11"/>
  <c r="E609" i="11"/>
  <c r="G608" i="11"/>
  <c r="I608" i="11" s="1"/>
  <c r="F608" i="11"/>
  <c r="E608" i="11"/>
  <c r="G607" i="11"/>
  <c r="L607" i="11" s="1"/>
  <c r="M607" i="11" s="1"/>
  <c r="F607" i="11"/>
  <c r="E607" i="11"/>
  <c r="G606" i="11"/>
  <c r="F606" i="11"/>
  <c r="E606" i="11"/>
  <c r="G605" i="11"/>
  <c r="I605" i="11" s="1"/>
  <c r="F605" i="11"/>
  <c r="E605" i="11"/>
  <c r="G603" i="11"/>
  <c r="L603" i="11" s="1"/>
  <c r="M603" i="11" s="1"/>
  <c r="F603" i="11"/>
  <c r="E603" i="11"/>
  <c r="G602" i="11"/>
  <c r="F602" i="11"/>
  <c r="E602" i="11"/>
  <c r="G601" i="11"/>
  <c r="L601" i="11" s="1"/>
  <c r="M601" i="11" s="1"/>
  <c r="F601" i="11"/>
  <c r="E601" i="11"/>
  <c r="G600" i="11"/>
  <c r="I600" i="11" s="1"/>
  <c r="F600" i="11"/>
  <c r="E600" i="11"/>
  <c r="G598" i="11"/>
  <c r="L598" i="11" s="1"/>
  <c r="M598" i="11" s="1"/>
  <c r="F598" i="11"/>
  <c r="E598" i="11"/>
  <c r="G597" i="11"/>
  <c r="I597" i="11" s="1"/>
  <c r="F597" i="11"/>
  <c r="E597" i="11"/>
  <c r="G595" i="11"/>
  <c r="L595" i="11" s="1"/>
  <c r="F595" i="11"/>
  <c r="E595" i="11"/>
  <c r="G594" i="11"/>
  <c r="F594" i="11"/>
  <c r="E594" i="11"/>
  <c r="G593" i="11"/>
  <c r="L593" i="11" s="1"/>
  <c r="M593" i="11" s="1"/>
  <c r="F593" i="11"/>
  <c r="E593" i="11"/>
  <c r="G592" i="11"/>
  <c r="I592" i="11" s="1"/>
  <c r="F592" i="11"/>
  <c r="E592" i="11"/>
  <c r="G591" i="11"/>
  <c r="L591" i="11" s="1"/>
  <c r="F591" i="11"/>
  <c r="E591" i="11"/>
  <c r="G590" i="11"/>
  <c r="F590" i="11"/>
  <c r="E590" i="11"/>
  <c r="G589" i="11"/>
  <c r="L589" i="11" s="1"/>
  <c r="M589" i="11" s="1"/>
  <c r="F589" i="11"/>
  <c r="E589" i="11"/>
  <c r="G588" i="11"/>
  <c r="I588" i="11" s="1"/>
  <c r="F588" i="11"/>
  <c r="E588" i="11"/>
  <c r="G587" i="11"/>
  <c r="L587" i="11" s="1"/>
  <c r="F587" i="11"/>
  <c r="E587" i="11"/>
  <c r="G586" i="11"/>
  <c r="F586" i="11"/>
  <c r="E586" i="11"/>
  <c r="G585" i="11"/>
  <c r="I585" i="11" s="1"/>
  <c r="F585" i="11"/>
  <c r="E585" i="11"/>
  <c r="G584" i="11"/>
  <c r="F584" i="11"/>
  <c r="E584" i="11"/>
  <c r="G583" i="11"/>
  <c r="F583" i="11"/>
  <c r="E583" i="11"/>
  <c r="G582" i="11"/>
  <c r="F582" i="11"/>
  <c r="E582" i="11"/>
  <c r="G581" i="11"/>
  <c r="L581" i="11" s="1"/>
  <c r="M581" i="11" s="1"/>
  <c r="F581" i="11"/>
  <c r="E581" i="11"/>
  <c r="G580" i="11"/>
  <c r="I580" i="11" s="1"/>
  <c r="F580" i="11"/>
  <c r="E580" i="11"/>
  <c r="G579" i="11"/>
  <c r="L579" i="11" s="1"/>
  <c r="F579" i="11"/>
  <c r="E579" i="11"/>
  <c r="G578" i="11"/>
  <c r="F578" i="11"/>
  <c r="E578" i="11"/>
  <c r="G577" i="11"/>
  <c r="L577" i="11" s="1"/>
  <c r="M577" i="11" s="1"/>
  <c r="F577" i="11"/>
  <c r="E577" i="11"/>
  <c r="G576" i="11"/>
  <c r="I576" i="11" s="1"/>
  <c r="F576" i="11"/>
  <c r="E576" i="11"/>
  <c r="G575" i="11"/>
  <c r="L575" i="11" s="1"/>
  <c r="F575" i="11"/>
  <c r="E575" i="11"/>
  <c r="G574" i="11"/>
  <c r="F574" i="11"/>
  <c r="E574" i="11"/>
  <c r="G573" i="11"/>
  <c r="L573" i="11" s="1"/>
  <c r="M573" i="11" s="1"/>
  <c r="F573" i="11"/>
  <c r="E573" i="11"/>
  <c r="G572" i="11"/>
  <c r="I572" i="11" s="1"/>
  <c r="F572" i="11"/>
  <c r="E572" i="11"/>
  <c r="G571" i="11"/>
  <c r="L571" i="11" s="1"/>
  <c r="F571" i="11"/>
  <c r="E571" i="11"/>
  <c r="G570" i="11"/>
  <c r="F570" i="11"/>
  <c r="E570" i="11"/>
  <c r="G569" i="11"/>
  <c r="I569" i="11" s="1"/>
  <c r="F569" i="11"/>
  <c r="E569" i="11"/>
  <c r="G568" i="11"/>
  <c r="F568" i="11"/>
  <c r="E568" i="11"/>
  <c r="G567" i="11"/>
  <c r="F567" i="11"/>
  <c r="E567" i="11"/>
  <c r="G566" i="11"/>
  <c r="F566" i="11"/>
  <c r="E566" i="11"/>
  <c r="G565" i="11"/>
  <c r="L565" i="11" s="1"/>
  <c r="M565" i="11" s="1"/>
  <c r="F565" i="11"/>
  <c r="E565" i="11"/>
  <c r="G564" i="11"/>
  <c r="I564" i="11" s="1"/>
  <c r="F564" i="11"/>
  <c r="E564" i="11"/>
  <c r="G563" i="11"/>
  <c r="L563" i="11" s="1"/>
  <c r="F563" i="11"/>
  <c r="E563" i="11"/>
  <c r="G562" i="11"/>
  <c r="F562" i="11"/>
  <c r="E562" i="11"/>
  <c r="G561" i="11"/>
  <c r="L561" i="11" s="1"/>
  <c r="M561" i="11" s="1"/>
  <c r="F561" i="11"/>
  <c r="E561" i="11"/>
  <c r="G559" i="11"/>
  <c r="I559" i="11" s="1"/>
  <c r="F559" i="11"/>
  <c r="E559" i="11"/>
  <c r="G558" i="11"/>
  <c r="L558" i="11" s="1"/>
  <c r="F558" i="11"/>
  <c r="E558" i="11"/>
  <c r="G557" i="11"/>
  <c r="F557" i="11"/>
  <c r="E557" i="11"/>
  <c r="G556" i="11"/>
  <c r="L556" i="11" s="1"/>
  <c r="M556" i="11" s="1"/>
  <c r="F556" i="11"/>
  <c r="E556" i="11"/>
  <c r="G555" i="11"/>
  <c r="I555" i="11" s="1"/>
  <c r="F555" i="11"/>
  <c r="E555" i="11"/>
  <c r="G554" i="11"/>
  <c r="L554" i="11" s="1"/>
  <c r="F554" i="11"/>
  <c r="E554" i="11"/>
  <c r="G553" i="11"/>
  <c r="F553" i="11"/>
  <c r="E553" i="11"/>
  <c r="G552" i="11"/>
  <c r="F552" i="11"/>
  <c r="E552" i="11"/>
  <c r="G551" i="11"/>
  <c r="F551" i="11"/>
  <c r="E551" i="11"/>
  <c r="G550" i="11"/>
  <c r="F550" i="11"/>
  <c r="E550" i="11"/>
  <c r="G549" i="11"/>
  <c r="F549" i="11"/>
  <c r="E549" i="11"/>
  <c r="G548" i="11"/>
  <c r="L548" i="11" s="1"/>
  <c r="M548" i="11" s="1"/>
  <c r="F548" i="11"/>
  <c r="E548" i="11"/>
  <c r="G547" i="11"/>
  <c r="I547" i="11" s="1"/>
  <c r="F547" i="11"/>
  <c r="E547" i="11"/>
  <c r="G546" i="11"/>
  <c r="L546" i="11" s="1"/>
  <c r="F546" i="11"/>
  <c r="E546" i="11"/>
  <c r="G545" i="11"/>
  <c r="F545" i="11"/>
  <c r="E545" i="11"/>
  <c r="G544" i="11"/>
  <c r="L544" i="11" s="1"/>
  <c r="M544" i="11" s="1"/>
  <c r="F544" i="11"/>
  <c r="E544" i="11"/>
  <c r="G543" i="11"/>
  <c r="I543" i="11" s="1"/>
  <c r="F543" i="11"/>
  <c r="E543" i="11"/>
  <c r="G542" i="11"/>
  <c r="L542" i="11" s="1"/>
  <c r="F542" i="11"/>
  <c r="E542" i="11"/>
  <c r="G541" i="11"/>
  <c r="F541" i="11"/>
  <c r="E541" i="11"/>
  <c r="G540" i="11"/>
  <c r="I540" i="11" s="1"/>
  <c r="F540" i="11"/>
  <c r="E540" i="11"/>
  <c r="G539" i="11"/>
  <c r="I539" i="11" s="1"/>
  <c r="F539" i="11"/>
  <c r="E539" i="11"/>
  <c r="G538" i="11"/>
  <c r="L538" i="11" s="1"/>
  <c r="F538" i="11"/>
  <c r="E538" i="11"/>
  <c r="G537" i="11"/>
  <c r="F537" i="11"/>
  <c r="E537" i="11"/>
  <c r="G536" i="11"/>
  <c r="I536" i="11" s="1"/>
  <c r="F536" i="11"/>
  <c r="E536" i="11"/>
  <c r="G535" i="11"/>
  <c r="F535" i="11"/>
  <c r="E535" i="11"/>
  <c r="F534" i="11"/>
  <c r="E534" i="11"/>
  <c r="F533" i="11"/>
  <c r="E533" i="11"/>
  <c r="G531" i="11"/>
  <c r="L531" i="11" s="1"/>
  <c r="M531" i="11" s="1"/>
  <c r="F531" i="11"/>
  <c r="E531" i="11"/>
  <c r="G530" i="11"/>
  <c r="I530" i="11" s="1"/>
  <c r="F530" i="11"/>
  <c r="E530" i="11"/>
  <c r="G529" i="11"/>
  <c r="L529" i="11" s="1"/>
  <c r="F529" i="11"/>
  <c r="E529" i="11"/>
  <c r="G528" i="11"/>
  <c r="F528" i="11"/>
  <c r="E528" i="11"/>
  <c r="G527" i="11"/>
  <c r="I527" i="11" s="1"/>
  <c r="F527" i="11"/>
  <c r="E527" i="11"/>
  <c r="G526" i="11"/>
  <c r="I526" i="11" s="1"/>
  <c r="F526" i="11"/>
  <c r="E526" i="11"/>
  <c r="G525" i="11"/>
  <c r="L525" i="11" s="1"/>
  <c r="F525" i="11"/>
  <c r="E525" i="11"/>
  <c r="G524" i="11"/>
  <c r="F524" i="11"/>
  <c r="E524" i="11"/>
  <c r="G523" i="11"/>
  <c r="I523" i="11" s="1"/>
  <c r="F523" i="11"/>
  <c r="E523" i="11"/>
  <c r="G522" i="11"/>
  <c r="F522" i="11"/>
  <c r="E522" i="11"/>
  <c r="G521" i="11"/>
  <c r="F521" i="11"/>
  <c r="E521" i="11"/>
  <c r="G520" i="11"/>
  <c r="F520" i="11"/>
  <c r="E520" i="11"/>
  <c r="G519" i="11"/>
  <c r="I519" i="11" s="1"/>
  <c r="F519" i="11"/>
  <c r="E519" i="11"/>
  <c r="G518" i="11"/>
  <c r="F518" i="11"/>
  <c r="E518" i="11"/>
  <c r="G517" i="11"/>
  <c r="F517" i="11"/>
  <c r="E517" i="11"/>
  <c r="G516" i="11"/>
  <c r="F516" i="11"/>
  <c r="E516" i="11"/>
  <c r="G515" i="11"/>
  <c r="F515" i="11"/>
  <c r="E515" i="11"/>
  <c r="G514" i="11"/>
  <c r="F514" i="11"/>
  <c r="E514" i="11"/>
  <c r="G513" i="11"/>
  <c r="F513" i="11"/>
  <c r="E513" i="11"/>
  <c r="G512" i="11"/>
  <c r="F512" i="11"/>
  <c r="E512" i="11"/>
  <c r="G511" i="11"/>
  <c r="I511" i="11" s="1"/>
  <c r="F511" i="11"/>
  <c r="E511" i="11"/>
  <c r="G510" i="11"/>
  <c r="F510" i="11"/>
  <c r="E510" i="11"/>
  <c r="G509" i="11"/>
  <c r="F509" i="11"/>
  <c r="E509" i="11"/>
  <c r="G508" i="11"/>
  <c r="F508" i="11"/>
  <c r="E508" i="11"/>
  <c r="G507" i="11"/>
  <c r="I507" i="11" s="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0" i="11"/>
  <c r="F500" i="11"/>
  <c r="E500" i="11"/>
  <c r="G499" i="11"/>
  <c r="F499" i="11"/>
  <c r="E499" i="11"/>
  <c r="L498" i="11"/>
  <c r="M498" i="11" s="1"/>
  <c r="F498" i="11"/>
  <c r="E498" i="11"/>
  <c r="I497" i="11"/>
  <c r="F497" i="11"/>
  <c r="E497" i="11"/>
  <c r="G496" i="11"/>
  <c r="L496" i="11" s="1"/>
  <c r="F496" i="11"/>
  <c r="E496" i="11"/>
  <c r="G495" i="11"/>
  <c r="F495" i="11"/>
  <c r="E495" i="11"/>
  <c r="G494" i="11"/>
  <c r="L494" i="11" s="1"/>
  <c r="M494" i="11" s="1"/>
  <c r="F494" i="11"/>
  <c r="E494" i="11"/>
  <c r="G493" i="11"/>
  <c r="I493" i="11" s="1"/>
  <c r="F493" i="11"/>
  <c r="E493" i="11"/>
  <c r="G492" i="11"/>
  <c r="L492" i="11" s="1"/>
  <c r="F492" i="11"/>
  <c r="E492" i="11"/>
  <c r="G491" i="11"/>
  <c r="F491" i="11"/>
  <c r="E491" i="11"/>
  <c r="G490" i="11"/>
  <c r="I490" i="11" s="1"/>
  <c r="F490" i="11"/>
  <c r="E490" i="11"/>
  <c r="G489" i="11"/>
  <c r="I489" i="11" s="1"/>
  <c r="F489" i="11"/>
  <c r="E489" i="11"/>
  <c r="G488" i="11"/>
  <c r="L488" i="11" s="1"/>
  <c r="F488" i="11"/>
  <c r="E488" i="11"/>
  <c r="G487" i="11"/>
  <c r="F487" i="11"/>
  <c r="E487" i="11"/>
  <c r="G486" i="11"/>
  <c r="I486" i="11" s="1"/>
  <c r="F486" i="11"/>
  <c r="E486" i="11"/>
  <c r="G485" i="11"/>
  <c r="F485" i="11"/>
  <c r="E485" i="11"/>
  <c r="G484" i="11"/>
  <c r="F484" i="11"/>
  <c r="E484" i="11"/>
  <c r="G483" i="11"/>
  <c r="F483" i="11"/>
  <c r="E483" i="11"/>
  <c r="L482" i="11"/>
  <c r="M482" i="11" s="1"/>
  <c r="F482" i="11"/>
  <c r="E482" i="11"/>
  <c r="G480" i="11"/>
  <c r="I480" i="11" s="1"/>
  <c r="F480" i="11"/>
  <c r="E480" i="11"/>
  <c r="G479" i="11"/>
  <c r="L479" i="11" s="1"/>
  <c r="F479" i="11"/>
  <c r="E479" i="11"/>
  <c r="G478" i="11"/>
  <c r="F478" i="11"/>
  <c r="E478" i="11"/>
  <c r="G477" i="11"/>
  <c r="L477" i="11" s="1"/>
  <c r="M477" i="11" s="1"/>
  <c r="F477" i="11"/>
  <c r="E477" i="11"/>
  <c r="G476" i="11"/>
  <c r="I476" i="11" s="1"/>
  <c r="F476" i="11"/>
  <c r="E476" i="11"/>
  <c r="G475" i="11"/>
  <c r="L475" i="11" s="1"/>
  <c r="F475" i="11"/>
  <c r="E475" i="11"/>
  <c r="G474" i="11"/>
  <c r="F474" i="11"/>
  <c r="E474" i="11"/>
  <c r="G473" i="11"/>
  <c r="I473" i="11" s="1"/>
  <c r="F473" i="11"/>
  <c r="E473" i="11"/>
  <c r="G472" i="11"/>
  <c r="F472" i="11"/>
  <c r="E472" i="11"/>
  <c r="G471" i="11"/>
  <c r="F471" i="11"/>
  <c r="E471" i="11"/>
  <c r="G470" i="11"/>
  <c r="F470" i="11"/>
  <c r="E470" i="11"/>
  <c r="G469" i="11"/>
  <c r="I469" i="11" s="1"/>
  <c r="F469" i="11"/>
  <c r="E469" i="11"/>
  <c r="G468" i="11"/>
  <c r="F468" i="11"/>
  <c r="E468" i="11"/>
  <c r="G467" i="11"/>
  <c r="F467" i="11"/>
  <c r="E467" i="11"/>
  <c r="G466" i="11"/>
  <c r="F466" i="11"/>
  <c r="E466" i="11"/>
  <c r="G465" i="11"/>
  <c r="F465" i="11"/>
  <c r="E465" i="11"/>
  <c r="G464" i="11"/>
  <c r="F464" i="11"/>
  <c r="E464" i="11"/>
  <c r="G463" i="11"/>
  <c r="F463" i="11"/>
  <c r="E463" i="11"/>
  <c r="F462" i="11"/>
  <c r="E462" i="11"/>
  <c r="F461" i="11"/>
  <c r="E461" i="11"/>
  <c r="F460" i="11"/>
  <c r="E460" i="11"/>
  <c r="F459" i="11"/>
  <c r="E459" i="11"/>
  <c r="F458" i="11"/>
  <c r="E458" i="11"/>
  <c r="L457" i="11"/>
  <c r="M457" i="11" s="1"/>
  <c r="F457" i="11"/>
  <c r="E457" i="11"/>
  <c r="I456" i="11"/>
  <c r="F456" i="11"/>
  <c r="E456" i="11"/>
  <c r="G455" i="11"/>
  <c r="L455" i="11" s="1"/>
  <c r="F455" i="11"/>
  <c r="E455" i="11"/>
  <c r="G454" i="11"/>
  <c r="F454" i="11"/>
  <c r="E454" i="11"/>
  <c r="G453" i="11"/>
  <c r="I453" i="11" s="1"/>
  <c r="F453" i="11"/>
  <c r="E453" i="11"/>
  <c r="G452" i="11"/>
  <c r="F452" i="11"/>
  <c r="E452" i="11"/>
  <c r="G451" i="11"/>
  <c r="F451" i="11"/>
  <c r="E451" i="11"/>
  <c r="G450" i="11"/>
  <c r="F450" i="11"/>
  <c r="E450" i="11"/>
  <c r="L449" i="11"/>
  <c r="M449" i="11" s="1"/>
  <c r="F449" i="11"/>
  <c r="E449" i="11"/>
  <c r="I448" i="11"/>
  <c r="F448" i="11"/>
  <c r="E448" i="11"/>
  <c r="L447" i="11"/>
  <c r="F447" i="11"/>
  <c r="E447" i="11"/>
  <c r="F446" i="11"/>
  <c r="E446" i="11"/>
  <c r="L445" i="11"/>
  <c r="M445" i="11" s="1"/>
  <c r="F445" i="11"/>
  <c r="E445" i="11"/>
  <c r="I444" i="11"/>
  <c r="F444" i="11"/>
  <c r="E444" i="11"/>
  <c r="G443" i="11"/>
  <c r="L443" i="11" s="1"/>
  <c r="M443" i="11" s="1"/>
  <c r="F443" i="11"/>
  <c r="E443" i="11"/>
  <c r="G442" i="11"/>
  <c r="I442" i="11" s="1"/>
  <c r="F442" i="11"/>
  <c r="E442" i="11"/>
  <c r="G441" i="11"/>
  <c r="L441" i="11" s="1"/>
  <c r="F441" i="11"/>
  <c r="E441" i="11"/>
  <c r="G440" i="11"/>
  <c r="F440" i="11"/>
  <c r="E440" i="11"/>
  <c r="G439" i="11"/>
  <c r="I439" i="11" s="1"/>
  <c r="F439" i="11"/>
  <c r="E439" i="11"/>
  <c r="G438" i="11"/>
  <c r="F438" i="11"/>
  <c r="E438" i="11"/>
  <c r="G437" i="11"/>
  <c r="F437" i="11"/>
  <c r="E437" i="11"/>
  <c r="G436" i="11"/>
  <c r="F436" i="11"/>
  <c r="E436" i="11"/>
  <c r="G435" i="11"/>
  <c r="L435" i="11" s="1"/>
  <c r="M435" i="11" s="1"/>
  <c r="F435" i="11"/>
  <c r="E435" i="11"/>
  <c r="G434" i="11"/>
  <c r="I434" i="11" s="1"/>
  <c r="F434" i="11"/>
  <c r="E434" i="11"/>
  <c r="G433" i="11"/>
  <c r="L433" i="11" s="1"/>
  <c r="F433" i="11"/>
  <c r="E433" i="11"/>
  <c r="G432" i="11"/>
  <c r="F432" i="11"/>
  <c r="E432" i="11"/>
  <c r="G431" i="11"/>
  <c r="L431" i="11" s="1"/>
  <c r="M431" i="11" s="1"/>
  <c r="F431" i="11"/>
  <c r="E431" i="11"/>
  <c r="G430" i="11"/>
  <c r="I430" i="11" s="1"/>
  <c r="F430" i="11"/>
  <c r="E430" i="11"/>
  <c r="G429" i="11"/>
  <c r="L429" i="11" s="1"/>
  <c r="F429" i="11"/>
  <c r="E429" i="11"/>
  <c r="G428" i="11"/>
  <c r="F428" i="11"/>
  <c r="E428" i="11"/>
  <c r="G427" i="11"/>
  <c r="L427" i="11" s="1"/>
  <c r="M427" i="11" s="1"/>
  <c r="F427" i="11"/>
  <c r="E427" i="11"/>
  <c r="G426" i="11"/>
  <c r="I426" i="11" s="1"/>
  <c r="F426" i="11"/>
  <c r="E426" i="11"/>
  <c r="G425" i="11"/>
  <c r="L425" i="11" s="1"/>
  <c r="F425" i="11"/>
  <c r="E425" i="11"/>
  <c r="G424" i="11"/>
  <c r="F424" i="11"/>
  <c r="E424" i="11"/>
  <c r="G423" i="11"/>
  <c r="I423" i="11" s="1"/>
  <c r="F423" i="11"/>
  <c r="E423" i="11"/>
  <c r="G422" i="11"/>
  <c r="F422" i="11"/>
  <c r="E422" i="11"/>
  <c r="G421" i="11"/>
  <c r="F421" i="11"/>
  <c r="E421" i="11"/>
  <c r="G420" i="11"/>
  <c r="F420" i="11"/>
  <c r="E420" i="11"/>
  <c r="G419" i="11"/>
  <c r="L419" i="11" s="1"/>
  <c r="M419" i="11" s="1"/>
  <c r="F419" i="11"/>
  <c r="E419" i="11"/>
  <c r="G418" i="11"/>
  <c r="I418" i="11" s="1"/>
  <c r="F418" i="11"/>
  <c r="E418" i="11"/>
  <c r="I416" i="11"/>
  <c r="F416" i="11"/>
  <c r="E416" i="11"/>
  <c r="G415" i="11"/>
  <c r="L415" i="11" s="1"/>
  <c r="F415" i="11"/>
  <c r="E415" i="11"/>
  <c r="G414" i="11"/>
  <c r="I414" i="11" s="1"/>
  <c r="F414" i="11"/>
  <c r="E414" i="11"/>
  <c r="G413" i="11"/>
  <c r="F413" i="11"/>
  <c r="E413" i="11"/>
  <c r="G412" i="11"/>
  <c r="I412" i="11" s="1"/>
  <c r="F412" i="11"/>
  <c r="E412" i="11"/>
  <c r="L411" i="11"/>
  <c r="M411" i="11" s="1"/>
  <c r="F411" i="11"/>
  <c r="E411" i="11"/>
  <c r="I410" i="11"/>
  <c r="F410" i="11"/>
  <c r="E410" i="11"/>
  <c r="I409" i="11"/>
  <c r="F409" i="11"/>
  <c r="E409" i="11"/>
  <c r="F408" i="11"/>
  <c r="E408" i="11"/>
  <c r="L407" i="11"/>
  <c r="M407" i="11" s="1"/>
  <c r="F407" i="11"/>
  <c r="E407" i="11"/>
  <c r="I406" i="11"/>
  <c r="F406" i="11"/>
  <c r="E406" i="11"/>
  <c r="L405" i="11"/>
  <c r="M405" i="11" s="1"/>
  <c r="F405" i="11"/>
  <c r="E405" i="11"/>
  <c r="I404" i="11"/>
  <c r="F404" i="11"/>
  <c r="E404" i="11"/>
  <c r="L403" i="11"/>
  <c r="M403" i="11" s="1"/>
  <c r="F403" i="11"/>
  <c r="E403" i="11"/>
  <c r="F402" i="11"/>
  <c r="E402" i="11"/>
  <c r="L401" i="11"/>
  <c r="M401" i="11" s="1"/>
  <c r="F401" i="11"/>
  <c r="E401" i="11"/>
  <c r="I400" i="11"/>
  <c r="F400" i="11"/>
  <c r="E400" i="11"/>
  <c r="G398" i="11"/>
  <c r="F398" i="11"/>
  <c r="E398" i="11"/>
  <c r="G397" i="11"/>
  <c r="I397" i="11" s="1"/>
  <c r="F397" i="11"/>
  <c r="E397" i="11"/>
  <c r="I396" i="11"/>
  <c r="F396" i="11"/>
  <c r="E396" i="11"/>
  <c r="F395" i="11"/>
  <c r="E395" i="11"/>
  <c r="L394" i="11"/>
  <c r="M394" i="11" s="1"/>
  <c r="F394" i="11"/>
  <c r="E394" i="11"/>
  <c r="I393" i="11"/>
  <c r="F393" i="11"/>
  <c r="E393" i="11"/>
  <c r="G392" i="11"/>
  <c r="L392" i="11" s="1"/>
  <c r="M392" i="11" s="1"/>
  <c r="F392" i="11"/>
  <c r="E392" i="11"/>
  <c r="G391" i="11"/>
  <c r="I391" i="11" s="1"/>
  <c r="F391" i="11"/>
  <c r="E391" i="11"/>
  <c r="G390" i="11"/>
  <c r="F390" i="11"/>
  <c r="E390" i="11"/>
  <c r="G389" i="11"/>
  <c r="I389" i="11" s="1"/>
  <c r="F389" i="11"/>
  <c r="E389" i="11"/>
  <c r="G388" i="11"/>
  <c r="F388" i="11"/>
  <c r="E388" i="11"/>
  <c r="G387" i="11"/>
  <c r="F387" i="11"/>
  <c r="E387" i="11"/>
  <c r="G386" i="11"/>
  <c r="F386" i="11"/>
  <c r="E386" i="11"/>
  <c r="G385" i="11"/>
  <c r="F385" i="11"/>
  <c r="E385" i="11"/>
  <c r="G384" i="11"/>
  <c r="I384" i="11" s="1"/>
  <c r="F384" i="11"/>
  <c r="E384" i="11"/>
  <c r="G383" i="11"/>
  <c r="I383" i="11" s="1"/>
  <c r="F383" i="11"/>
  <c r="E383" i="11"/>
  <c r="G382" i="11"/>
  <c r="L382" i="11" s="1"/>
  <c r="M382" i="11" s="1"/>
  <c r="F382" i="11"/>
  <c r="E382" i="11"/>
  <c r="G381" i="11"/>
  <c r="I381" i="11" s="1"/>
  <c r="F381" i="11"/>
  <c r="E381" i="11"/>
  <c r="G380" i="11"/>
  <c r="I380" i="11" s="1"/>
  <c r="F380" i="11"/>
  <c r="E380" i="11"/>
  <c r="G379" i="11"/>
  <c r="F379" i="11"/>
  <c r="E379" i="11"/>
  <c r="G378" i="11"/>
  <c r="F378" i="11"/>
  <c r="E378" i="11"/>
  <c r="G377" i="11"/>
  <c r="F377" i="11"/>
  <c r="E377" i="11"/>
  <c r="G376" i="11"/>
  <c r="L376" i="11" s="1"/>
  <c r="M376" i="11" s="1"/>
  <c r="F376" i="11"/>
  <c r="E376" i="11"/>
  <c r="G375" i="11"/>
  <c r="I375" i="11" s="1"/>
  <c r="F375" i="11"/>
  <c r="E375" i="11"/>
  <c r="G374" i="11"/>
  <c r="L374" i="11" s="1"/>
  <c r="M374" i="11" s="1"/>
  <c r="F374" i="11"/>
  <c r="E374" i="11"/>
  <c r="G373" i="11"/>
  <c r="I373" i="11" s="1"/>
  <c r="F373" i="11"/>
  <c r="E373" i="11"/>
  <c r="G372" i="11"/>
  <c r="I372" i="11" s="1"/>
  <c r="F372" i="11"/>
  <c r="E372" i="11"/>
  <c r="G371" i="11"/>
  <c r="F371" i="11"/>
  <c r="E371" i="11"/>
  <c r="G370" i="11"/>
  <c r="F370" i="11"/>
  <c r="E370" i="11"/>
  <c r="G368" i="11"/>
  <c r="F368" i="11"/>
  <c r="E368" i="11"/>
  <c r="G367" i="11"/>
  <c r="L367" i="11" s="1"/>
  <c r="M367" i="11" s="1"/>
  <c r="F367" i="11"/>
  <c r="E367" i="11"/>
  <c r="G366" i="11"/>
  <c r="I366" i="11" s="1"/>
  <c r="F366" i="11"/>
  <c r="E366" i="11"/>
  <c r="G365" i="11"/>
  <c r="L365" i="11" s="1"/>
  <c r="M365" i="11" s="1"/>
  <c r="F365" i="11"/>
  <c r="E365" i="11"/>
  <c r="G364" i="11"/>
  <c r="I364" i="11" s="1"/>
  <c r="F364" i="11"/>
  <c r="E364" i="11"/>
  <c r="G362" i="11"/>
  <c r="I362" i="11" s="1"/>
  <c r="F362" i="11"/>
  <c r="E362" i="11"/>
  <c r="G361" i="11"/>
  <c r="L361" i="11" s="1"/>
  <c r="M361" i="11" s="1"/>
  <c r="F361" i="11"/>
  <c r="E361" i="11"/>
  <c r="G360" i="11"/>
  <c r="I360" i="11" s="1"/>
  <c r="F360" i="11"/>
  <c r="E360" i="11"/>
  <c r="G359" i="11"/>
  <c r="L359" i="11" s="1"/>
  <c r="M359" i="11" s="1"/>
  <c r="F359" i="11"/>
  <c r="E359" i="11"/>
  <c r="G358" i="11"/>
  <c r="I358" i="11" s="1"/>
  <c r="F358" i="11"/>
  <c r="E358" i="11"/>
  <c r="G357" i="11"/>
  <c r="L357" i="11" s="1"/>
  <c r="M357" i="11" s="1"/>
  <c r="F357" i="11"/>
  <c r="E357" i="11"/>
  <c r="G356" i="11"/>
  <c r="I356" i="11" s="1"/>
  <c r="F356" i="11"/>
  <c r="E356" i="11"/>
  <c r="G354" i="11"/>
  <c r="L354" i="11" s="1"/>
  <c r="F354" i="11"/>
  <c r="E354" i="11"/>
  <c r="G353" i="11"/>
  <c r="I353" i="11" s="1"/>
  <c r="F353" i="11"/>
  <c r="E353" i="11"/>
  <c r="G352" i="11"/>
  <c r="L352" i="11" s="1"/>
  <c r="F352" i="11"/>
  <c r="E352" i="11"/>
  <c r="G351" i="11"/>
  <c r="I351" i="11" s="1"/>
  <c r="F351" i="11"/>
  <c r="E351" i="11"/>
  <c r="G350" i="11"/>
  <c r="I350" i="11" s="1"/>
  <c r="F350" i="11"/>
  <c r="E350" i="11"/>
  <c r="G349" i="11"/>
  <c r="I349" i="11" s="1"/>
  <c r="F349" i="11"/>
  <c r="E349" i="11"/>
  <c r="G347" i="11"/>
  <c r="L347" i="11" s="1"/>
  <c r="M347" i="11" s="1"/>
  <c r="F347" i="11"/>
  <c r="E347" i="11"/>
  <c r="G346" i="11"/>
  <c r="I346" i="11" s="1"/>
  <c r="F346" i="11"/>
  <c r="E346" i="11"/>
  <c r="G345" i="11"/>
  <c r="I345" i="11" s="1"/>
  <c r="F345" i="11"/>
  <c r="E345" i="11"/>
  <c r="G344" i="11"/>
  <c r="F344" i="11"/>
  <c r="E344" i="11"/>
  <c r="G343" i="11"/>
  <c r="L343" i="11" s="1"/>
  <c r="M343" i="11" s="1"/>
  <c r="F343" i="11"/>
  <c r="E343" i="11"/>
  <c r="G342" i="11"/>
  <c r="I342" i="11" s="1"/>
  <c r="F342" i="11"/>
  <c r="E342" i="11"/>
  <c r="G341" i="11"/>
  <c r="L341" i="11" s="1"/>
  <c r="M341" i="11" s="1"/>
  <c r="F341" i="11"/>
  <c r="E341" i="11"/>
  <c r="G340" i="11"/>
  <c r="I340" i="11" s="1"/>
  <c r="F340" i="11"/>
  <c r="E340" i="11"/>
  <c r="G339" i="11"/>
  <c r="L339" i="11" s="1"/>
  <c r="M339" i="11" s="1"/>
  <c r="F339" i="11"/>
  <c r="E339" i="11"/>
  <c r="G338" i="11"/>
  <c r="I338" i="11" s="1"/>
  <c r="F338" i="11"/>
  <c r="E338" i="11"/>
  <c r="G337" i="11"/>
  <c r="I337" i="11" s="1"/>
  <c r="F337" i="11"/>
  <c r="E337" i="11"/>
  <c r="G336" i="11"/>
  <c r="F336" i="11"/>
  <c r="E336" i="11"/>
  <c r="G335" i="11"/>
  <c r="F335" i="11"/>
  <c r="E335" i="11"/>
  <c r="G334" i="11"/>
  <c r="F334" i="11"/>
  <c r="E334" i="11"/>
  <c r="G333" i="11"/>
  <c r="L333" i="11" s="1"/>
  <c r="M333" i="11" s="1"/>
  <c r="F333" i="11"/>
  <c r="E333" i="11"/>
  <c r="G332" i="11"/>
  <c r="I332" i="11" s="1"/>
  <c r="F332" i="11"/>
  <c r="E332" i="11"/>
  <c r="G331" i="11"/>
  <c r="L331" i="11" s="1"/>
  <c r="M331" i="11" s="1"/>
  <c r="F331" i="11"/>
  <c r="E331" i="11"/>
  <c r="G330" i="11"/>
  <c r="I330" i="11" s="1"/>
  <c r="F330" i="11"/>
  <c r="E330" i="11"/>
  <c r="G329" i="11"/>
  <c r="L329" i="11" s="1"/>
  <c r="F329" i="11"/>
  <c r="E329" i="11"/>
  <c r="G328" i="11"/>
  <c r="I328" i="11" s="1"/>
  <c r="F328" i="11"/>
  <c r="E328" i="11"/>
  <c r="G327" i="11"/>
  <c r="L327" i="11" s="1"/>
  <c r="M327" i="11" s="1"/>
  <c r="F327" i="11"/>
  <c r="E327" i="11"/>
  <c r="G326" i="11"/>
  <c r="I326" i="11" s="1"/>
  <c r="F326" i="11"/>
  <c r="E326" i="11"/>
  <c r="G325" i="11"/>
  <c r="F325" i="11"/>
  <c r="E325" i="11"/>
  <c r="I324" i="11"/>
  <c r="F324" i="11"/>
  <c r="E324" i="11"/>
  <c r="G323" i="11"/>
  <c r="L323" i="11" s="1"/>
  <c r="M323" i="11" s="1"/>
  <c r="F323" i="11"/>
  <c r="E323" i="11"/>
  <c r="G322" i="11"/>
  <c r="I322" i="11" s="1"/>
  <c r="F322" i="11"/>
  <c r="E322" i="11"/>
  <c r="G321" i="11"/>
  <c r="L321" i="11" s="1"/>
  <c r="F321" i="11"/>
  <c r="E321" i="11"/>
  <c r="G320" i="11"/>
  <c r="I320" i="11" s="1"/>
  <c r="F320" i="11"/>
  <c r="E320" i="11"/>
  <c r="G319" i="11"/>
  <c r="L319" i="11" s="1"/>
  <c r="F319" i="11"/>
  <c r="E319" i="11"/>
  <c r="G318" i="11"/>
  <c r="I318" i="11" s="1"/>
  <c r="F318" i="11"/>
  <c r="E318" i="11"/>
  <c r="G317" i="11"/>
  <c r="I317" i="11" s="1"/>
  <c r="F317" i="11"/>
  <c r="E317" i="11"/>
  <c r="G316" i="11"/>
  <c r="I316" i="11" s="1"/>
  <c r="F316" i="11"/>
  <c r="E316" i="11"/>
  <c r="G315" i="11"/>
  <c r="F315" i="11"/>
  <c r="E315" i="11"/>
  <c r="G314" i="11"/>
  <c r="I314" i="11" s="1"/>
  <c r="F314" i="11"/>
  <c r="E314" i="11"/>
  <c r="G313" i="11"/>
  <c r="I313" i="11" s="1"/>
  <c r="F313" i="11"/>
  <c r="E313" i="11"/>
  <c r="G312" i="11"/>
  <c r="F312" i="11"/>
  <c r="E312" i="11"/>
  <c r="G311" i="11"/>
  <c r="L311" i="11" s="1"/>
  <c r="M311" i="11" s="1"/>
  <c r="F311" i="11"/>
  <c r="E311" i="11"/>
  <c r="G310" i="11"/>
  <c r="I310" i="11" s="1"/>
  <c r="F310" i="11"/>
  <c r="E310" i="11"/>
  <c r="G309" i="11"/>
  <c r="I309" i="11" s="1"/>
  <c r="F309" i="11"/>
  <c r="E309" i="11"/>
  <c r="G308" i="11"/>
  <c r="I308" i="11" s="1"/>
  <c r="F308" i="11"/>
  <c r="E308" i="11"/>
  <c r="G307" i="11"/>
  <c r="F307" i="11"/>
  <c r="E307" i="11"/>
  <c r="G306" i="11"/>
  <c r="I306" i="11" s="1"/>
  <c r="F306" i="11"/>
  <c r="E306" i="11"/>
  <c r="G305" i="11"/>
  <c r="I305" i="11" s="1"/>
  <c r="F305" i="11"/>
  <c r="E305" i="11"/>
  <c r="G304" i="11"/>
  <c r="F304" i="11"/>
  <c r="E304" i="11"/>
  <c r="G303" i="11"/>
  <c r="F303" i="11"/>
  <c r="E303" i="11"/>
  <c r="G302" i="11"/>
  <c r="F302" i="11"/>
  <c r="E302" i="11"/>
  <c r="G301" i="11"/>
  <c r="L301" i="11" s="1"/>
  <c r="M301" i="11" s="1"/>
  <c r="F301" i="11"/>
  <c r="E301" i="11"/>
  <c r="G300" i="11"/>
  <c r="I300" i="11" s="1"/>
  <c r="F300" i="11"/>
  <c r="E300" i="11"/>
  <c r="G299" i="11"/>
  <c r="L299" i="11" s="1"/>
  <c r="M299" i="11" s="1"/>
  <c r="F299" i="11"/>
  <c r="E299" i="11"/>
  <c r="G298" i="11"/>
  <c r="I298" i="11" s="1"/>
  <c r="F298" i="11"/>
  <c r="E298" i="11"/>
  <c r="G297" i="11"/>
  <c r="L297" i="11" s="1"/>
  <c r="F297" i="11"/>
  <c r="E297" i="11"/>
  <c r="G296" i="11"/>
  <c r="I296" i="11" s="1"/>
  <c r="F296" i="11"/>
  <c r="E296" i="11"/>
  <c r="G295" i="11"/>
  <c r="L295" i="11" s="1"/>
  <c r="M295" i="11" s="1"/>
  <c r="F295" i="11"/>
  <c r="E295" i="11"/>
  <c r="G294" i="11"/>
  <c r="I294" i="11" s="1"/>
  <c r="F294" i="11"/>
  <c r="E294" i="11"/>
  <c r="G293" i="11"/>
  <c r="L293" i="11" s="1"/>
  <c r="M293" i="11" s="1"/>
  <c r="F293" i="11"/>
  <c r="E293" i="11"/>
  <c r="G292" i="11"/>
  <c r="I292" i="11" s="1"/>
  <c r="F292" i="11"/>
  <c r="E292" i="11"/>
  <c r="G291" i="11"/>
  <c r="L291" i="11" s="1"/>
  <c r="M291" i="11" s="1"/>
  <c r="F291" i="11"/>
  <c r="E291" i="11"/>
  <c r="G290" i="11"/>
  <c r="I290" i="11" s="1"/>
  <c r="F290" i="11"/>
  <c r="E290" i="11"/>
  <c r="G289" i="11"/>
  <c r="L289" i="11" s="1"/>
  <c r="F289" i="11"/>
  <c r="E289" i="11"/>
  <c r="I288" i="11"/>
  <c r="F288" i="11"/>
  <c r="E288" i="11"/>
  <c r="L287" i="11"/>
  <c r="F287" i="11"/>
  <c r="E287" i="11"/>
  <c r="G286" i="11"/>
  <c r="I286" i="11" s="1"/>
  <c r="F286" i="11"/>
  <c r="E286" i="11"/>
  <c r="G285" i="11"/>
  <c r="L285" i="11" s="1"/>
  <c r="M285" i="11" s="1"/>
  <c r="F285" i="11"/>
  <c r="E285" i="11"/>
  <c r="G284" i="11"/>
  <c r="I284" i="11" s="1"/>
  <c r="F284" i="11"/>
  <c r="E284" i="11"/>
  <c r="G283" i="11"/>
  <c r="I283" i="11" s="1"/>
  <c r="F283" i="11"/>
  <c r="E283" i="11"/>
  <c r="F282" i="11"/>
  <c r="E282" i="11"/>
  <c r="F281" i="11"/>
  <c r="E281" i="11"/>
  <c r="G280" i="11"/>
  <c r="F280" i="11"/>
  <c r="E280" i="11"/>
  <c r="G279" i="11"/>
  <c r="I279" i="11" s="1"/>
  <c r="F279" i="11"/>
  <c r="E279" i="11"/>
  <c r="G278" i="11"/>
  <c r="I278" i="11" s="1"/>
  <c r="F278" i="11"/>
  <c r="E278" i="11"/>
  <c r="G277" i="11"/>
  <c r="F277" i="11"/>
  <c r="E277" i="11"/>
  <c r="G276" i="11"/>
  <c r="I276" i="11" s="1"/>
  <c r="F276" i="11"/>
  <c r="E276" i="11"/>
  <c r="G275" i="11"/>
  <c r="I275" i="11" s="1"/>
  <c r="F275" i="11"/>
  <c r="E275" i="11"/>
  <c r="G274" i="11"/>
  <c r="F274" i="11"/>
  <c r="E274" i="11"/>
  <c r="G273" i="11"/>
  <c r="F273" i="11"/>
  <c r="E273" i="11"/>
  <c r="G272" i="11"/>
  <c r="L272" i="11" s="1"/>
  <c r="M272" i="11" s="1"/>
  <c r="F272" i="11"/>
  <c r="E272" i="11"/>
  <c r="G271" i="11"/>
  <c r="I271" i="11" s="1"/>
  <c r="F271" i="11"/>
  <c r="E271" i="11"/>
  <c r="G269" i="11"/>
  <c r="L269" i="11" s="1"/>
  <c r="M269" i="11" s="1"/>
  <c r="F269" i="11"/>
  <c r="E269" i="11"/>
  <c r="G268" i="11"/>
  <c r="I268" i="11" s="1"/>
  <c r="F268" i="11"/>
  <c r="E268" i="11"/>
  <c r="G267" i="11"/>
  <c r="L267" i="11" s="1"/>
  <c r="M267" i="11" s="1"/>
  <c r="F267" i="11"/>
  <c r="E267" i="11"/>
  <c r="G266" i="11"/>
  <c r="I266" i="11" s="1"/>
  <c r="F266" i="11"/>
  <c r="E266" i="11"/>
  <c r="G265" i="11"/>
  <c r="L265" i="11" s="1"/>
  <c r="F265" i="11"/>
  <c r="E265" i="11"/>
  <c r="G264" i="11"/>
  <c r="I264" i="11" s="1"/>
  <c r="F264" i="11"/>
  <c r="E264" i="11"/>
  <c r="G263" i="11"/>
  <c r="L263" i="11" s="1"/>
  <c r="F263" i="11"/>
  <c r="E263" i="11"/>
  <c r="G262" i="11"/>
  <c r="I262" i="11" s="1"/>
  <c r="F262" i="11"/>
  <c r="E262" i="11"/>
  <c r="G261" i="11"/>
  <c r="I261" i="11" s="1"/>
  <c r="F261" i="11"/>
  <c r="E261" i="11"/>
  <c r="G260" i="11"/>
  <c r="I260" i="11" s="1"/>
  <c r="F260" i="11"/>
  <c r="E260" i="11"/>
  <c r="G259" i="11"/>
  <c r="F259" i="11"/>
  <c r="E259" i="11"/>
  <c r="G258" i="11"/>
  <c r="I258" i="11" s="1"/>
  <c r="F258" i="11"/>
  <c r="E258" i="11"/>
  <c r="G257" i="11"/>
  <c r="F257" i="11"/>
  <c r="E257" i="11"/>
  <c r="G256" i="11"/>
  <c r="F256" i="11"/>
  <c r="E256" i="11"/>
  <c r="G255" i="11"/>
  <c r="L255" i="11" s="1"/>
  <c r="M255" i="11" s="1"/>
  <c r="F255" i="11"/>
  <c r="E255" i="11"/>
  <c r="G254" i="11"/>
  <c r="I254" i="11" s="1"/>
  <c r="F254" i="11"/>
  <c r="E254" i="11"/>
  <c r="G253" i="11"/>
  <c r="L253" i="11" s="1"/>
  <c r="M253" i="11" s="1"/>
  <c r="F253" i="11"/>
  <c r="E253" i="11"/>
  <c r="G252" i="11"/>
  <c r="I252" i="11" s="1"/>
  <c r="F252" i="11"/>
  <c r="E252" i="11"/>
  <c r="G251" i="11"/>
  <c r="L251" i="11" s="1"/>
  <c r="M251" i="11" s="1"/>
  <c r="F251" i="11"/>
  <c r="E251" i="11"/>
  <c r="G250" i="11"/>
  <c r="I250" i="11" s="1"/>
  <c r="F250" i="11"/>
  <c r="E250" i="11"/>
  <c r="G249" i="11"/>
  <c r="I249" i="11" s="1"/>
  <c r="F249" i="11"/>
  <c r="E249" i="11"/>
  <c r="G248" i="11"/>
  <c r="F248" i="11"/>
  <c r="E248" i="11"/>
  <c r="G247" i="11"/>
  <c r="F247" i="11"/>
  <c r="E247" i="11"/>
  <c r="G246" i="11"/>
  <c r="F246" i="11"/>
  <c r="E246" i="11"/>
  <c r="G245" i="11"/>
  <c r="L245" i="11" s="1"/>
  <c r="M245" i="11" s="1"/>
  <c r="F245" i="11"/>
  <c r="E245" i="11"/>
  <c r="G244" i="11"/>
  <c r="I244" i="11" s="1"/>
  <c r="F244" i="11"/>
  <c r="E244" i="11"/>
  <c r="G243" i="11"/>
  <c r="L243" i="11" s="1"/>
  <c r="M243" i="11" s="1"/>
  <c r="F243" i="11"/>
  <c r="E243" i="11"/>
  <c r="G242" i="11"/>
  <c r="L242" i="11" s="1"/>
  <c r="F242" i="11"/>
  <c r="E242" i="11"/>
  <c r="G241" i="11"/>
  <c r="I241" i="11" s="1"/>
  <c r="F241" i="11"/>
  <c r="E241" i="11"/>
  <c r="G240" i="11"/>
  <c r="F240" i="11"/>
  <c r="E240" i="11"/>
  <c r="G239" i="11"/>
  <c r="F239" i="11"/>
  <c r="E239" i="11"/>
  <c r="G238" i="11"/>
  <c r="L238" i="11" s="1"/>
  <c r="M238" i="11" s="1"/>
  <c r="F238" i="11"/>
  <c r="E238" i="11"/>
  <c r="G237" i="11"/>
  <c r="I237" i="11" s="1"/>
  <c r="F237" i="11"/>
  <c r="E237" i="11"/>
  <c r="G236" i="11"/>
  <c r="L236" i="11" s="1"/>
  <c r="M236" i="11" s="1"/>
  <c r="F236" i="11"/>
  <c r="E236" i="11"/>
  <c r="G235" i="11"/>
  <c r="I235" i="11" s="1"/>
  <c r="F235" i="11"/>
  <c r="E235" i="11"/>
  <c r="G234" i="11"/>
  <c r="L234" i="11" s="1"/>
  <c r="M234" i="11" s="1"/>
  <c r="F234" i="11"/>
  <c r="E234" i="11"/>
  <c r="G233" i="11"/>
  <c r="L233" i="11" s="1"/>
  <c r="F233" i="11"/>
  <c r="E233" i="11"/>
  <c r="G232" i="11"/>
  <c r="L232" i="11" s="1"/>
  <c r="M232" i="11" s="1"/>
  <c r="F232" i="11"/>
  <c r="E232" i="11"/>
  <c r="G231" i="11"/>
  <c r="I231" i="11" s="1"/>
  <c r="F231" i="11"/>
  <c r="E231" i="11"/>
  <c r="G230" i="11"/>
  <c r="I230" i="11" s="1"/>
  <c r="F230" i="11"/>
  <c r="E230" i="11"/>
  <c r="G228" i="11"/>
  <c r="L228" i="11" s="1"/>
  <c r="F228" i="11"/>
  <c r="E228" i="11"/>
  <c r="G227" i="11"/>
  <c r="L227" i="11" s="1"/>
  <c r="M227" i="11" s="1"/>
  <c r="F227" i="11"/>
  <c r="E227" i="11"/>
  <c r="G226" i="11"/>
  <c r="I226" i="11" s="1"/>
  <c r="F226" i="11"/>
  <c r="E226" i="11"/>
  <c r="G225" i="11"/>
  <c r="L225" i="11" s="1"/>
  <c r="M225" i="11" s="1"/>
  <c r="F225" i="11"/>
  <c r="E225" i="11"/>
  <c r="G224" i="11"/>
  <c r="L224" i="11" s="1"/>
  <c r="F224" i="11"/>
  <c r="E224" i="11"/>
  <c r="G223" i="11"/>
  <c r="L223" i="11" s="1"/>
  <c r="M223" i="11" s="1"/>
  <c r="F223" i="11"/>
  <c r="E223" i="11"/>
  <c r="G222" i="11"/>
  <c r="I222" i="11" s="1"/>
  <c r="F222" i="11"/>
  <c r="E222" i="11"/>
  <c r="G221" i="11"/>
  <c r="I221" i="11" s="1"/>
  <c r="F221" i="11"/>
  <c r="E221" i="11"/>
  <c r="G220" i="11"/>
  <c r="F220" i="11"/>
  <c r="E220" i="11"/>
  <c r="G219" i="11"/>
  <c r="L219" i="11" s="1"/>
  <c r="F219" i="11"/>
  <c r="E219" i="11"/>
  <c r="G218" i="11"/>
  <c r="I218" i="11" s="1"/>
  <c r="F218" i="11"/>
  <c r="E218" i="11"/>
  <c r="G217" i="11"/>
  <c r="I217" i="11" s="1"/>
  <c r="F217" i="11"/>
  <c r="E217" i="11"/>
  <c r="G216" i="11"/>
  <c r="L216" i="11" s="1"/>
  <c r="F216" i="11"/>
  <c r="E216" i="11"/>
  <c r="G215" i="11"/>
  <c r="L215" i="11" s="1"/>
  <c r="M215" i="11" s="1"/>
  <c r="F215" i="11"/>
  <c r="E215" i="11"/>
  <c r="G214" i="11"/>
  <c r="I214" i="11" s="1"/>
  <c r="F214" i="11"/>
  <c r="E214" i="11"/>
  <c r="G213" i="11"/>
  <c r="I213" i="11" s="1"/>
  <c r="F213" i="11"/>
  <c r="E213" i="11"/>
  <c r="G212" i="11"/>
  <c r="I212" i="11" s="1"/>
  <c r="F212" i="11"/>
  <c r="E212" i="11"/>
  <c r="G211" i="11"/>
  <c r="L211" i="11" s="1"/>
  <c r="F211" i="11"/>
  <c r="E211" i="11"/>
  <c r="G210" i="11"/>
  <c r="L210" i="11" s="1"/>
  <c r="F210" i="11"/>
  <c r="E210" i="11"/>
  <c r="G209" i="11"/>
  <c r="I209" i="11" s="1"/>
  <c r="F209" i="11"/>
  <c r="E209" i="11"/>
  <c r="G208" i="11"/>
  <c r="F208" i="11"/>
  <c r="E208" i="11"/>
  <c r="G207" i="11"/>
  <c r="F207" i="11"/>
  <c r="E207" i="11"/>
  <c r="G206" i="11"/>
  <c r="L206" i="11" s="1"/>
  <c r="F206" i="11"/>
  <c r="E206" i="11"/>
  <c r="G205" i="11"/>
  <c r="L205" i="11" s="1"/>
  <c r="F205" i="11"/>
  <c r="E205" i="11"/>
  <c r="G204" i="11"/>
  <c r="I204" i="11" s="1"/>
  <c r="F204" i="11"/>
  <c r="E204" i="11"/>
  <c r="G202" i="11"/>
  <c r="L202" i="11" s="1"/>
  <c r="F202" i="11"/>
  <c r="E202" i="11"/>
  <c r="G201" i="11"/>
  <c r="L201" i="11" s="1"/>
  <c r="F201" i="11"/>
  <c r="E201" i="11"/>
  <c r="G200" i="11"/>
  <c r="L200" i="11" s="1"/>
  <c r="F200" i="11"/>
  <c r="E200" i="11"/>
  <c r="G199" i="11"/>
  <c r="I199" i="11" s="1"/>
  <c r="F199" i="11"/>
  <c r="E199" i="11"/>
  <c r="G198" i="11"/>
  <c r="L198" i="11" s="1"/>
  <c r="F198" i="11"/>
  <c r="E198" i="11"/>
  <c r="G196" i="11"/>
  <c r="L196" i="11" s="1"/>
  <c r="F196" i="11"/>
  <c r="E196" i="11"/>
  <c r="G195" i="11"/>
  <c r="I195" i="11" s="1"/>
  <c r="F195" i="11"/>
  <c r="E195" i="11"/>
  <c r="F194" i="11"/>
  <c r="E194" i="11"/>
  <c r="F193" i="11"/>
  <c r="E193" i="11"/>
  <c r="G192" i="11"/>
  <c r="L192" i="11" s="1"/>
  <c r="F192" i="11"/>
  <c r="E192" i="11"/>
  <c r="G190" i="11"/>
  <c r="I190" i="11" s="1"/>
  <c r="F190" i="11"/>
  <c r="E190" i="11"/>
  <c r="G189" i="11"/>
  <c r="F189" i="11"/>
  <c r="E189" i="11"/>
  <c r="G188" i="11"/>
  <c r="F188" i="11"/>
  <c r="E188" i="11"/>
  <c r="G187" i="11"/>
  <c r="L187" i="11" s="1"/>
  <c r="F187" i="11"/>
  <c r="E187" i="11"/>
  <c r="L186" i="11"/>
  <c r="F186" i="11"/>
  <c r="E186" i="11"/>
  <c r="I185" i="11"/>
  <c r="F185" i="11"/>
  <c r="E185" i="11"/>
  <c r="G183" i="11"/>
  <c r="L183" i="11" s="1"/>
  <c r="F183" i="11"/>
  <c r="E183" i="11"/>
  <c r="G182" i="11"/>
  <c r="L182" i="11" s="1"/>
  <c r="F182" i="11"/>
  <c r="E182" i="11"/>
  <c r="G181" i="11"/>
  <c r="L181" i="11" s="1"/>
  <c r="F181" i="11"/>
  <c r="E181" i="11"/>
  <c r="G180" i="11"/>
  <c r="I180" i="11" s="1"/>
  <c r="F180" i="11"/>
  <c r="E180" i="11"/>
  <c r="G179" i="11"/>
  <c r="L179" i="11" s="1"/>
  <c r="F179" i="11"/>
  <c r="E179" i="11"/>
  <c r="G178" i="11"/>
  <c r="L178" i="11" s="1"/>
  <c r="F178" i="11"/>
  <c r="E178" i="11"/>
  <c r="G177" i="11"/>
  <c r="I177" i="11" s="1"/>
  <c r="F177" i="11"/>
  <c r="E177" i="11"/>
  <c r="G176" i="11"/>
  <c r="I176" i="11" s="1"/>
  <c r="F176" i="11"/>
  <c r="E176" i="11"/>
  <c r="G175" i="11"/>
  <c r="L175" i="11" s="1"/>
  <c r="F175" i="11"/>
  <c r="E175" i="11"/>
  <c r="G174" i="11"/>
  <c r="L174" i="11" s="1"/>
  <c r="F174" i="11"/>
  <c r="E174" i="11"/>
  <c r="G172" i="11"/>
  <c r="I172" i="11" s="1"/>
  <c r="F172" i="11"/>
  <c r="E172" i="11"/>
  <c r="G170" i="11"/>
  <c r="F170" i="11"/>
  <c r="E170" i="11"/>
  <c r="G169" i="11"/>
  <c r="F169" i="11"/>
  <c r="E169" i="11"/>
  <c r="G168" i="11"/>
  <c r="L168" i="11" s="1"/>
  <c r="F168" i="11"/>
  <c r="E168" i="11"/>
  <c r="G167" i="11"/>
  <c r="L167" i="11" s="1"/>
  <c r="M167" i="11" s="1"/>
  <c r="F167" i="11"/>
  <c r="E167" i="11"/>
  <c r="G166" i="11"/>
  <c r="I166" i="11" s="1"/>
  <c r="F166" i="11"/>
  <c r="E166" i="11"/>
  <c r="L165" i="11"/>
  <c r="F165" i="11"/>
  <c r="E165" i="11"/>
  <c r="L164" i="11"/>
  <c r="F164" i="11"/>
  <c r="E164" i="11"/>
  <c r="I163" i="11"/>
  <c r="F163" i="11"/>
  <c r="E163" i="11"/>
  <c r="I162" i="11"/>
  <c r="F162" i="11"/>
  <c r="E162" i="11"/>
  <c r="L160" i="11"/>
  <c r="F160" i="11"/>
  <c r="E160" i="11"/>
  <c r="G159" i="11"/>
  <c r="L159" i="11" s="1"/>
  <c r="F159" i="11"/>
  <c r="E159" i="11"/>
  <c r="G158" i="11"/>
  <c r="L158" i="11" s="1"/>
  <c r="M158" i="11" s="1"/>
  <c r="F158" i="11"/>
  <c r="E158" i="11"/>
  <c r="G157" i="11"/>
  <c r="I157" i="11" s="1"/>
  <c r="F157" i="11"/>
  <c r="E157" i="11"/>
  <c r="G156" i="11"/>
  <c r="L156" i="11" s="1"/>
  <c r="F156" i="11"/>
  <c r="E156" i="11"/>
  <c r="I155" i="11"/>
  <c r="F155" i="11"/>
  <c r="E155" i="11"/>
  <c r="F154" i="11"/>
  <c r="E154" i="11"/>
  <c r="F153" i="11"/>
  <c r="E153" i="11"/>
  <c r="L152" i="11"/>
  <c r="F152" i="11"/>
  <c r="E152" i="11"/>
  <c r="L151" i="11"/>
  <c r="M151" i="11" s="1"/>
  <c r="F151" i="11"/>
  <c r="E151" i="11"/>
  <c r="I150" i="11"/>
  <c r="F150" i="11"/>
  <c r="E150" i="11"/>
  <c r="L149" i="11"/>
  <c r="F149" i="11"/>
  <c r="E149" i="11"/>
  <c r="G147" i="11"/>
  <c r="L147" i="11" s="1"/>
  <c r="F147" i="11"/>
  <c r="E147" i="11"/>
  <c r="G146" i="11"/>
  <c r="L146" i="11" s="1"/>
  <c r="F146" i="11"/>
  <c r="E146" i="11"/>
  <c r="L144" i="11"/>
  <c r="F144" i="11"/>
  <c r="E144" i="11"/>
  <c r="L143" i="11"/>
  <c r="F143" i="11"/>
  <c r="E143" i="11"/>
  <c r="I142" i="11"/>
  <c r="F142" i="11"/>
  <c r="E142" i="11"/>
  <c r="L141" i="11"/>
  <c r="F141" i="11"/>
  <c r="E141" i="11"/>
  <c r="G140" i="11"/>
  <c r="L140" i="11" s="1"/>
  <c r="F140" i="11"/>
  <c r="E140" i="11"/>
  <c r="I139" i="11"/>
  <c r="F139" i="11"/>
  <c r="E139" i="11"/>
  <c r="G137" i="11"/>
  <c r="F137" i="11"/>
  <c r="E137" i="11"/>
  <c r="G136" i="11"/>
  <c r="F136" i="11"/>
  <c r="E136" i="11"/>
  <c r="G135" i="11"/>
  <c r="L135" i="11" s="1"/>
  <c r="F135" i="11"/>
  <c r="E135" i="11"/>
  <c r="G134" i="11"/>
  <c r="L134" i="11" s="1"/>
  <c r="F134" i="11"/>
  <c r="E134" i="11"/>
  <c r="G133" i="11"/>
  <c r="I133" i="11" s="1"/>
  <c r="F133" i="11"/>
  <c r="E133" i="11"/>
  <c r="G132" i="11"/>
  <c r="L132" i="11" s="1"/>
  <c r="F132" i="11"/>
  <c r="E132" i="11"/>
  <c r="G131" i="11"/>
  <c r="L131" i="11" s="1"/>
  <c r="F131" i="11"/>
  <c r="E131" i="11"/>
  <c r="G130" i="11"/>
  <c r="L130" i="11" s="1"/>
  <c r="F130" i="11"/>
  <c r="E130" i="11"/>
  <c r="G129" i="11"/>
  <c r="I129" i="11" s="1"/>
  <c r="F129" i="11"/>
  <c r="E129" i="11"/>
  <c r="G128" i="11"/>
  <c r="L128" i="11" s="1"/>
  <c r="F128" i="11"/>
  <c r="E128" i="11"/>
  <c r="G127" i="11"/>
  <c r="L127" i="11" s="1"/>
  <c r="F127" i="11"/>
  <c r="E127" i="11"/>
  <c r="G126" i="11"/>
  <c r="I126" i="11" s="1"/>
  <c r="F126" i="11"/>
  <c r="E126" i="11"/>
  <c r="G125" i="11"/>
  <c r="I125" i="11" s="1"/>
  <c r="F125" i="11"/>
  <c r="E125" i="11"/>
  <c r="G124" i="11"/>
  <c r="L124" i="11" s="1"/>
  <c r="F124" i="11"/>
  <c r="E124" i="11"/>
  <c r="L123" i="11"/>
  <c r="F123" i="11"/>
  <c r="E123" i="11"/>
  <c r="I122" i="11"/>
  <c r="F122" i="11"/>
  <c r="E122" i="11"/>
  <c r="F121" i="11"/>
  <c r="E121" i="11"/>
  <c r="F120" i="11"/>
  <c r="E120" i="11"/>
  <c r="L119" i="11"/>
  <c r="F119" i="11"/>
  <c r="E119" i="11"/>
  <c r="L118" i="11"/>
  <c r="F118" i="11"/>
  <c r="E118" i="11"/>
  <c r="L113" i="11"/>
  <c r="M113" i="11" s="1"/>
  <c r="F113" i="11"/>
  <c r="E113" i="11"/>
  <c r="I112" i="11"/>
  <c r="F112" i="11"/>
  <c r="E112" i="11"/>
  <c r="G110" i="11"/>
  <c r="L110" i="11" s="1"/>
  <c r="F110" i="11"/>
  <c r="E110" i="11"/>
  <c r="G109" i="11"/>
  <c r="L109" i="11" s="1"/>
  <c r="F109" i="11"/>
  <c r="E109" i="11"/>
  <c r="G108" i="11"/>
  <c r="I108" i="11" s="1"/>
  <c r="F108" i="11"/>
  <c r="E108" i="11"/>
  <c r="F107" i="11"/>
  <c r="E107" i="11"/>
  <c r="F106" i="11"/>
  <c r="E106" i="11"/>
  <c r="L105" i="11"/>
  <c r="F105" i="11"/>
  <c r="E105" i="11"/>
  <c r="L104" i="11"/>
  <c r="M104" i="11" s="1"/>
  <c r="F104" i="11"/>
  <c r="E104" i="11"/>
  <c r="I103" i="11"/>
  <c r="F103" i="11"/>
  <c r="E103" i="11"/>
  <c r="L102" i="11"/>
  <c r="F102" i="11"/>
  <c r="E102" i="11"/>
  <c r="L101" i="11"/>
  <c r="F101" i="11"/>
  <c r="E101" i="11"/>
  <c r="L99" i="11"/>
  <c r="F99" i="11"/>
  <c r="E99" i="11"/>
  <c r="I98" i="11"/>
  <c r="F98" i="11"/>
  <c r="E98" i="11"/>
  <c r="L97" i="11"/>
  <c r="F97" i="11"/>
  <c r="E97" i="11"/>
  <c r="L95" i="11"/>
  <c r="F95" i="11"/>
  <c r="E95" i="11"/>
  <c r="L94" i="11"/>
  <c r="M94" i="11" s="1"/>
  <c r="F94" i="11"/>
  <c r="E94" i="11"/>
  <c r="I93" i="11"/>
  <c r="F93" i="11"/>
  <c r="E93" i="11"/>
  <c r="L92" i="11"/>
  <c r="F92" i="11"/>
  <c r="E92" i="11"/>
  <c r="L90" i="11"/>
  <c r="F90" i="11"/>
  <c r="E90" i="11"/>
  <c r="G88" i="11"/>
  <c r="I88" i="11" s="1"/>
  <c r="F88" i="11"/>
  <c r="E88" i="11"/>
  <c r="G87" i="11"/>
  <c r="F87" i="11"/>
  <c r="E87" i="11"/>
  <c r="G86" i="11"/>
  <c r="F86" i="11"/>
  <c r="E86" i="11"/>
  <c r="G85" i="11"/>
  <c r="L85" i="11" s="1"/>
  <c r="F85" i="11"/>
  <c r="E85" i="11"/>
  <c r="G84" i="11"/>
  <c r="L84" i="11" s="1"/>
  <c r="M84" i="11" s="1"/>
  <c r="F84" i="11"/>
  <c r="E84" i="11"/>
  <c r="G83" i="11"/>
  <c r="I83" i="11" s="1"/>
  <c r="F83" i="11"/>
  <c r="E83" i="11"/>
  <c r="G82" i="11"/>
  <c r="L82" i="11" s="1"/>
  <c r="F82" i="11"/>
  <c r="E82" i="11"/>
  <c r="G81" i="11"/>
  <c r="L81" i="11" s="1"/>
  <c r="F81" i="11"/>
  <c r="E81" i="11"/>
  <c r="G80" i="11"/>
  <c r="L80" i="11" s="1"/>
  <c r="F80" i="11"/>
  <c r="E80" i="11"/>
  <c r="G79" i="11"/>
  <c r="I79" i="11" s="1"/>
  <c r="F79" i="11"/>
  <c r="E79" i="11"/>
  <c r="G78" i="11"/>
  <c r="L78" i="11" s="1"/>
  <c r="F78" i="11"/>
  <c r="E78" i="11"/>
  <c r="G77" i="11"/>
  <c r="L77" i="11" s="1"/>
  <c r="F77" i="11"/>
  <c r="E77" i="11"/>
  <c r="G76" i="11"/>
  <c r="L76" i="11" s="1"/>
  <c r="M76" i="11" s="1"/>
  <c r="F76" i="11"/>
  <c r="E76" i="11"/>
  <c r="G75" i="11"/>
  <c r="I75" i="11" s="1"/>
  <c r="F75" i="11"/>
  <c r="E75" i="11"/>
  <c r="L74" i="11"/>
  <c r="F74" i="11"/>
  <c r="E74" i="11"/>
  <c r="L73" i="11"/>
  <c r="F73" i="11"/>
  <c r="E73" i="11"/>
  <c r="I72" i="11"/>
  <c r="F72" i="11"/>
  <c r="E72" i="11"/>
  <c r="F71" i="11"/>
  <c r="E71" i="11"/>
  <c r="F69" i="11"/>
  <c r="E69" i="11"/>
  <c r="L68" i="11"/>
  <c r="F68" i="11"/>
  <c r="E68" i="11"/>
  <c r="F67" i="11"/>
  <c r="E67" i="11"/>
  <c r="G65" i="11"/>
  <c r="F65" i="11"/>
  <c r="E65" i="11"/>
  <c r="G64" i="11"/>
  <c r="F64" i="11"/>
  <c r="E64" i="11"/>
  <c r="G63" i="11"/>
  <c r="L63" i="11" s="1"/>
  <c r="F63" i="11"/>
  <c r="E63" i="11"/>
  <c r="G62" i="11"/>
  <c r="F62" i="11"/>
  <c r="E62" i="11"/>
  <c r="G61" i="11"/>
  <c r="F61" i="11"/>
  <c r="E61" i="11"/>
  <c r="G59" i="11"/>
  <c r="F59" i="11"/>
  <c r="E59" i="11"/>
  <c r="G58" i="11"/>
  <c r="L58" i="11" s="1"/>
  <c r="F58" i="11"/>
  <c r="E58" i="11"/>
  <c r="G57" i="11"/>
  <c r="I57" i="11" s="1"/>
  <c r="F57" i="11"/>
  <c r="E57" i="11"/>
  <c r="G55" i="11"/>
  <c r="I55" i="11" s="1"/>
  <c r="F55" i="11"/>
  <c r="E55" i="11"/>
  <c r="G54" i="11"/>
  <c r="L54" i="11" s="1"/>
  <c r="F54" i="11"/>
  <c r="E54" i="11"/>
  <c r="G53" i="11"/>
  <c r="L53" i="11" s="1"/>
  <c r="F53" i="11"/>
  <c r="E53" i="11"/>
  <c r="G51" i="11"/>
  <c r="I51" i="11" s="1"/>
  <c r="F51" i="11"/>
  <c r="E51" i="11"/>
  <c r="G50" i="11"/>
  <c r="F50" i="11"/>
  <c r="E50" i="11"/>
  <c r="G49" i="11"/>
  <c r="F49" i="11"/>
  <c r="E49" i="11"/>
  <c r="G48" i="11"/>
  <c r="L48" i="11" s="1"/>
  <c r="F48" i="11"/>
  <c r="E48" i="11"/>
  <c r="G46" i="11"/>
  <c r="L46" i="11" s="1"/>
  <c r="F46" i="11"/>
  <c r="E46" i="11"/>
  <c r="G45" i="11"/>
  <c r="I45" i="11" s="1"/>
  <c r="F45" i="11"/>
  <c r="E45" i="11"/>
  <c r="G44" i="11"/>
  <c r="L44" i="11" s="1"/>
  <c r="F44" i="11"/>
  <c r="E44" i="11"/>
  <c r="G43" i="11"/>
  <c r="L43" i="11" s="1"/>
  <c r="F43" i="11"/>
  <c r="E43" i="11"/>
  <c r="G42" i="11"/>
  <c r="L42" i="11" s="1"/>
  <c r="F42" i="11"/>
  <c r="E42" i="11"/>
  <c r="G41" i="11"/>
  <c r="I41" i="11" s="1"/>
  <c r="F41" i="11"/>
  <c r="E41" i="11"/>
  <c r="G40" i="11"/>
  <c r="L40" i="11" s="1"/>
  <c r="F40" i="11"/>
  <c r="E40" i="11"/>
  <c r="G39" i="11"/>
  <c r="L39" i="11" s="1"/>
  <c r="F39" i="11"/>
  <c r="E39" i="11"/>
  <c r="G38" i="11"/>
  <c r="L38" i="11" s="1"/>
  <c r="M38" i="11" s="1"/>
  <c r="F38" i="11"/>
  <c r="E38" i="11"/>
  <c r="G37" i="11"/>
  <c r="I37" i="11" s="1"/>
  <c r="F37" i="11"/>
  <c r="E37" i="11"/>
  <c r="G36" i="11"/>
  <c r="L36" i="11" s="1"/>
  <c r="F36" i="11"/>
  <c r="E36" i="11"/>
  <c r="G35" i="11"/>
  <c r="L35" i="11" s="1"/>
  <c r="F35" i="11"/>
  <c r="E35" i="11"/>
  <c r="G34" i="11"/>
  <c r="F34" i="11"/>
  <c r="E34" i="11"/>
  <c r="G33" i="11"/>
  <c r="F33" i="11"/>
  <c r="E33" i="11"/>
  <c r="G31" i="11"/>
  <c r="F31" i="11"/>
  <c r="E31" i="11"/>
  <c r="G30" i="11"/>
  <c r="L30" i="11" s="1"/>
  <c r="F30" i="11"/>
  <c r="E30" i="11"/>
  <c r="G29" i="11"/>
  <c r="L29" i="11" s="1"/>
  <c r="M29" i="11" s="1"/>
  <c r="F29" i="11"/>
  <c r="E29" i="11"/>
  <c r="G28" i="11"/>
  <c r="I28" i="11" s="1"/>
  <c r="F28" i="11"/>
  <c r="E28" i="11"/>
  <c r="G27" i="11"/>
  <c r="L27" i="11" s="1"/>
  <c r="F27" i="11"/>
  <c r="E27" i="11"/>
  <c r="G26" i="11"/>
  <c r="L26" i="11" s="1"/>
  <c r="F26" i="11"/>
  <c r="E26" i="11"/>
  <c r="G25" i="11"/>
  <c r="L25" i="11" s="1"/>
  <c r="F25" i="11"/>
  <c r="E25" i="11"/>
  <c r="G24" i="11"/>
  <c r="I24" i="11" s="1"/>
  <c r="F24" i="11"/>
  <c r="E24" i="11"/>
  <c r="G22" i="11"/>
  <c r="L22" i="11" s="1"/>
  <c r="F22" i="11"/>
  <c r="E22" i="11"/>
  <c r="G21" i="11"/>
  <c r="L21" i="11" s="1"/>
  <c r="F21" i="11"/>
  <c r="E21" i="11"/>
  <c r="L20" i="11"/>
  <c r="M20" i="11" s="1"/>
  <c r="F20" i="11"/>
  <c r="E20" i="11"/>
  <c r="I19" i="11"/>
  <c r="F19" i="11"/>
  <c r="E19" i="11"/>
  <c r="L18" i="11"/>
  <c r="F18" i="11"/>
  <c r="E18" i="11"/>
  <c r="G16" i="11"/>
  <c r="L16" i="11" s="1"/>
  <c r="F16" i="11"/>
  <c r="E16" i="11"/>
  <c r="F15" i="11"/>
  <c r="E15" i="11"/>
  <c r="F14" i="11"/>
  <c r="E14" i="11"/>
  <c r="F13" i="11"/>
  <c r="E13" i="11"/>
  <c r="G12" i="11"/>
  <c r="L12" i="11" s="1"/>
  <c r="F12" i="11"/>
  <c r="E12" i="11"/>
  <c r="L11" i="11"/>
  <c r="F11" i="11"/>
  <c r="E11" i="11"/>
  <c r="I10" i="11"/>
  <c r="F10" i="11"/>
  <c r="E10" i="11"/>
  <c r="G8" i="11"/>
  <c r="L8" i="11" s="1"/>
  <c r="F8" i="11"/>
  <c r="E8" i="11"/>
  <c r="L7" i="11"/>
  <c r="F7" i="11"/>
  <c r="E7" i="11"/>
  <c r="G6" i="11"/>
  <c r="L6" i="11" s="1"/>
  <c r="F6" i="11"/>
  <c r="E6" i="11"/>
  <c r="I5" i="11"/>
  <c r="F5" i="11"/>
  <c r="E5" i="11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1032" i="11" l="1"/>
  <c r="I1030" i="11"/>
  <c r="X215" i="11"/>
  <c r="U215" i="11"/>
  <c r="V215" i="11"/>
  <c r="W215" i="11"/>
  <c r="Y215" i="11"/>
  <c r="Z215" i="11"/>
  <c r="X223" i="11"/>
  <c r="U223" i="11"/>
  <c r="V223" i="11"/>
  <c r="W223" i="11"/>
  <c r="Y223" i="11"/>
  <c r="Z223" i="11"/>
  <c r="X232" i="11"/>
  <c r="U232" i="11"/>
  <c r="V232" i="11"/>
  <c r="Y232" i="11"/>
  <c r="W232" i="11"/>
  <c r="Z232" i="11"/>
  <c r="X255" i="11"/>
  <c r="U255" i="11"/>
  <c r="V255" i="11"/>
  <c r="W255" i="11"/>
  <c r="Y255" i="11"/>
  <c r="Z255" i="11"/>
  <c r="Y295" i="11"/>
  <c r="U295" i="11"/>
  <c r="V295" i="11"/>
  <c r="W295" i="11"/>
  <c r="X295" i="11"/>
  <c r="Z295" i="11"/>
  <c r="Y311" i="11"/>
  <c r="U311" i="11"/>
  <c r="V311" i="11"/>
  <c r="W311" i="11"/>
  <c r="X311" i="11"/>
  <c r="Z311" i="11"/>
  <c r="Y327" i="11"/>
  <c r="U327" i="11"/>
  <c r="V327" i="11"/>
  <c r="W327" i="11"/>
  <c r="X327" i="11"/>
  <c r="Z327" i="11"/>
  <c r="Y343" i="11"/>
  <c r="U343" i="11"/>
  <c r="V343" i="11"/>
  <c r="W343" i="11"/>
  <c r="X343" i="11"/>
  <c r="Z343" i="11"/>
  <c r="Y361" i="11"/>
  <c r="U361" i="11"/>
  <c r="V361" i="11"/>
  <c r="W361" i="11"/>
  <c r="X361" i="11"/>
  <c r="Z361" i="11"/>
  <c r="Y394" i="11"/>
  <c r="U394" i="11"/>
  <c r="V394" i="11"/>
  <c r="W394" i="11"/>
  <c r="X394" i="11"/>
  <c r="Z394" i="11"/>
  <c r="Y407" i="11"/>
  <c r="U407" i="11"/>
  <c r="V407" i="11"/>
  <c r="W407" i="11"/>
  <c r="X407" i="11"/>
  <c r="Z407" i="11"/>
  <c r="X601" i="11"/>
  <c r="Y601" i="11"/>
  <c r="U601" i="11"/>
  <c r="V601" i="11"/>
  <c r="W601" i="11"/>
  <c r="Z601" i="11"/>
  <c r="X607" i="11"/>
  <c r="Y607" i="11"/>
  <c r="U607" i="11"/>
  <c r="V607" i="11"/>
  <c r="W607" i="11"/>
  <c r="Z607" i="11"/>
  <c r="X629" i="11"/>
  <c r="U629" i="11"/>
  <c r="V629" i="11"/>
  <c r="W629" i="11"/>
  <c r="Y629" i="11"/>
  <c r="Z629" i="11"/>
  <c r="W776" i="11"/>
  <c r="X776" i="11"/>
  <c r="Y776" i="11"/>
  <c r="Z776" i="11"/>
  <c r="U776" i="11"/>
  <c r="V776" i="11"/>
  <c r="W851" i="11"/>
  <c r="X851" i="11"/>
  <c r="Y851" i="11"/>
  <c r="Z851" i="11"/>
  <c r="U851" i="11"/>
  <c r="V851" i="11"/>
  <c r="Z938" i="11"/>
  <c r="V938" i="11"/>
  <c r="W938" i="11"/>
  <c r="X938" i="11"/>
  <c r="Y938" i="11"/>
  <c r="U938" i="11"/>
  <c r="Z979" i="11"/>
  <c r="V979" i="11"/>
  <c r="W979" i="11"/>
  <c r="X979" i="11"/>
  <c r="Y979" i="11"/>
  <c r="U979" i="11"/>
  <c r="Z1004" i="11"/>
  <c r="V1004" i="11"/>
  <c r="W1004" i="11"/>
  <c r="Y1004" i="11"/>
  <c r="U1004" i="11"/>
  <c r="X1004" i="11"/>
  <c r="Z1028" i="11"/>
  <c r="V1028" i="11"/>
  <c r="W1028" i="11"/>
  <c r="Y1028" i="11"/>
  <c r="U1028" i="11"/>
  <c r="X1028" i="11"/>
  <c r="V1046" i="11"/>
  <c r="Z1046" i="11"/>
  <c r="U1046" i="11"/>
  <c r="W1046" i="11"/>
  <c r="X1046" i="11"/>
  <c r="Y1046" i="11"/>
  <c r="V1063" i="11"/>
  <c r="Z1063" i="11"/>
  <c r="U1063" i="11"/>
  <c r="W1063" i="11"/>
  <c r="X1063" i="11"/>
  <c r="Y1063" i="11"/>
  <c r="V1071" i="11"/>
  <c r="Z1071" i="11"/>
  <c r="U1071" i="11"/>
  <c r="W1071" i="11"/>
  <c r="X1071" i="11"/>
  <c r="Y1071" i="11"/>
  <c r="V1087" i="11"/>
  <c r="W1087" i="11"/>
  <c r="X1087" i="11"/>
  <c r="Y1087" i="11"/>
  <c r="Z1087" i="11"/>
  <c r="U1087" i="11"/>
  <c r="V1103" i="11"/>
  <c r="W1103" i="11"/>
  <c r="X1103" i="11"/>
  <c r="Y1103" i="11"/>
  <c r="Z1103" i="11"/>
  <c r="U1103" i="11"/>
  <c r="V1112" i="11"/>
  <c r="W1112" i="11"/>
  <c r="X1112" i="11"/>
  <c r="Y1112" i="11"/>
  <c r="Z1112" i="11"/>
  <c r="U1112" i="11"/>
  <c r="V1120" i="11"/>
  <c r="W1120" i="11"/>
  <c r="X1120" i="11"/>
  <c r="Y1120" i="11"/>
  <c r="Z1120" i="11"/>
  <c r="U1120" i="11"/>
  <c r="V1144" i="11"/>
  <c r="Z1144" i="11"/>
  <c r="U1144" i="11"/>
  <c r="X1144" i="11"/>
  <c r="Y1144" i="11"/>
  <c r="W1144" i="11"/>
  <c r="V1226" i="11"/>
  <c r="Z1226" i="11"/>
  <c r="U1226" i="11"/>
  <c r="X1226" i="11"/>
  <c r="W1226" i="11"/>
  <c r="Y1226" i="11"/>
  <c r="W20" i="11"/>
  <c r="X20" i="11"/>
  <c r="Y20" i="11"/>
  <c r="U20" i="11"/>
  <c r="V20" i="11"/>
  <c r="Z20" i="11"/>
  <c r="L126" i="11"/>
  <c r="U301" i="11"/>
  <c r="X301" i="11"/>
  <c r="Y301" i="11"/>
  <c r="Z301" i="11"/>
  <c r="W301" i="11"/>
  <c r="V301" i="11"/>
  <c r="U367" i="11"/>
  <c r="Y367" i="11"/>
  <c r="Z367" i="11"/>
  <c r="V367" i="11"/>
  <c r="W367" i="11"/>
  <c r="X367" i="11"/>
  <c r="U392" i="11"/>
  <c r="Y392" i="11"/>
  <c r="Z392" i="11"/>
  <c r="V392" i="11"/>
  <c r="W392" i="11"/>
  <c r="X392" i="11"/>
  <c r="Y482" i="11"/>
  <c r="U482" i="11"/>
  <c r="V482" i="11"/>
  <c r="X482" i="11"/>
  <c r="W482" i="11"/>
  <c r="Z482" i="11"/>
  <c r="U548" i="11"/>
  <c r="Y548" i="11"/>
  <c r="Z548" i="11"/>
  <c r="V548" i="11"/>
  <c r="W548" i="11"/>
  <c r="X548" i="11"/>
  <c r="U556" i="11"/>
  <c r="X556" i="11"/>
  <c r="Y556" i="11"/>
  <c r="Z556" i="11"/>
  <c r="V556" i="11"/>
  <c r="W556" i="11"/>
  <c r="U565" i="11"/>
  <c r="X565" i="11"/>
  <c r="Y565" i="11"/>
  <c r="Z565" i="11"/>
  <c r="V565" i="11"/>
  <c r="W565" i="11"/>
  <c r="U581" i="11"/>
  <c r="X581" i="11"/>
  <c r="Y581" i="11"/>
  <c r="Z581" i="11"/>
  <c r="V581" i="11"/>
  <c r="W581" i="11"/>
  <c r="U589" i="11"/>
  <c r="X589" i="11"/>
  <c r="Y589" i="11"/>
  <c r="Z589" i="11"/>
  <c r="V589" i="11"/>
  <c r="W589" i="11"/>
  <c r="U598" i="11"/>
  <c r="X598" i="11"/>
  <c r="Y598" i="11"/>
  <c r="Z598" i="11"/>
  <c r="V598" i="11"/>
  <c r="W598" i="11"/>
  <c r="X668" i="11"/>
  <c r="Y668" i="11"/>
  <c r="U668" i="11"/>
  <c r="V668" i="11"/>
  <c r="W668" i="11"/>
  <c r="Z668" i="11"/>
  <c r="X685" i="11"/>
  <c r="Y685" i="11"/>
  <c r="U685" i="11"/>
  <c r="V685" i="11"/>
  <c r="W685" i="11"/>
  <c r="Z685" i="11"/>
  <c r="W734" i="11"/>
  <c r="X734" i="11"/>
  <c r="U734" i="11"/>
  <c r="V734" i="11"/>
  <c r="Y734" i="11"/>
  <c r="Z734" i="11"/>
  <c r="W750" i="11"/>
  <c r="X750" i="11"/>
  <c r="U750" i="11"/>
  <c r="V750" i="11"/>
  <c r="Y750" i="11"/>
  <c r="Z750" i="11"/>
  <c r="W774" i="11"/>
  <c r="X774" i="11"/>
  <c r="U774" i="11"/>
  <c r="V774" i="11"/>
  <c r="Y774" i="11"/>
  <c r="Z774" i="11"/>
  <c r="W816" i="11"/>
  <c r="X816" i="11"/>
  <c r="U816" i="11"/>
  <c r="V816" i="11"/>
  <c r="Y816" i="11"/>
  <c r="Z816" i="11"/>
  <c r="W840" i="11"/>
  <c r="X840" i="11"/>
  <c r="U840" i="11"/>
  <c r="V840" i="11"/>
  <c r="Y840" i="11"/>
  <c r="Z840" i="11"/>
  <c r="W849" i="11"/>
  <c r="X849" i="11"/>
  <c r="U849" i="11"/>
  <c r="V849" i="11"/>
  <c r="Y849" i="11"/>
  <c r="Z849" i="11"/>
  <c r="W881" i="11"/>
  <c r="X881" i="11"/>
  <c r="U881" i="11"/>
  <c r="V881" i="11"/>
  <c r="Y881" i="11"/>
  <c r="Z881" i="11"/>
  <c r="V904" i="11"/>
  <c r="W904" i="11"/>
  <c r="Z904" i="11"/>
  <c r="U904" i="11"/>
  <c r="X904" i="11"/>
  <c r="Y904" i="11"/>
  <c r="V936" i="11"/>
  <c r="W936" i="11"/>
  <c r="Z936" i="11"/>
  <c r="U936" i="11"/>
  <c r="X936" i="11"/>
  <c r="Y936" i="11"/>
  <c r="V944" i="11"/>
  <c r="W944" i="11"/>
  <c r="Z944" i="11"/>
  <c r="U944" i="11"/>
  <c r="Y944" i="11"/>
  <c r="X944" i="11"/>
  <c r="V969" i="11"/>
  <c r="W969" i="11"/>
  <c r="Z969" i="11"/>
  <c r="U969" i="11"/>
  <c r="X969" i="11"/>
  <c r="Y969" i="11"/>
  <c r="X1229" i="11"/>
  <c r="Y1229" i="11"/>
  <c r="V1229" i="11"/>
  <c r="W1229" i="11"/>
  <c r="Z1229" i="11"/>
  <c r="U1229" i="11"/>
  <c r="W104" i="11"/>
  <c r="X104" i="11"/>
  <c r="Y104" i="11"/>
  <c r="U104" i="11"/>
  <c r="V104" i="11"/>
  <c r="Z104" i="11"/>
  <c r="U158" i="11"/>
  <c r="X158" i="11"/>
  <c r="Y158" i="11"/>
  <c r="Z158" i="11"/>
  <c r="W158" i="11"/>
  <c r="V158" i="11"/>
  <c r="W245" i="11"/>
  <c r="X245" i="11"/>
  <c r="Y245" i="11"/>
  <c r="Z245" i="11"/>
  <c r="U245" i="11"/>
  <c r="V245" i="11"/>
  <c r="U333" i="11"/>
  <c r="Y333" i="11"/>
  <c r="Z333" i="11"/>
  <c r="V333" i="11"/>
  <c r="W333" i="11"/>
  <c r="X333" i="11"/>
  <c r="U359" i="11"/>
  <c r="Y359" i="11"/>
  <c r="Z359" i="11"/>
  <c r="V359" i="11"/>
  <c r="W359" i="11"/>
  <c r="X359" i="11"/>
  <c r="U427" i="11"/>
  <c r="V427" i="11"/>
  <c r="X427" i="11"/>
  <c r="Y427" i="11"/>
  <c r="Z427" i="11"/>
  <c r="W427" i="11"/>
  <c r="Y531" i="11"/>
  <c r="U531" i="11"/>
  <c r="V531" i="11"/>
  <c r="X531" i="11"/>
  <c r="W531" i="11"/>
  <c r="Z531" i="11"/>
  <c r="L1031" i="11"/>
  <c r="M1031" i="11" s="1"/>
  <c r="Z1036" i="11"/>
  <c r="V1036" i="11"/>
  <c r="W1036" i="11"/>
  <c r="Y1036" i="11"/>
  <c r="U1036" i="11"/>
  <c r="X1036" i="11"/>
  <c r="Z1044" i="11"/>
  <c r="V1044" i="11"/>
  <c r="W1044" i="11"/>
  <c r="Y1044" i="11"/>
  <c r="U1044" i="11"/>
  <c r="X1044" i="11"/>
  <c r="W38" i="11"/>
  <c r="X38" i="11"/>
  <c r="Y38" i="11"/>
  <c r="U38" i="11"/>
  <c r="V38" i="11"/>
  <c r="Z38" i="11"/>
  <c r="W84" i="11"/>
  <c r="X84" i="11"/>
  <c r="Y84" i="11"/>
  <c r="U84" i="11"/>
  <c r="V84" i="11"/>
  <c r="Z84" i="11"/>
  <c r="W113" i="11"/>
  <c r="X113" i="11"/>
  <c r="Y113" i="11"/>
  <c r="U113" i="11"/>
  <c r="V113" i="11"/>
  <c r="Z113" i="11"/>
  <c r="U167" i="11"/>
  <c r="Y167" i="11"/>
  <c r="Z167" i="11"/>
  <c r="X167" i="11"/>
  <c r="V167" i="11"/>
  <c r="W167" i="11"/>
  <c r="W253" i="11"/>
  <c r="X253" i="11"/>
  <c r="Y253" i="11"/>
  <c r="Z253" i="11"/>
  <c r="U253" i="11"/>
  <c r="V253" i="11"/>
  <c r="U293" i="11"/>
  <c r="X293" i="11"/>
  <c r="Y293" i="11"/>
  <c r="Z293" i="11"/>
  <c r="V293" i="11"/>
  <c r="W293" i="11"/>
  <c r="U401" i="11"/>
  <c r="Y401" i="11"/>
  <c r="Z401" i="11"/>
  <c r="V401" i="11"/>
  <c r="W401" i="11"/>
  <c r="X401" i="11"/>
  <c r="U435" i="11"/>
  <c r="V435" i="11"/>
  <c r="X435" i="11"/>
  <c r="Y435" i="11"/>
  <c r="W435" i="11"/>
  <c r="Z435" i="11"/>
  <c r="U449" i="11"/>
  <c r="Y449" i="11"/>
  <c r="W449" i="11"/>
  <c r="X449" i="11"/>
  <c r="V449" i="11"/>
  <c r="Z449" i="11"/>
  <c r="X227" i="11"/>
  <c r="U227" i="11"/>
  <c r="V227" i="11"/>
  <c r="Z227" i="11"/>
  <c r="W227" i="11"/>
  <c r="Y227" i="11"/>
  <c r="X236" i="11"/>
  <c r="U236" i="11"/>
  <c r="V236" i="11"/>
  <c r="W236" i="11"/>
  <c r="Y236" i="11"/>
  <c r="Z236" i="11"/>
  <c r="X243" i="11"/>
  <c r="U243" i="11"/>
  <c r="V243" i="11"/>
  <c r="Y243" i="11"/>
  <c r="Z243" i="11"/>
  <c r="W243" i="11"/>
  <c r="X251" i="11"/>
  <c r="U251" i="11"/>
  <c r="V251" i="11"/>
  <c r="W251" i="11"/>
  <c r="Y251" i="11"/>
  <c r="Z251" i="11"/>
  <c r="X267" i="11"/>
  <c r="W267" i="11"/>
  <c r="Y267" i="11"/>
  <c r="Z267" i="11"/>
  <c r="U267" i="11"/>
  <c r="V267" i="11"/>
  <c r="X272" i="11"/>
  <c r="Y272" i="11"/>
  <c r="U272" i="11"/>
  <c r="V272" i="11"/>
  <c r="W272" i="11"/>
  <c r="Z272" i="11"/>
  <c r="X285" i="11"/>
  <c r="Y285" i="11"/>
  <c r="U285" i="11"/>
  <c r="V285" i="11"/>
  <c r="Z285" i="11"/>
  <c r="W285" i="11"/>
  <c r="Y291" i="11"/>
  <c r="U291" i="11"/>
  <c r="V291" i="11"/>
  <c r="W291" i="11"/>
  <c r="X291" i="11"/>
  <c r="Z291" i="11"/>
  <c r="Y299" i="11"/>
  <c r="U299" i="11"/>
  <c r="V299" i="11"/>
  <c r="W299" i="11"/>
  <c r="X299" i="11"/>
  <c r="Z299" i="11"/>
  <c r="Y323" i="11"/>
  <c r="U323" i="11"/>
  <c r="V323" i="11"/>
  <c r="W323" i="11"/>
  <c r="X323" i="11"/>
  <c r="Z323" i="11"/>
  <c r="Y331" i="11"/>
  <c r="U331" i="11"/>
  <c r="V331" i="11"/>
  <c r="W331" i="11"/>
  <c r="X331" i="11"/>
  <c r="Z331" i="11"/>
  <c r="Y339" i="11"/>
  <c r="U339" i="11"/>
  <c r="V339" i="11"/>
  <c r="W339" i="11"/>
  <c r="X339" i="11"/>
  <c r="Z339" i="11"/>
  <c r="Y347" i="11"/>
  <c r="U347" i="11"/>
  <c r="V347" i="11"/>
  <c r="W347" i="11"/>
  <c r="X347" i="11"/>
  <c r="Z347" i="11"/>
  <c r="Y357" i="11"/>
  <c r="U357" i="11"/>
  <c r="V357" i="11"/>
  <c r="W357" i="11"/>
  <c r="X357" i="11"/>
  <c r="Z357" i="11"/>
  <c r="Y365" i="11"/>
  <c r="U365" i="11"/>
  <c r="V365" i="11"/>
  <c r="W365" i="11"/>
  <c r="X365" i="11"/>
  <c r="Z365" i="11"/>
  <c r="Y374" i="11"/>
  <c r="U374" i="11"/>
  <c r="V374" i="11"/>
  <c r="W374" i="11"/>
  <c r="X374" i="11"/>
  <c r="Z374" i="11"/>
  <c r="Y382" i="11"/>
  <c r="U382" i="11"/>
  <c r="V382" i="11"/>
  <c r="W382" i="11"/>
  <c r="X382" i="11"/>
  <c r="Z382" i="11"/>
  <c r="Y403" i="11"/>
  <c r="U403" i="11"/>
  <c r="V403" i="11"/>
  <c r="W403" i="11"/>
  <c r="X403" i="11"/>
  <c r="Z403" i="11"/>
  <c r="Y411" i="11"/>
  <c r="U411" i="11"/>
  <c r="V411" i="11"/>
  <c r="W411" i="11"/>
  <c r="X411" i="11"/>
  <c r="Z411" i="11"/>
  <c r="X611" i="11"/>
  <c r="Y611" i="11"/>
  <c r="U611" i="11"/>
  <c r="V611" i="11"/>
  <c r="W611" i="11"/>
  <c r="Z611" i="11"/>
  <c r="W798" i="11"/>
  <c r="X798" i="11"/>
  <c r="Y798" i="11"/>
  <c r="Z798" i="11"/>
  <c r="U798" i="11"/>
  <c r="V798" i="11"/>
  <c r="W830" i="11"/>
  <c r="X830" i="11"/>
  <c r="Y830" i="11"/>
  <c r="Z830" i="11"/>
  <c r="U830" i="11"/>
  <c r="V830" i="11"/>
  <c r="W846" i="11"/>
  <c r="X846" i="11"/>
  <c r="Y846" i="11"/>
  <c r="Z846" i="11"/>
  <c r="U846" i="11"/>
  <c r="V846" i="11"/>
  <c r="W887" i="11"/>
  <c r="X887" i="11"/>
  <c r="Y887" i="11"/>
  <c r="Z887" i="11"/>
  <c r="U887" i="11"/>
  <c r="V887" i="11"/>
  <c r="Z918" i="11"/>
  <c r="V918" i="11"/>
  <c r="W918" i="11"/>
  <c r="X918" i="11"/>
  <c r="Y918" i="11"/>
  <c r="U918" i="11"/>
  <c r="Z926" i="11"/>
  <c r="V926" i="11"/>
  <c r="W926" i="11"/>
  <c r="X926" i="11"/>
  <c r="Y926" i="11"/>
  <c r="U926" i="11"/>
  <c r="Z934" i="11"/>
  <c r="V934" i="11"/>
  <c r="W934" i="11"/>
  <c r="X934" i="11"/>
  <c r="Y934" i="11"/>
  <c r="U934" i="11"/>
  <c r="Z959" i="11"/>
  <c r="V959" i="11"/>
  <c r="W959" i="11"/>
  <c r="X959" i="11"/>
  <c r="Y959" i="11"/>
  <c r="U959" i="11"/>
  <c r="Z975" i="11"/>
  <c r="V975" i="11"/>
  <c r="W975" i="11"/>
  <c r="X975" i="11"/>
  <c r="Y975" i="11"/>
  <c r="U975" i="11"/>
  <c r="W76" i="11"/>
  <c r="X76" i="11"/>
  <c r="Y76" i="11"/>
  <c r="U76" i="11"/>
  <c r="V76" i="11"/>
  <c r="Z76" i="11"/>
  <c r="U151" i="11"/>
  <c r="X151" i="11"/>
  <c r="Y151" i="11"/>
  <c r="Z151" i="11"/>
  <c r="V151" i="11"/>
  <c r="W151" i="11"/>
  <c r="X269" i="11"/>
  <c r="V269" i="11"/>
  <c r="W269" i="11"/>
  <c r="Y269" i="11"/>
  <c r="Z269" i="11"/>
  <c r="U269" i="11"/>
  <c r="U405" i="11"/>
  <c r="Y405" i="11"/>
  <c r="V405" i="11"/>
  <c r="W405" i="11"/>
  <c r="X405" i="11"/>
  <c r="Z405" i="11"/>
  <c r="Y419" i="11"/>
  <c r="U419" i="11"/>
  <c r="V419" i="11"/>
  <c r="W419" i="11"/>
  <c r="X419" i="11"/>
  <c r="Z419" i="11"/>
  <c r="Y498" i="11"/>
  <c r="U498" i="11"/>
  <c r="V498" i="11"/>
  <c r="X498" i="11"/>
  <c r="W498" i="11"/>
  <c r="Z498" i="11"/>
  <c r="U573" i="11"/>
  <c r="X573" i="11"/>
  <c r="Y573" i="11"/>
  <c r="Z573" i="11"/>
  <c r="V573" i="11"/>
  <c r="W573" i="11"/>
  <c r="V1059" i="11"/>
  <c r="Z1059" i="11"/>
  <c r="U1059" i="11"/>
  <c r="Y1059" i="11"/>
  <c r="W1059" i="11"/>
  <c r="X1059" i="11"/>
  <c r="V1140" i="11"/>
  <c r="Z1140" i="11"/>
  <c r="U1140" i="11"/>
  <c r="W1140" i="11"/>
  <c r="X1140" i="11"/>
  <c r="Y1140" i="11"/>
  <c r="V1165" i="11"/>
  <c r="Z1165" i="11"/>
  <c r="U1165" i="11"/>
  <c r="W1165" i="11"/>
  <c r="X1165" i="11"/>
  <c r="Y1165" i="11"/>
  <c r="V1189" i="11"/>
  <c r="Z1189" i="11"/>
  <c r="U1189" i="11"/>
  <c r="W1189" i="11"/>
  <c r="X1189" i="11"/>
  <c r="Y1189" i="11"/>
  <c r="Y457" i="11"/>
  <c r="U457" i="11"/>
  <c r="V457" i="11"/>
  <c r="X457" i="11"/>
  <c r="W457" i="11"/>
  <c r="Z457" i="11"/>
  <c r="W225" i="11"/>
  <c r="X225" i="11"/>
  <c r="Y225" i="11"/>
  <c r="Z225" i="11"/>
  <c r="U225" i="11"/>
  <c r="V225" i="11"/>
  <c r="W234" i="11"/>
  <c r="X234" i="11"/>
  <c r="Y234" i="11"/>
  <c r="Z234" i="11"/>
  <c r="U234" i="11"/>
  <c r="V234" i="11"/>
  <c r="U431" i="11"/>
  <c r="V431" i="11"/>
  <c r="X431" i="11"/>
  <c r="Y431" i="11"/>
  <c r="Z431" i="11"/>
  <c r="W431" i="11"/>
  <c r="U445" i="11"/>
  <c r="Y445" i="11"/>
  <c r="Z445" i="11"/>
  <c r="V445" i="11"/>
  <c r="W445" i="11"/>
  <c r="X445" i="11"/>
  <c r="Y477" i="11"/>
  <c r="U477" i="11"/>
  <c r="V477" i="11"/>
  <c r="X477" i="11"/>
  <c r="Z477" i="11"/>
  <c r="W477" i="11"/>
  <c r="Y494" i="11"/>
  <c r="U494" i="11"/>
  <c r="V494" i="11"/>
  <c r="X494" i="11"/>
  <c r="Z494" i="11"/>
  <c r="W494" i="11"/>
  <c r="U544" i="11"/>
  <c r="V544" i="11"/>
  <c r="W544" i="11"/>
  <c r="X544" i="11"/>
  <c r="Y544" i="11"/>
  <c r="Z544" i="11"/>
  <c r="U561" i="11"/>
  <c r="X561" i="11"/>
  <c r="Y561" i="11"/>
  <c r="Z561" i="11"/>
  <c r="V561" i="11"/>
  <c r="W561" i="11"/>
  <c r="U577" i="11"/>
  <c r="X577" i="11"/>
  <c r="Y577" i="11"/>
  <c r="Z577" i="11"/>
  <c r="V577" i="11"/>
  <c r="W577" i="11"/>
  <c r="U593" i="11"/>
  <c r="X593" i="11"/>
  <c r="Y593" i="11"/>
  <c r="Z593" i="11"/>
  <c r="V593" i="11"/>
  <c r="W593" i="11"/>
  <c r="U603" i="11"/>
  <c r="X603" i="11"/>
  <c r="Y603" i="11"/>
  <c r="Z603" i="11"/>
  <c r="W603" i="11"/>
  <c r="V603" i="11"/>
  <c r="U609" i="11"/>
  <c r="X609" i="11"/>
  <c r="Y609" i="11"/>
  <c r="Z609" i="11"/>
  <c r="V609" i="11"/>
  <c r="W609" i="11"/>
  <c r="X664" i="11"/>
  <c r="Y664" i="11"/>
  <c r="U664" i="11"/>
  <c r="V664" i="11"/>
  <c r="W664" i="11"/>
  <c r="Z664" i="11"/>
  <c r="X681" i="11"/>
  <c r="Y681" i="11"/>
  <c r="U681" i="11"/>
  <c r="V681" i="11"/>
  <c r="W681" i="11"/>
  <c r="Z681" i="11"/>
  <c r="X697" i="11"/>
  <c r="Y697" i="11"/>
  <c r="U697" i="11"/>
  <c r="V697" i="11"/>
  <c r="W697" i="11"/>
  <c r="Z697" i="11"/>
  <c r="W738" i="11"/>
  <c r="X738" i="11"/>
  <c r="U738" i="11"/>
  <c r="V738" i="11"/>
  <c r="Y738" i="11"/>
  <c r="Z738" i="11"/>
  <c r="W746" i="11"/>
  <c r="X746" i="11"/>
  <c r="U746" i="11"/>
  <c r="V746" i="11"/>
  <c r="Y746" i="11"/>
  <c r="Z746" i="11"/>
  <c r="W754" i="11"/>
  <c r="X754" i="11"/>
  <c r="U754" i="11"/>
  <c r="V754" i="11"/>
  <c r="Y754" i="11"/>
  <c r="Z754" i="11"/>
  <c r="W795" i="11"/>
  <c r="X795" i="11"/>
  <c r="U795" i="11"/>
  <c r="V795" i="11"/>
  <c r="Y795" i="11"/>
  <c r="Z795" i="11"/>
  <c r="W861" i="11"/>
  <c r="X861" i="11"/>
  <c r="U861" i="11"/>
  <c r="V861" i="11"/>
  <c r="Y861" i="11"/>
  <c r="Z861" i="11"/>
  <c r="V893" i="11"/>
  <c r="W893" i="11"/>
  <c r="X893" i="11"/>
  <c r="Y893" i="11"/>
  <c r="Z893" i="11"/>
  <c r="U893" i="11"/>
  <c r="V924" i="11"/>
  <c r="W924" i="11"/>
  <c r="Z924" i="11"/>
  <c r="U924" i="11"/>
  <c r="X924" i="11"/>
  <c r="Y924" i="11"/>
  <c r="Z1032" i="11"/>
  <c r="V1032" i="11"/>
  <c r="W1032" i="11"/>
  <c r="Y1032" i="11"/>
  <c r="U1032" i="11"/>
  <c r="X1032" i="11"/>
  <c r="X1225" i="11"/>
  <c r="Y1225" i="11"/>
  <c r="U1225" i="11"/>
  <c r="V1225" i="11"/>
  <c r="Z1225" i="11"/>
  <c r="W1225" i="11"/>
  <c r="X1289" i="11"/>
  <c r="V1289" i="11"/>
  <c r="W1289" i="11"/>
  <c r="Y1289" i="11"/>
  <c r="U1289" i="11"/>
  <c r="Z1289" i="11"/>
  <c r="W29" i="11"/>
  <c r="X29" i="11"/>
  <c r="Y29" i="11"/>
  <c r="U29" i="11"/>
  <c r="V29" i="11"/>
  <c r="Z29" i="11"/>
  <c r="W94" i="11"/>
  <c r="X94" i="11"/>
  <c r="Y94" i="11"/>
  <c r="U94" i="11"/>
  <c r="V94" i="11"/>
  <c r="Z94" i="11"/>
  <c r="W238" i="11"/>
  <c r="X238" i="11"/>
  <c r="Y238" i="11"/>
  <c r="Z238" i="11"/>
  <c r="U238" i="11"/>
  <c r="V238" i="11"/>
  <c r="U341" i="11"/>
  <c r="Y341" i="11"/>
  <c r="Z341" i="11"/>
  <c r="V341" i="11"/>
  <c r="W341" i="11"/>
  <c r="X341" i="11"/>
  <c r="U376" i="11"/>
  <c r="Y376" i="11"/>
  <c r="Z376" i="11"/>
  <c r="V376" i="11"/>
  <c r="W376" i="11"/>
  <c r="X376" i="11"/>
  <c r="U443" i="11"/>
  <c r="X443" i="11"/>
  <c r="Y443" i="11"/>
  <c r="V443" i="11"/>
  <c r="W443" i="11"/>
  <c r="Z443" i="11"/>
  <c r="Z1056" i="11"/>
  <c r="V1056" i="11"/>
  <c r="W1056" i="11"/>
  <c r="Y1056" i="11"/>
  <c r="U1056" i="11"/>
  <c r="X1056" i="11"/>
  <c r="Z1073" i="11"/>
  <c r="V1073" i="11"/>
  <c r="W1073" i="11"/>
  <c r="Y1073" i="11"/>
  <c r="U1073" i="11"/>
  <c r="X1073" i="11"/>
  <c r="Z1089" i="11"/>
  <c r="U1089" i="11"/>
  <c r="V1089" i="11"/>
  <c r="W1089" i="11"/>
  <c r="X1089" i="11"/>
  <c r="Y1089" i="11"/>
  <c r="Z1097" i="11"/>
  <c r="U1097" i="11"/>
  <c r="V1097" i="11"/>
  <c r="W1097" i="11"/>
  <c r="X1097" i="11"/>
  <c r="Y1097" i="11"/>
  <c r="Z1122" i="11"/>
  <c r="U1122" i="11"/>
  <c r="V1122" i="11"/>
  <c r="W1122" i="11"/>
  <c r="X1122" i="11"/>
  <c r="Y1122" i="11"/>
  <c r="Z1171" i="11"/>
  <c r="V1171" i="11"/>
  <c r="W1171" i="11"/>
  <c r="Y1171" i="11"/>
  <c r="X1171" i="11"/>
  <c r="U1171" i="11"/>
  <c r="Z1195" i="11"/>
  <c r="V1195" i="11"/>
  <c r="W1195" i="11"/>
  <c r="Y1195" i="11"/>
  <c r="U1195" i="11"/>
  <c r="X1195" i="11"/>
  <c r="T52" i="13"/>
  <c r="R52" i="13"/>
  <c r="S52" i="13"/>
  <c r="T76" i="13"/>
  <c r="R76" i="13"/>
  <c r="S76" i="13"/>
  <c r="R118" i="13"/>
  <c r="S118" i="13"/>
  <c r="T118" i="13"/>
  <c r="R140" i="13"/>
  <c r="S140" i="13"/>
  <c r="T140" i="13"/>
  <c r="N105" i="13"/>
  <c r="R105" i="13"/>
  <c r="S105" i="13"/>
  <c r="T105" i="13"/>
  <c r="T134" i="13"/>
  <c r="R134" i="13"/>
  <c r="S134" i="13"/>
  <c r="N52" i="13"/>
  <c r="I15" i="13"/>
  <c r="I76" i="13"/>
  <c r="L93" i="13"/>
  <c r="M93" i="13" s="1"/>
  <c r="I93" i="13"/>
  <c r="L98" i="13"/>
  <c r="M98" i="13" s="1"/>
  <c r="I98" i="13"/>
  <c r="L97" i="13"/>
  <c r="M97" i="13" s="1"/>
  <c r="I97" i="13"/>
  <c r="I126" i="13"/>
  <c r="L126" i="13"/>
  <c r="M126" i="13" s="1"/>
  <c r="I66" i="13"/>
  <c r="L66" i="13"/>
  <c r="M66" i="13" s="1"/>
  <c r="I65" i="13"/>
  <c r="L65" i="13"/>
  <c r="M65" i="13" s="1"/>
  <c r="L94" i="13"/>
  <c r="M94" i="13" s="1"/>
  <c r="I94" i="13"/>
  <c r="L58" i="13"/>
  <c r="M58" i="13" s="1"/>
  <c r="L90" i="13"/>
  <c r="M90" i="13" s="1"/>
  <c r="I105" i="13"/>
  <c r="I106" i="13"/>
  <c r="I50" i="13"/>
  <c r="L50" i="13"/>
  <c r="M50" i="13" s="1"/>
  <c r="L84" i="13"/>
  <c r="M84" i="13" s="1"/>
  <c r="I84" i="13"/>
  <c r="L31" i="13"/>
  <c r="M31" i="13" s="1"/>
  <c r="I31" i="13"/>
  <c r="I49" i="13"/>
  <c r="L49" i="13"/>
  <c r="M49" i="13" s="1"/>
  <c r="L74" i="13"/>
  <c r="M74" i="13" s="1"/>
  <c r="I74" i="13"/>
  <c r="I35" i="13"/>
  <c r="L35" i="13"/>
  <c r="M35" i="13" s="1"/>
  <c r="L57" i="13"/>
  <c r="M57" i="13" s="1"/>
  <c r="I57" i="13"/>
  <c r="L72" i="13"/>
  <c r="M72" i="13" s="1"/>
  <c r="I72" i="13"/>
  <c r="L73" i="13"/>
  <c r="I112" i="13"/>
  <c r="L112" i="13"/>
  <c r="M112" i="13" s="1"/>
  <c r="L56" i="13"/>
  <c r="M56" i="13" s="1"/>
  <c r="I56" i="13"/>
  <c r="L111" i="13"/>
  <c r="M111" i="13" s="1"/>
  <c r="I111" i="13"/>
  <c r="L122" i="13"/>
  <c r="M122" i="13" s="1"/>
  <c r="I123" i="13"/>
  <c r="L136" i="13"/>
  <c r="M136" i="13" s="1"/>
  <c r="L117" i="13"/>
  <c r="M117" i="13" s="1"/>
  <c r="L103" i="13"/>
  <c r="M103" i="13" s="1"/>
  <c r="I103" i="13"/>
  <c r="L18" i="13"/>
  <c r="I18" i="13"/>
  <c r="L39" i="13"/>
  <c r="M39" i="13" s="1"/>
  <c r="N39" i="13" s="1"/>
  <c r="I39" i="13"/>
  <c r="L78" i="13"/>
  <c r="M78" i="13" s="1"/>
  <c r="I78" i="13"/>
  <c r="L82" i="13"/>
  <c r="M82" i="13" s="1"/>
  <c r="I82" i="13"/>
  <c r="I87" i="13"/>
  <c r="L87" i="13"/>
  <c r="M87" i="13" s="1"/>
  <c r="L8" i="13"/>
  <c r="M8" i="13" s="1"/>
  <c r="I8" i="13"/>
  <c r="L46" i="13"/>
  <c r="M46" i="13" s="1"/>
  <c r="I46" i="13"/>
  <c r="L61" i="13"/>
  <c r="M61" i="13" s="1"/>
  <c r="I61" i="13"/>
  <c r="I91" i="13"/>
  <c r="L91" i="13"/>
  <c r="M91" i="13" s="1"/>
  <c r="I6" i="13"/>
  <c r="L6" i="13"/>
  <c r="M6" i="13" s="1"/>
  <c r="L45" i="13"/>
  <c r="M45" i="13" s="1"/>
  <c r="I45" i="13"/>
  <c r="I75" i="13"/>
  <c r="L75" i="13"/>
  <c r="L85" i="13"/>
  <c r="M85" i="13" s="1"/>
  <c r="I85" i="13"/>
  <c r="I44" i="13"/>
  <c r="L44" i="13"/>
  <c r="M44" i="13" s="1"/>
  <c r="I63" i="13"/>
  <c r="L63" i="13"/>
  <c r="M63" i="13" s="1"/>
  <c r="I28" i="13"/>
  <c r="I52" i="13"/>
  <c r="L54" i="13"/>
  <c r="M54" i="13" s="1"/>
  <c r="I68" i="13"/>
  <c r="L69" i="13"/>
  <c r="M69" i="13" s="1"/>
  <c r="L70" i="13"/>
  <c r="M70" i="13" s="1"/>
  <c r="L79" i="13"/>
  <c r="M79" i="13" s="1"/>
  <c r="L95" i="13"/>
  <c r="L100" i="13"/>
  <c r="M100" i="13" s="1"/>
  <c r="L121" i="13"/>
  <c r="M121" i="13" s="1"/>
  <c r="L138" i="13"/>
  <c r="M138" i="13" s="1"/>
  <c r="I140" i="13"/>
  <c r="L37" i="13"/>
  <c r="M37" i="13" s="1"/>
  <c r="I37" i="13"/>
  <c r="L43" i="13"/>
  <c r="M43" i="13" s="1"/>
  <c r="I43" i="13"/>
  <c r="L101" i="13"/>
  <c r="I101" i="13"/>
  <c r="M106" i="13"/>
  <c r="L115" i="13"/>
  <c r="M115" i="13" s="1"/>
  <c r="I115" i="13"/>
  <c r="L131" i="13"/>
  <c r="I131" i="13"/>
  <c r="I55" i="13"/>
  <c r="L55" i="13"/>
  <c r="I40" i="13"/>
  <c r="L40" i="13"/>
  <c r="M40" i="13" s="1"/>
  <c r="L129" i="13"/>
  <c r="M129" i="13" s="1"/>
  <c r="I129" i="13"/>
  <c r="L64" i="13"/>
  <c r="M64" i="13" s="1"/>
  <c r="I64" i="13"/>
  <c r="I81" i="13"/>
  <c r="L81" i="13"/>
  <c r="L48" i="13"/>
  <c r="M48" i="13" s="1"/>
  <c r="I48" i="13"/>
  <c r="I53" i="13"/>
  <c r="L53" i="13"/>
  <c r="I83" i="13"/>
  <c r="L83" i="13"/>
  <c r="L89" i="13"/>
  <c r="I89" i="13"/>
  <c r="I99" i="13"/>
  <c r="L99" i="13"/>
  <c r="M99" i="13" s="1"/>
  <c r="L60" i="13"/>
  <c r="I60" i="13"/>
  <c r="L62" i="13"/>
  <c r="M62" i="13" s="1"/>
  <c r="I62" i="13"/>
  <c r="I23" i="13"/>
  <c r="L23" i="13"/>
  <c r="M23" i="13" s="1"/>
  <c r="M28" i="13"/>
  <c r="I67" i="13"/>
  <c r="L67" i="13"/>
  <c r="L77" i="13"/>
  <c r="I77" i="13"/>
  <c r="L144" i="13"/>
  <c r="I144" i="13"/>
  <c r="L33" i="13"/>
  <c r="M33" i="13" s="1"/>
  <c r="I33" i="13"/>
  <c r="I42" i="13"/>
  <c r="L42" i="13"/>
  <c r="M42" i="13" s="1"/>
  <c r="I47" i="13"/>
  <c r="L47" i="13"/>
  <c r="I59" i="13"/>
  <c r="L59" i="13"/>
  <c r="I86" i="13"/>
  <c r="L86" i="13"/>
  <c r="M86" i="13" s="1"/>
  <c r="L88" i="13"/>
  <c r="M88" i="13" s="1"/>
  <c r="I88" i="13"/>
  <c r="I102" i="13"/>
  <c r="L102" i="13"/>
  <c r="I104" i="13"/>
  <c r="L104" i="13"/>
  <c r="L107" i="13"/>
  <c r="M107" i="13" s="1"/>
  <c r="I107" i="13"/>
  <c r="I22" i="13"/>
  <c r="L22" i="13"/>
  <c r="M22" i="13" s="1"/>
  <c r="I51" i="13"/>
  <c r="L51" i="13"/>
  <c r="I71" i="13"/>
  <c r="L71" i="13"/>
  <c r="L80" i="13"/>
  <c r="M80" i="13" s="1"/>
  <c r="I80" i="13"/>
  <c r="L92" i="13"/>
  <c r="I92" i="13"/>
  <c r="I127" i="13"/>
  <c r="L127" i="13"/>
  <c r="M127" i="13" s="1"/>
  <c r="M68" i="13"/>
  <c r="N76" i="13"/>
  <c r="L133" i="13"/>
  <c r="M133" i="13" s="1"/>
  <c r="I134" i="13"/>
  <c r="L146" i="13"/>
  <c r="M146" i="13" s="1"/>
  <c r="I147" i="13"/>
  <c r="I27" i="13"/>
  <c r="L27" i="13"/>
  <c r="I12" i="13"/>
  <c r="L12" i="13"/>
  <c r="I10" i="13"/>
  <c r="L10" i="13"/>
  <c r="L17" i="13"/>
  <c r="I17" i="13"/>
  <c r="I25" i="13"/>
  <c r="L25" i="13"/>
  <c r="L26" i="13"/>
  <c r="I26" i="13"/>
  <c r="I29" i="13"/>
  <c r="L29" i="13"/>
  <c r="L11" i="13"/>
  <c r="I11" i="13"/>
  <c r="I16" i="13"/>
  <c r="L16" i="13"/>
  <c r="L5" i="13"/>
  <c r="I5" i="13"/>
  <c r="M15" i="13"/>
  <c r="I19" i="13"/>
  <c r="L19" i="13"/>
  <c r="L21" i="13"/>
  <c r="I21" i="13"/>
  <c r="I32" i="13"/>
  <c r="L32" i="13"/>
  <c r="L110" i="13"/>
  <c r="I110" i="13"/>
  <c r="I38" i="13"/>
  <c r="L38" i="13"/>
  <c r="I114" i="13"/>
  <c r="L114" i="13"/>
  <c r="L14" i="13"/>
  <c r="I14" i="13"/>
  <c r="I135" i="13"/>
  <c r="L135" i="13"/>
  <c r="I130" i="13"/>
  <c r="L130" i="13"/>
  <c r="I124" i="13"/>
  <c r="L124" i="13"/>
  <c r="N140" i="13"/>
  <c r="N94" i="13"/>
  <c r="I108" i="13"/>
  <c r="L108" i="13"/>
  <c r="N118" i="13"/>
  <c r="I119" i="13"/>
  <c r="L119" i="13"/>
  <c r="M123" i="13"/>
  <c r="N134" i="13"/>
  <c r="I142" i="13"/>
  <c r="L142" i="13"/>
  <c r="M147" i="13"/>
  <c r="I118" i="13"/>
  <c r="L217" i="11"/>
  <c r="M217" i="11" s="1"/>
  <c r="I776" i="11"/>
  <c r="I37" i="12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216" i="11"/>
  <c r="L971" i="11"/>
  <c r="M971" i="11" s="1"/>
  <c r="I1171" i="11"/>
  <c r="L1279" i="11"/>
  <c r="M1279" i="11" s="1"/>
  <c r="L693" i="11"/>
  <c r="M693" i="11" s="1"/>
  <c r="I1026" i="11"/>
  <c r="L1027" i="11"/>
  <c r="M1027" i="11" s="1"/>
  <c r="I1028" i="11"/>
  <c r="L1077" i="11"/>
  <c r="M1077" i="11" s="1"/>
  <c r="N1226" i="11"/>
  <c r="L1227" i="11"/>
  <c r="L490" i="11"/>
  <c r="M490" i="11" s="1"/>
  <c r="L838" i="11"/>
  <c r="M838" i="11" s="1"/>
  <c r="L871" i="11"/>
  <c r="L51" i="11"/>
  <c r="M51" i="11" s="1"/>
  <c r="I347" i="11"/>
  <c r="L1207" i="11"/>
  <c r="I1225" i="11"/>
  <c r="I1226" i="11"/>
  <c r="L351" i="11"/>
  <c r="M351" i="11" s="1"/>
  <c r="I352" i="11"/>
  <c r="L353" i="11"/>
  <c r="M353" i="11" s="1"/>
  <c r="I354" i="11"/>
  <c r="I607" i="11"/>
  <c r="I774" i="11"/>
  <c r="L818" i="11"/>
  <c r="M818" i="11" s="1"/>
  <c r="L845" i="11"/>
  <c r="I846" i="11"/>
  <c r="L1024" i="11"/>
  <c r="M1024" i="11" s="1"/>
  <c r="L1154" i="11"/>
  <c r="M1154" i="11" s="1"/>
  <c r="L1267" i="11"/>
  <c r="M1267" i="11" s="1"/>
  <c r="L177" i="11"/>
  <c r="M177" i="11" s="1"/>
  <c r="L1283" i="11"/>
  <c r="L1288" i="11"/>
  <c r="M1288" i="11" s="1"/>
  <c r="I1289" i="11"/>
  <c r="I236" i="11"/>
  <c r="L883" i="11"/>
  <c r="M883" i="11" s="1"/>
  <c r="I900" i="11"/>
  <c r="L901" i="11"/>
  <c r="M901" i="11" s="1"/>
  <c r="I902" i="11"/>
  <c r="L931" i="11"/>
  <c r="M931" i="11" s="1"/>
  <c r="I932" i="11"/>
  <c r="L933" i="11"/>
  <c r="M933" i="11" s="1"/>
  <c r="I934" i="11"/>
  <c r="L1105" i="11"/>
  <c r="M1105" i="11" s="1"/>
  <c r="I1120" i="11"/>
  <c r="L1125" i="11"/>
  <c r="M1125" i="11" s="1"/>
  <c r="L1126" i="11"/>
  <c r="M1126" i="11" s="1"/>
  <c r="L1143" i="11"/>
  <c r="M1143" i="11" s="1"/>
  <c r="I1144" i="11"/>
  <c r="I1158" i="11"/>
  <c r="L1164" i="11"/>
  <c r="M1164" i="11" s="1"/>
  <c r="I1165" i="11"/>
  <c r="I1191" i="11"/>
  <c r="L1243" i="11"/>
  <c r="M1243" i="11" s="1"/>
  <c r="L222" i="11"/>
  <c r="M222" i="11" s="1"/>
  <c r="I223" i="11"/>
  <c r="L230" i="11"/>
  <c r="M230" i="11" s="1"/>
  <c r="L235" i="11"/>
  <c r="M235" i="11" s="1"/>
  <c r="I359" i="11"/>
  <c r="L527" i="11"/>
  <c r="M527" i="11" s="1"/>
  <c r="I591" i="11"/>
  <c r="L592" i="11"/>
  <c r="I593" i="11"/>
  <c r="L190" i="11"/>
  <c r="M190" i="11" s="1"/>
  <c r="N223" i="11"/>
  <c r="I403" i="11"/>
  <c r="I571" i="11"/>
  <c r="L572" i="11"/>
  <c r="M572" i="11" s="1"/>
  <c r="I573" i="11"/>
  <c r="I904" i="11"/>
  <c r="I124" i="11"/>
  <c r="L125" i="11"/>
  <c r="M125" i="11" s="1"/>
  <c r="L254" i="11"/>
  <c r="M254" i="11" s="1"/>
  <c r="I255" i="11"/>
  <c r="I272" i="11"/>
  <c r="L350" i="11"/>
  <c r="M350" i="11" s="1"/>
  <c r="I376" i="11"/>
  <c r="L444" i="11"/>
  <c r="M444" i="11" s="1"/>
  <c r="I445" i="11"/>
  <c r="L540" i="11"/>
  <c r="M540" i="11" s="1"/>
  <c r="L689" i="11"/>
  <c r="M689" i="11" s="1"/>
  <c r="L810" i="11"/>
  <c r="M810" i="11" s="1"/>
  <c r="L892" i="11"/>
  <c r="M892" i="11" s="1"/>
  <c r="I893" i="11"/>
  <c r="L946" i="11"/>
  <c r="M946" i="11" s="1"/>
  <c r="L1043" i="11"/>
  <c r="M1043" i="11" s="1"/>
  <c r="L1048" i="11"/>
  <c r="M1048" i="11" s="1"/>
  <c r="L1110" i="11"/>
  <c r="M1110" i="11" s="1"/>
  <c r="L1115" i="11"/>
  <c r="M1115" i="11" s="1"/>
  <c r="I1116" i="11"/>
  <c r="L1117" i="11"/>
  <c r="M1117" i="11" s="1"/>
  <c r="I1118" i="11"/>
  <c r="L1203" i="11"/>
  <c r="M1203" i="11" s="1"/>
  <c r="L57" i="11"/>
  <c r="M57" i="11" s="1"/>
  <c r="L213" i="11"/>
  <c r="M213" i="11" s="1"/>
  <c r="L218" i="11"/>
  <c r="M218" i="11" s="1"/>
  <c r="I219" i="11"/>
  <c r="I233" i="11"/>
  <c r="I234" i="11"/>
  <c r="I280" i="11"/>
  <c r="L280" i="11"/>
  <c r="M280" i="11" s="1"/>
  <c r="L305" i="11"/>
  <c r="M305" i="11" s="1"/>
  <c r="L326" i="11"/>
  <c r="M326" i="11" s="1"/>
  <c r="I327" i="11"/>
  <c r="L337" i="11"/>
  <c r="M337" i="11" s="1"/>
  <c r="I339" i="11"/>
  <c r="I341" i="11"/>
  <c r="I374" i="11"/>
  <c r="I387" i="11"/>
  <c r="L387" i="11"/>
  <c r="M387" i="11" s="1"/>
  <c r="L396" i="11"/>
  <c r="M396" i="11" s="1"/>
  <c r="I425" i="11"/>
  <c r="L426" i="11"/>
  <c r="M426" i="11" s="1"/>
  <c r="I427" i="11"/>
  <c r="L569" i="11"/>
  <c r="M569" i="11" s="1"/>
  <c r="I587" i="11"/>
  <c r="L588" i="11"/>
  <c r="I589" i="11"/>
  <c r="I647" i="11"/>
  <c r="L647" i="11"/>
  <c r="M647" i="11" s="1"/>
  <c r="I651" i="11"/>
  <c r="L651" i="11"/>
  <c r="I659" i="11"/>
  <c r="L659" i="11"/>
  <c r="M659" i="11" s="1"/>
  <c r="I760" i="11"/>
  <c r="L785" i="11"/>
  <c r="M785" i="11" s="1"/>
  <c r="I785" i="11"/>
  <c r="I878" i="11"/>
  <c r="L878" i="11"/>
  <c r="M878" i="11" s="1"/>
  <c r="I942" i="11"/>
  <c r="L942" i="11"/>
  <c r="M942" i="11" s="1"/>
  <c r="L965" i="11"/>
  <c r="I965" i="11"/>
  <c r="L1239" i="11"/>
  <c r="M1239" i="11" s="1"/>
  <c r="I1239" i="11"/>
  <c r="I1256" i="11"/>
  <c r="L1256" i="11"/>
  <c r="M1256" i="11" s="1"/>
  <c r="L281" i="11"/>
  <c r="M281" i="11" s="1"/>
  <c r="I281" i="11"/>
  <c r="L388" i="11"/>
  <c r="M388" i="11" s="1"/>
  <c r="I388" i="11"/>
  <c r="L5" i="11"/>
  <c r="M5" i="11" s="1"/>
  <c r="I6" i="11"/>
  <c r="I8" i="11"/>
  <c r="L10" i="11"/>
  <c r="M10" i="11" s="1"/>
  <c r="I11" i="11"/>
  <c r="I18" i="11"/>
  <c r="L19" i="11"/>
  <c r="M19" i="11" s="1"/>
  <c r="I20" i="11"/>
  <c r="L163" i="11"/>
  <c r="M163" i="11" s="1"/>
  <c r="L240" i="11"/>
  <c r="M240" i="11" s="1"/>
  <c r="I240" i="11"/>
  <c r="L294" i="11"/>
  <c r="M294" i="11" s="1"/>
  <c r="I295" i="11"/>
  <c r="I299" i="11"/>
  <c r="I367" i="11"/>
  <c r="L386" i="11"/>
  <c r="I386" i="11"/>
  <c r="L390" i="11"/>
  <c r="M390" i="11" s="1"/>
  <c r="I390" i="11"/>
  <c r="I413" i="11"/>
  <c r="L413" i="11"/>
  <c r="M413" i="11" s="1"/>
  <c r="I579" i="11"/>
  <c r="L580" i="11"/>
  <c r="M580" i="11" s="1"/>
  <c r="I581" i="11"/>
  <c r="L646" i="11"/>
  <c r="M646" i="11" s="1"/>
  <c r="I646" i="11"/>
  <c r="L650" i="11"/>
  <c r="M650" i="11" s="1"/>
  <c r="I650" i="11"/>
  <c r="L658" i="11"/>
  <c r="I658" i="11"/>
  <c r="L702" i="11"/>
  <c r="M702" i="11" s="1"/>
  <c r="I702" i="11"/>
  <c r="L714" i="11"/>
  <c r="M714" i="11" s="1"/>
  <c r="I714" i="11"/>
  <c r="L730" i="11"/>
  <c r="M730" i="11" s="1"/>
  <c r="I730" i="11"/>
  <c r="L814" i="11"/>
  <c r="M814" i="11" s="1"/>
  <c r="I814" i="11"/>
  <c r="I964" i="11"/>
  <c r="L964" i="11"/>
  <c r="M964" i="11" s="1"/>
  <c r="L1091" i="11"/>
  <c r="M1091" i="11" s="1"/>
  <c r="I1091" i="11"/>
  <c r="L1134" i="11"/>
  <c r="M1134" i="11" s="1"/>
  <c r="I1134" i="11"/>
  <c r="L1218" i="11"/>
  <c r="I1218" i="11"/>
  <c r="I1251" i="11"/>
  <c r="L1251" i="11"/>
  <c r="M1251" i="11" s="1"/>
  <c r="I239" i="11"/>
  <c r="L239" i="11"/>
  <c r="M239" i="11" s="1"/>
  <c r="L296" i="11"/>
  <c r="M296" i="11" s="1"/>
  <c r="I297" i="11"/>
  <c r="I357" i="11"/>
  <c r="L360" i="11"/>
  <c r="M360" i="11" s="1"/>
  <c r="I361" i="11"/>
  <c r="I385" i="11"/>
  <c r="L385" i="11"/>
  <c r="M385" i="11" s="1"/>
  <c r="I575" i="11"/>
  <c r="L576" i="11"/>
  <c r="M576" i="11" s="1"/>
  <c r="I577" i="11"/>
  <c r="I595" i="11"/>
  <c r="L597" i="11"/>
  <c r="I598" i="11"/>
  <c r="I701" i="11"/>
  <c r="L701" i="11"/>
  <c r="M701" i="11" s="1"/>
  <c r="I713" i="11"/>
  <c r="L713" i="11"/>
  <c r="M713" i="11" s="1"/>
  <c r="I729" i="11"/>
  <c r="L729" i="11"/>
  <c r="I813" i="11"/>
  <c r="L813" i="11"/>
  <c r="M813" i="11" s="1"/>
  <c r="I859" i="11"/>
  <c r="L859" i="11"/>
  <c r="M859" i="11" s="1"/>
  <c r="L867" i="11"/>
  <c r="M867" i="11" s="1"/>
  <c r="I867" i="11"/>
  <c r="L954" i="11"/>
  <c r="M954" i="11" s="1"/>
  <c r="L963" i="11"/>
  <c r="M963" i="11" s="1"/>
  <c r="I963" i="11"/>
  <c r="L967" i="11"/>
  <c r="M967" i="11" s="1"/>
  <c r="I967" i="11"/>
  <c r="I1061" i="11"/>
  <c r="L1061" i="11"/>
  <c r="M1061" i="11" s="1"/>
  <c r="I1090" i="11"/>
  <c r="L1090" i="11"/>
  <c r="M1090" i="11" s="1"/>
  <c r="I1217" i="11"/>
  <c r="L1217" i="11"/>
  <c r="M1217" i="11" s="1"/>
  <c r="L1241" i="11"/>
  <c r="M1241" i="11" s="1"/>
  <c r="I1241" i="11"/>
  <c r="L1271" i="11"/>
  <c r="M1271" i="11" s="1"/>
  <c r="I1271" i="11"/>
  <c r="I461" i="11"/>
  <c r="L461" i="11"/>
  <c r="M461" i="11" s="1"/>
  <c r="L648" i="11"/>
  <c r="M648" i="11" s="1"/>
  <c r="I648" i="11"/>
  <c r="L652" i="11"/>
  <c r="M652" i="11" s="1"/>
  <c r="I652" i="11"/>
  <c r="L660" i="11"/>
  <c r="M660" i="11" s="1"/>
  <c r="I660" i="11"/>
  <c r="L699" i="11"/>
  <c r="M699" i="11" s="1"/>
  <c r="I699" i="11"/>
  <c r="L712" i="11"/>
  <c r="I712" i="11"/>
  <c r="L728" i="11"/>
  <c r="M728" i="11" s="1"/>
  <c r="I728" i="11"/>
  <c r="L879" i="11"/>
  <c r="M879" i="11" s="1"/>
  <c r="I879" i="11"/>
  <c r="I966" i="11"/>
  <c r="L966" i="11"/>
  <c r="M966" i="11" s="1"/>
  <c r="L1216" i="11"/>
  <c r="M1216" i="11" s="1"/>
  <c r="I1216" i="11"/>
  <c r="I1240" i="11"/>
  <c r="L1240" i="11"/>
  <c r="L1257" i="11"/>
  <c r="M1257" i="11" s="1"/>
  <c r="I1257" i="11"/>
  <c r="L406" i="11"/>
  <c r="M406" i="11" s="1"/>
  <c r="I407" i="11"/>
  <c r="L486" i="11"/>
  <c r="M486" i="11" s="1"/>
  <c r="I525" i="11"/>
  <c r="L526" i="11"/>
  <c r="M526" i="11" s="1"/>
  <c r="I529" i="11"/>
  <c r="L530" i="11"/>
  <c r="M530" i="11" s="1"/>
  <c r="I531" i="11"/>
  <c r="I538" i="11"/>
  <c r="L539" i="11"/>
  <c r="M539" i="11" s="1"/>
  <c r="L613" i="11"/>
  <c r="M613" i="11" s="1"/>
  <c r="I691" i="11"/>
  <c r="L692" i="11"/>
  <c r="M692" i="11" s="1"/>
  <c r="I695" i="11"/>
  <c r="L696" i="11"/>
  <c r="M696" i="11" s="1"/>
  <c r="I697" i="11"/>
  <c r="L710" i="11"/>
  <c r="M710" i="11" s="1"/>
  <c r="L806" i="11"/>
  <c r="M806" i="11" s="1"/>
  <c r="I849" i="11"/>
  <c r="L860" i="11"/>
  <c r="M860" i="11" s="1"/>
  <c r="I861" i="11"/>
  <c r="L868" i="11"/>
  <c r="I869" i="11"/>
  <c r="L870" i="11"/>
  <c r="M870" i="11" s="1"/>
  <c r="L910" i="11"/>
  <c r="M910" i="11" s="1"/>
  <c r="L925" i="11"/>
  <c r="M925" i="11" s="1"/>
  <c r="I926" i="11"/>
  <c r="I936" i="11"/>
  <c r="L1008" i="11"/>
  <c r="M1008" i="11" s="1"/>
  <c r="I1034" i="11"/>
  <c r="L1035" i="11"/>
  <c r="M1035" i="11" s="1"/>
  <c r="I1036" i="11"/>
  <c r="I1073" i="11"/>
  <c r="I1087" i="11"/>
  <c r="I1103" i="11"/>
  <c r="L1142" i="11"/>
  <c r="M1142" i="11" s="1"/>
  <c r="I1195" i="11"/>
  <c r="L1292" i="11"/>
  <c r="L465" i="11"/>
  <c r="M465" i="11" s="1"/>
  <c r="I465" i="11"/>
  <c r="L509" i="11"/>
  <c r="M509" i="11" s="1"/>
  <c r="I509" i="11"/>
  <c r="L641" i="11"/>
  <c r="I641" i="11"/>
  <c r="L808" i="11"/>
  <c r="M808" i="11" s="1"/>
  <c r="I808" i="11"/>
  <c r="L853" i="11"/>
  <c r="M853" i="11" s="1"/>
  <c r="I853" i="11"/>
  <c r="L981" i="11"/>
  <c r="M981" i="11" s="1"/>
  <c r="I981" i="11"/>
  <c r="I1012" i="11"/>
  <c r="L1012" i="11"/>
  <c r="M1012" i="11" s="1"/>
  <c r="I1138" i="11"/>
  <c r="L1138" i="11"/>
  <c r="M1138" i="11" s="1"/>
  <c r="L1173" i="11"/>
  <c r="M1173" i="11" s="1"/>
  <c r="I1173" i="11"/>
  <c r="I1199" i="11"/>
  <c r="L1199" i="11"/>
  <c r="M1199" i="11" s="1"/>
  <c r="L605" i="11"/>
  <c r="M605" i="11" s="1"/>
  <c r="L617" i="11"/>
  <c r="M617" i="11" s="1"/>
  <c r="L625" i="11"/>
  <c r="M625" i="11" s="1"/>
  <c r="I625" i="11"/>
  <c r="L631" i="11"/>
  <c r="M631" i="11" s="1"/>
  <c r="L635" i="11"/>
  <c r="M635" i="11" s="1"/>
  <c r="I635" i="11"/>
  <c r="I673" i="11"/>
  <c r="L673" i="11"/>
  <c r="M673" i="11" s="1"/>
  <c r="I726" i="11"/>
  <c r="L726" i="11"/>
  <c r="M726" i="11" s="1"/>
  <c r="I769" i="11"/>
  <c r="L769" i="11"/>
  <c r="M769" i="11" s="1"/>
  <c r="I780" i="11"/>
  <c r="L780" i="11"/>
  <c r="M780" i="11" s="1"/>
  <c r="L781" i="11"/>
  <c r="M781" i="11" s="1"/>
  <c r="L796" i="11"/>
  <c r="I798" i="11"/>
  <c r="L834" i="11"/>
  <c r="M834" i="11" s="1"/>
  <c r="I834" i="11"/>
  <c r="I851" i="11"/>
  <c r="I852" i="11"/>
  <c r="L852" i="11"/>
  <c r="M852" i="11" s="1"/>
  <c r="L906" i="11"/>
  <c r="M906" i="11" s="1"/>
  <c r="I906" i="11"/>
  <c r="L914" i="11"/>
  <c r="M914" i="11" s="1"/>
  <c r="I938" i="11"/>
  <c r="I979" i="11"/>
  <c r="L985" i="11"/>
  <c r="M985" i="11" s="1"/>
  <c r="I985" i="11"/>
  <c r="I994" i="11"/>
  <c r="L994" i="11"/>
  <c r="M994" i="11" s="1"/>
  <c r="L995" i="11"/>
  <c r="M995" i="11" s="1"/>
  <c r="I1011" i="11"/>
  <c r="L1011" i="11"/>
  <c r="M1011" i="11" s="1"/>
  <c r="I1071" i="11"/>
  <c r="I1081" i="11"/>
  <c r="L1081" i="11"/>
  <c r="M1081" i="11" s="1"/>
  <c r="L1167" i="11"/>
  <c r="M1167" i="11" s="1"/>
  <c r="I1167" i="11"/>
  <c r="I257" i="11"/>
  <c r="L257" i="11"/>
  <c r="M257" i="11" s="1"/>
  <c r="I377" i="11"/>
  <c r="L377" i="11"/>
  <c r="M377" i="11" s="1"/>
  <c r="I395" i="11"/>
  <c r="L395" i="11"/>
  <c r="M395" i="11" s="1"/>
  <c r="I460" i="11"/>
  <c r="L460" i="11"/>
  <c r="M460" i="11" s="1"/>
  <c r="I503" i="11"/>
  <c r="L503" i="11"/>
  <c r="M503" i="11" s="1"/>
  <c r="I514" i="11"/>
  <c r="L514" i="11"/>
  <c r="I618" i="11"/>
  <c r="L618" i="11"/>
  <c r="M618" i="11" s="1"/>
  <c r="L623" i="11"/>
  <c r="M623" i="11" s="1"/>
  <c r="I623" i="11"/>
  <c r="L675" i="11"/>
  <c r="I675" i="11"/>
  <c r="L770" i="11"/>
  <c r="M770" i="11" s="1"/>
  <c r="I770" i="11"/>
  <c r="I803" i="11"/>
  <c r="L803" i="11"/>
  <c r="M803" i="11" s="1"/>
  <c r="I835" i="11"/>
  <c r="L835" i="11"/>
  <c r="M835" i="11" s="1"/>
  <c r="I842" i="11"/>
  <c r="L842" i="11"/>
  <c r="M842" i="11" s="1"/>
  <c r="I986" i="11"/>
  <c r="L986" i="11"/>
  <c r="I1082" i="11"/>
  <c r="L1082" i="11"/>
  <c r="M1082" i="11" s="1"/>
  <c r="I1204" i="11"/>
  <c r="L1204" i="11"/>
  <c r="M1204" i="11" s="1"/>
  <c r="I1272" i="11"/>
  <c r="L1272" i="11"/>
  <c r="M1272" i="11" s="1"/>
  <c r="L1281" i="11"/>
  <c r="M1281" i="11" s="1"/>
  <c r="I1281" i="11"/>
  <c r="I22" i="11"/>
  <c r="L24" i="11"/>
  <c r="M24" i="11" s="1"/>
  <c r="I25" i="11"/>
  <c r="I27" i="11"/>
  <c r="L28" i="11"/>
  <c r="M28" i="11" s="1"/>
  <c r="I29" i="11"/>
  <c r="I36" i="11"/>
  <c r="L37" i="11"/>
  <c r="M37" i="11" s="1"/>
  <c r="I38" i="11"/>
  <c r="L72" i="11"/>
  <c r="M72" i="11" s="1"/>
  <c r="I74" i="11"/>
  <c r="L75" i="11"/>
  <c r="M75" i="11" s="1"/>
  <c r="I76" i="11"/>
  <c r="I78" i="11"/>
  <c r="L79" i="11"/>
  <c r="M79" i="11" s="1"/>
  <c r="I80" i="11"/>
  <c r="I82" i="11"/>
  <c r="L83" i="11"/>
  <c r="M83" i="11" s="1"/>
  <c r="I84" i="11"/>
  <c r="I92" i="11"/>
  <c r="L93" i="11"/>
  <c r="M93" i="11" s="1"/>
  <c r="I94" i="11"/>
  <c r="L122" i="11"/>
  <c r="M122" i="11" s="1"/>
  <c r="I224" i="11"/>
  <c r="I225" i="11"/>
  <c r="I253" i="11"/>
  <c r="L262" i="11"/>
  <c r="M262" i="11" s="1"/>
  <c r="I263" i="11"/>
  <c r="L264" i="11"/>
  <c r="M264" i="11" s="1"/>
  <c r="I265" i="11"/>
  <c r="I267" i="11"/>
  <c r="I285" i="11"/>
  <c r="L307" i="11"/>
  <c r="M307" i="11" s="1"/>
  <c r="I307" i="11"/>
  <c r="L309" i="11"/>
  <c r="M309" i="11" s="1"/>
  <c r="L345" i="11"/>
  <c r="M345" i="11" s="1"/>
  <c r="I382" i="11"/>
  <c r="L393" i="11"/>
  <c r="M393" i="11" s="1"/>
  <c r="I394" i="11"/>
  <c r="I401" i="11"/>
  <c r="I411" i="11"/>
  <c r="L423" i="11"/>
  <c r="M423" i="11" s="1"/>
  <c r="I441" i="11"/>
  <c r="L442" i="11"/>
  <c r="M442" i="11" s="1"/>
  <c r="I443" i="11"/>
  <c r="L459" i="11"/>
  <c r="I459" i="11"/>
  <c r="I464" i="11"/>
  <c r="L464" i="11"/>
  <c r="M464" i="11" s="1"/>
  <c r="L513" i="11"/>
  <c r="I513" i="11"/>
  <c r="I522" i="11"/>
  <c r="L522" i="11"/>
  <c r="M522" i="11" s="1"/>
  <c r="L523" i="11"/>
  <c r="M523" i="11" s="1"/>
  <c r="I97" i="11"/>
  <c r="L98" i="11"/>
  <c r="M98" i="11" s="1"/>
  <c r="I99" i="11"/>
  <c r="I102" i="11"/>
  <c r="L103" i="11"/>
  <c r="M103" i="11" s="1"/>
  <c r="I104" i="11"/>
  <c r="I110" i="11"/>
  <c r="L112" i="11"/>
  <c r="I113" i="11"/>
  <c r="L139" i="11"/>
  <c r="M139" i="11" s="1"/>
  <c r="I141" i="11"/>
  <c r="L142" i="11"/>
  <c r="I143" i="11"/>
  <c r="I146" i="11"/>
  <c r="I147" i="11"/>
  <c r="I149" i="11"/>
  <c r="L150" i="11"/>
  <c r="M150" i="11" s="1"/>
  <c r="I151" i="11"/>
  <c r="L157" i="11"/>
  <c r="M157" i="11" s="1"/>
  <c r="I158" i="11"/>
  <c r="I194" i="11"/>
  <c r="L194" i="11"/>
  <c r="M194" i="11" s="1"/>
  <c r="L195" i="11"/>
  <c r="M195" i="11" s="1"/>
  <c r="I251" i="11"/>
  <c r="L317" i="11"/>
  <c r="M317" i="11" s="1"/>
  <c r="L325" i="11"/>
  <c r="M325" i="11" s="1"/>
  <c r="I325" i="11"/>
  <c r="L380" i="11"/>
  <c r="M380" i="11" s="1"/>
  <c r="L398" i="11"/>
  <c r="M398" i="11" s="1"/>
  <c r="I398" i="11"/>
  <c r="L439" i="11"/>
  <c r="M439" i="11" s="1"/>
  <c r="I455" i="11"/>
  <c r="L456" i="11"/>
  <c r="M456" i="11" s="1"/>
  <c r="I457" i="11"/>
  <c r="L463" i="11"/>
  <c r="M463" i="11" s="1"/>
  <c r="I463" i="11"/>
  <c r="I472" i="11"/>
  <c r="L472" i="11"/>
  <c r="M472" i="11" s="1"/>
  <c r="L473" i="11"/>
  <c r="M473" i="11" s="1"/>
  <c r="I506" i="11"/>
  <c r="L506" i="11"/>
  <c r="M506" i="11" s="1"/>
  <c r="L507" i="11"/>
  <c r="M507" i="11" s="1"/>
  <c r="L521" i="11"/>
  <c r="M521" i="11" s="1"/>
  <c r="I521" i="11"/>
  <c r="I554" i="11"/>
  <c r="L555" i="11"/>
  <c r="M555" i="11" s="1"/>
  <c r="I556" i="11"/>
  <c r="L615" i="11"/>
  <c r="M615" i="11" s="1"/>
  <c r="I615" i="11"/>
  <c r="I620" i="11"/>
  <c r="L620" i="11"/>
  <c r="M620" i="11" s="1"/>
  <c r="L621" i="11"/>
  <c r="M621" i="11" s="1"/>
  <c r="I634" i="11"/>
  <c r="L634" i="11"/>
  <c r="M634" i="11" s="1"/>
  <c r="I736" i="11"/>
  <c r="L737" i="11"/>
  <c r="M737" i="11" s="1"/>
  <c r="I738" i="11"/>
  <c r="I744" i="11"/>
  <c r="L745" i="11"/>
  <c r="M745" i="11" s="1"/>
  <c r="I746" i="11"/>
  <c r="L764" i="11"/>
  <c r="M764" i="11" s="1"/>
  <c r="I764" i="11"/>
  <c r="I805" i="11"/>
  <c r="L805" i="11"/>
  <c r="M805" i="11" s="1"/>
  <c r="I837" i="11"/>
  <c r="L837" i="11"/>
  <c r="M837" i="11" s="1"/>
  <c r="L855" i="11"/>
  <c r="M855" i="11" s="1"/>
  <c r="I855" i="11"/>
  <c r="L895" i="11"/>
  <c r="M895" i="11" s="1"/>
  <c r="I895" i="11"/>
  <c r="L977" i="11"/>
  <c r="M977" i="11" s="1"/>
  <c r="I977" i="11"/>
  <c r="L993" i="11"/>
  <c r="M993" i="11" s="1"/>
  <c r="I993" i="11"/>
  <c r="L1010" i="11"/>
  <c r="M1010" i="11" s="1"/>
  <c r="I1010" i="11"/>
  <c r="L1042" i="11"/>
  <c r="M1042" i="11" s="1"/>
  <c r="I1042" i="11"/>
  <c r="I1069" i="11"/>
  <c r="L1069" i="11"/>
  <c r="M1069" i="11" s="1"/>
  <c r="I1084" i="11"/>
  <c r="L1084" i="11"/>
  <c r="M1084" i="11" s="1"/>
  <c r="I1106" i="11"/>
  <c r="L1106" i="11"/>
  <c r="M1106" i="11" s="1"/>
  <c r="I1123" i="11"/>
  <c r="L1123" i="11"/>
  <c r="M1123" i="11" s="1"/>
  <c r="L1136" i="11"/>
  <c r="M1136" i="11" s="1"/>
  <c r="I1136" i="11"/>
  <c r="L1148" i="11"/>
  <c r="M1148" i="11" s="1"/>
  <c r="I1148" i="11"/>
  <c r="L1152" i="11"/>
  <c r="M1152" i="11" s="1"/>
  <c r="I1152" i="11"/>
  <c r="I1184" i="11"/>
  <c r="L1184" i="11"/>
  <c r="M1184" i="11" s="1"/>
  <c r="L1197" i="11"/>
  <c r="M1197" i="11" s="1"/>
  <c r="I1197" i="11"/>
  <c r="I1211" i="11"/>
  <c r="L1211" i="11"/>
  <c r="M1211" i="11" s="1"/>
  <c r="I1223" i="11"/>
  <c r="L1223" i="11"/>
  <c r="M1223" i="11" s="1"/>
  <c r="I1235" i="11"/>
  <c r="L1235" i="11"/>
  <c r="M1235" i="11" s="1"/>
  <c r="I1263" i="11"/>
  <c r="L1263" i="11"/>
  <c r="M1263" i="11" s="1"/>
  <c r="I54" i="11"/>
  <c r="L55" i="11"/>
  <c r="M55" i="11" s="1"/>
  <c r="I160" i="11"/>
  <c r="L162" i="11"/>
  <c r="M162" i="11" s="1"/>
  <c r="I165" i="11"/>
  <c r="L166" i="11"/>
  <c r="M166" i="11" s="1"/>
  <c r="I167" i="11"/>
  <c r="I175" i="11"/>
  <c r="L176" i="11"/>
  <c r="M176" i="11" s="1"/>
  <c r="L193" i="11"/>
  <c r="M193" i="11" s="1"/>
  <c r="I193" i="11"/>
  <c r="L209" i="11"/>
  <c r="M209" i="11" s="1"/>
  <c r="I211" i="11"/>
  <c r="L212" i="11"/>
  <c r="M212" i="11" s="1"/>
  <c r="M219" i="11"/>
  <c r="L220" i="11"/>
  <c r="M220" i="11" s="1"/>
  <c r="I220" i="11"/>
  <c r="L221" i="11"/>
  <c r="M221" i="11" s="1"/>
  <c r="I228" i="11"/>
  <c r="I238" i="11"/>
  <c r="I245" i="11"/>
  <c r="L259" i="11"/>
  <c r="M259" i="11" s="1"/>
  <c r="I259" i="11"/>
  <c r="L277" i="11"/>
  <c r="M277" i="11" s="1"/>
  <c r="I277" i="11"/>
  <c r="L279" i="11"/>
  <c r="M279" i="11" s="1"/>
  <c r="L315" i="11"/>
  <c r="M315" i="11" s="1"/>
  <c r="I315" i="11"/>
  <c r="L378" i="11"/>
  <c r="M378" i="11" s="1"/>
  <c r="I378" i="11"/>
  <c r="I405" i="11"/>
  <c r="I447" i="11"/>
  <c r="L448" i="11"/>
  <c r="M448" i="11" s="1"/>
  <c r="I449" i="11"/>
  <c r="L471" i="11"/>
  <c r="M471" i="11" s="1"/>
  <c r="I471" i="11"/>
  <c r="I488" i="11"/>
  <c r="L489" i="11"/>
  <c r="M489" i="11" s="1"/>
  <c r="L505" i="11"/>
  <c r="M505" i="11" s="1"/>
  <c r="I505" i="11"/>
  <c r="I510" i="11"/>
  <c r="L510" i="11"/>
  <c r="M510" i="11" s="1"/>
  <c r="L511" i="11"/>
  <c r="M511" i="11" s="1"/>
  <c r="L515" i="11"/>
  <c r="M515" i="11" s="1"/>
  <c r="I515" i="11"/>
  <c r="I552" i="11"/>
  <c r="L552" i="11"/>
  <c r="M552" i="11" s="1"/>
  <c r="I609" i="11"/>
  <c r="L619" i="11"/>
  <c r="M619" i="11" s="1"/>
  <c r="I619" i="11"/>
  <c r="L633" i="11"/>
  <c r="M633" i="11" s="1"/>
  <c r="I633" i="11"/>
  <c r="I642" i="11"/>
  <c r="L642" i="11"/>
  <c r="M642" i="11" s="1"/>
  <c r="L643" i="11"/>
  <c r="M643" i="11" s="1"/>
  <c r="I676" i="11"/>
  <c r="L676" i="11"/>
  <c r="M676" i="11" s="1"/>
  <c r="L677" i="11"/>
  <c r="M677" i="11" s="1"/>
  <c r="I732" i="11"/>
  <c r="L733" i="11"/>
  <c r="M733" i="11" s="1"/>
  <c r="I734" i="11"/>
  <c r="L742" i="11"/>
  <c r="M742" i="11" s="1"/>
  <c r="I763" i="11"/>
  <c r="L763" i="11"/>
  <c r="M763" i="11" s="1"/>
  <c r="I771" i="11"/>
  <c r="L771" i="11"/>
  <c r="M771" i="11" s="1"/>
  <c r="L772" i="11"/>
  <c r="M772" i="11" s="1"/>
  <c r="L783" i="11"/>
  <c r="M783" i="11" s="1"/>
  <c r="I783" i="11"/>
  <c r="L804" i="11"/>
  <c r="M804" i="11" s="1"/>
  <c r="I804" i="11"/>
  <c r="L836" i="11"/>
  <c r="M836" i="11" s="1"/>
  <c r="I836" i="11"/>
  <c r="I854" i="11"/>
  <c r="L854" i="11"/>
  <c r="M854" i="11" s="1"/>
  <c r="L884" i="11"/>
  <c r="M884" i="11" s="1"/>
  <c r="I885" i="11"/>
  <c r="L886" i="11"/>
  <c r="M886" i="11" s="1"/>
  <c r="I887" i="11"/>
  <c r="I894" i="11"/>
  <c r="L894" i="11"/>
  <c r="M894" i="11" s="1"/>
  <c r="L909" i="11"/>
  <c r="L941" i="11"/>
  <c r="M941" i="11" s="1"/>
  <c r="I944" i="11"/>
  <c r="L974" i="11"/>
  <c r="M974" i="11" s="1"/>
  <c r="I975" i="11"/>
  <c r="I982" i="11"/>
  <c r="L982" i="11"/>
  <c r="M982" i="11" s="1"/>
  <c r="L983" i="11"/>
  <c r="M983" i="11" s="1"/>
  <c r="L987" i="11"/>
  <c r="M987" i="11" s="1"/>
  <c r="I987" i="11"/>
  <c r="L1000" i="11"/>
  <c r="M1000" i="11" s="1"/>
  <c r="I1044" i="11"/>
  <c r="L1045" i="11"/>
  <c r="M1045" i="11" s="1"/>
  <c r="I1046" i="11"/>
  <c r="I1056" i="11"/>
  <c r="L1058" i="11"/>
  <c r="M1058" i="11" s="1"/>
  <c r="I1059" i="11"/>
  <c r="L1079" i="11"/>
  <c r="M1079" i="11" s="1"/>
  <c r="I1079" i="11"/>
  <c r="L1083" i="11"/>
  <c r="I1083" i="11"/>
  <c r="I1089" i="11"/>
  <c r="I1097" i="11"/>
  <c r="I1112" i="11"/>
  <c r="I1130" i="11"/>
  <c r="I1135" i="11"/>
  <c r="L1135" i="11"/>
  <c r="M1135" i="11" s="1"/>
  <c r="I1147" i="11"/>
  <c r="L1147" i="11"/>
  <c r="M1147" i="11" s="1"/>
  <c r="I1151" i="11"/>
  <c r="L1151" i="11"/>
  <c r="M1151" i="11" s="1"/>
  <c r="L1175" i="11"/>
  <c r="I1179" i="11"/>
  <c r="L1179" i="11"/>
  <c r="M1179" i="11" s="1"/>
  <c r="L1188" i="11"/>
  <c r="M1188" i="11" s="1"/>
  <c r="I1189" i="11"/>
  <c r="I1196" i="11"/>
  <c r="L1196" i="11"/>
  <c r="M1196" i="11" s="1"/>
  <c r="L1205" i="11"/>
  <c r="M1205" i="11" s="1"/>
  <c r="I1205" i="11"/>
  <c r="L1255" i="11"/>
  <c r="M1255" i="11" s="1"/>
  <c r="I1255" i="11"/>
  <c r="I1220" i="11"/>
  <c r="L1220" i="11"/>
  <c r="M1220" i="11" s="1"/>
  <c r="I1280" i="11"/>
  <c r="L1280" i="11"/>
  <c r="M1280" i="11" s="1"/>
  <c r="L1085" i="11"/>
  <c r="I1085" i="11"/>
  <c r="L1107" i="11"/>
  <c r="M1107" i="11" s="1"/>
  <c r="I1107" i="11"/>
  <c r="L1124" i="11"/>
  <c r="M1124" i="11" s="1"/>
  <c r="I1124" i="11"/>
  <c r="I1172" i="11"/>
  <c r="L1172" i="11"/>
  <c r="M1172" i="11" s="1"/>
  <c r="L1185" i="11"/>
  <c r="M1185" i="11" s="1"/>
  <c r="I1185" i="11"/>
  <c r="L1273" i="11"/>
  <c r="M1273" i="11" s="1"/>
  <c r="I1273" i="11"/>
  <c r="M242" i="11"/>
  <c r="I14" i="11"/>
  <c r="L14" i="11"/>
  <c r="M14" i="11" s="1"/>
  <c r="M25" i="11"/>
  <c r="I34" i="11"/>
  <c r="L34" i="11"/>
  <c r="L59" i="11"/>
  <c r="I59" i="11"/>
  <c r="L64" i="11"/>
  <c r="M64" i="11" s="1"/>
  <c r="I64" i="11"/>
  <c r="L69" i="11"/>
  <c r="M69" i="11" s="1"/>
  <c r="I69" i="11"/>
  <c r="M200" i="11"/>
  <c r="M289" i="11"/>
  <c r="I50" i="11"/>
  <c r="L50" i="11"/>
  <c r="L62" i="11"/>
  <c r="I62" i="11"/>
  <c r="L67" i="11"/>
  <c r="I67" i="11"/>
  <c r="M321" i="11"/>
  <c r="M627" i="11"/>
  <c r="L13" i="11"/>
  <c r="M13" i="11" s="1"/>
  <c r="I13" i="11"/>
  <c r="M42" i="11"/>
  <c r="M6" i="11"/>
  <c r="L15" i="11"/>
  <c r="I15" i="11"/>
  <c r="I61" i="11"/>
  <c r="L61" i="11"/>
  <c r="M61" i="11" s="1"/>
  <c r="I65" i="11"/>
  <c r="L65" i="11"/>
  <c r="M65" i="11" s="1"/>
  <c r="M130" i="11"/>
  <c r="M181" i="11"/>
  <c r="M329" i="11"/>
  <c r="M99" i="11"/>
  <c r="M297" i="11"/>
  <c r="I304" i="11"/>
  <c r="L304" i="11"/>
  <c r="M304" i="11" s="1"/>
  <c r="I368" i="11"/>
  <c r="L368" i="11"/>
  <c r="M368" i="11" s="1"/>
  <c r="I422" i="11"/>
  <c r="L422" i="11"/>
  <c r="M422" i="11" s="1"/>
  <c r="L437" i="11"/>
  <c r="M437" i="11" s="1"/>
  <c r="I437" i="11"/>
  <c r="I485" i="11"/>
  <c r="L485" i="11"/>
  <c r="M485" i="11" s="1"/>
  <c r="L500" i="11"/>
  <c r="M500" i="11" s="1"/>
  <c r="I500" i="11"/>
  <c r="I551" i="11"/>
  <c r="L551" i="11"/>
  <c r="M551" i="11" s="1"/>
  <c r="L567" i="11"/>
  <c r="M567" i="11" s="1"/>
  <c r="I567" i="11"/>
  <c r="I612" i="11"/>
  <c r="L612" i="11"/>
  <c r="M612" i="11" s="1"/>
  <c r="I671" i="11"/>
  <c r="L671" i="11"/>
  <c r="M671" i="11" s="1"/>
  <c r="L687" i="11"/>
  <c r="M687" i="11" s="1"/>
  <c r="I687" i="11"/>
  <c r="I709" i="11"/>
  <c r="L709" i="11"/>
  <c r="M709" i="11" s="1"/>
  <c r="L720" i="11"/>
  <c r="M720" i="11" s="1"/>
  <c r="I720" i="11"/>
  <c r="I725" i="11"/>
  <c r="L725" i="11"/>
  <c r="M725" i="11" s="1"/>
  <c r="I741" i="11"/>
  <c r="L741" i="11"/>
  <c r="M741" i="11" s="1"/>
  <c r="L756" i="11"/>
  <c r="I756" i="11"/>
  <c r="I788" i="11"/>
  <c r="L788" i="11"/>
  <c r="M788" i="11" s="1"/>
  <c r="I793" i="11"/>
  <c r="L793" i="11"/>
  <c r="M793" i="11" s="1"/>
  <c r="L802" i="11"/>
  <c r="M802" i="11" s="1"/>
  <c r="I802" i="11"/>
  <c r="I819" i="11"/>
  <c r="L819" i="11"/>
  <c r="M819" i="11" s="1"/>
  <c r="L828" i="11"/>
  <c r="M828" i="11" s="1"/>
  <c r="I828" i="11"/>
  <c r="L875" i="11"/>
  <c r="M875" i="11" s="1"/>
  <c r="I875" i="11"/>
  <c r="I949" i="11"/>
  <c r="L949" i="11"/>
  <c r="M949" i="11" s="1"/>
  <c r="L1014" i="11"/>
  <c r="M1014" i="11" s="1"/>
  <c r="I1014" i="11"/>
  <c r="L1018" i="11"/>
  <c r="M1018" i="11" s="1"/>
  <c r="I1018" i="11"/>
  <c r="L1022" i="11"/>
  <c r="M1022" i="11" s="1"/>
  <c r="I1022" i="11"/>
  <c r="L1050" i="11"/>
  <c r="M1050" i="11" s="1"/>
  <c r="I1050" i="11"/>
  <c r="L1054" i="11"/>
  <c r="M1054" i="11" s="1"/>
  <c r="I1054" i="11"/>
  <c r="I1074" i="11"/>
  <c r="L1074" i="11"/>
  <c r="M1074" i="11" s="1"/>
  <c r="I1092" i="11"/>
  <c r="L1092" i="11"/>
  <c r="M1092" i="11" s="1"/>
  <c r="L1128" i="11"/>
  <c r="M1128" i="11" s="1"/>
  <c r="I1128" i="11"/>
  <c r="M1191" i="11"/>
  <c r="I1200" i="11"/>
  <c r="L1200" i="11"/>
  <c r="M1200" i="11" s="1"/>
  <c r="L1247" i="11"/>
  <c r="I1247" i="11"/>
  <c r="I1252" i="11"/>
  <c r="L1252" i="11"/>
  <c r="M1252" i="11" s="1"/>
  <c r="L1261" i="11"/>
  <c r="M1261" i="11" s="1"/>
  <c r="I1261" i="11"/>
  <c r="I679" i="11"/>
  <c r="L680" i="11"/>
  <c r="M680" i="11" s="1"/>
  <c r="I681" i="11"/>
  <c r="I683" i="11"/>
  <c r="L684" i="11"/>
  <c r="M684" i="11" s="1"/>
  <c r="I685" i="11"/>
  <c r="L724" i="11"/>
  <c r="M724" i="11" s="1"/>
  <c r="I724" i="11"/>
  <c r="L740" i="11"/>
  <c r="M740" i="11" s="1"/>
  <c r="I740" i="11"/>
  <c r="I748" i="11"/>
  <c r="L749" i="11"/>
  <c r="M749" i="11" s="1"/>
  <c r="I750" i="11"/>
  <c r="I752" i="11"/>
  <c r="L753" i="11"/>
  <c r="M753" i="11" s="1"/>
  <c r="I754" i="11"/>
  <c r="L768" i="11"/>
  <c r="M768" i="11" s="1"/>
  <c r="I768" i="11"/>
  <c r="L787" i="11"/>
  <c r="M787" i="11" s="1"/>
  <c r="I787" i="11"/>
  <c r="I811" i="11"/>
  <c r="L811" i="11"/>
  <c r="M811" i="11" s="1"/>
  <c r="I816" i="11"/>
  <c r="L822" i="11"/>
  <c r="I822" i="11"/>
  <c r="I827" i="11"/>
  <c r="L827" i="11"/>
  <c r="M827" i="11" s="1"/>
  <c r="L863" i="11"/>
  <c r="I863" i="11"/>
  <c r="L898" i="11"/>
  <c r="M898" i="11" s="1"/>
  <c r="I898" i="11"/>
  <c r="M902" i="11"/>
  <c r="L908" i="11"/>
  <c r="M908" i="11" s="1"/>
  <c r="I908" i="11"/>
  <c r="L912" i="11"/>
  <c r="M912" i="11" s="1"/>
  <c r="I912" i="11"/>
  <c r="L948" i="11"/>
  <c r="M948" i="11" s="1"/>
  <c r="I948" i="11"/>
  <c r="L952" i="11"/>
  <c r="M952" i="11" s="1"/>
  <c r="I952" i="11"/>
  <c r="I1049" i="11"/>
  <c r="L1049" i="11"/>
  <c r="M1049" i="11" s="1"/>
  <c r="L1067" i="11"/>
  <c r="M1067" i="11" s="1"/>
  <c r="I1067" i="11"/>
  <c r="L1095" i="11"/>
  <c r="M1095" i="11" s="1"/>
  <c r="I1095" i="11"/>
  <c r="I1127" i="11"/>
  <c r="L1127" i="11"/>
  <c r="M1127" i="11" s="1"/>
  <c r="L1183" i="11"/>
  <c r="I1183" i="11"/>
  <c r="I121" i="11"/>
  <c r="L121" i="11"/>
  <c r="M121" i="11" s="1"/>
  <c r="L136" i="11"/>
  <c r="M136" i="11" s="1"/>
  <c r="I136" i="11"/>
  <c r="I189" i="11"/>
  <c r="L189" i="11"/>
  <c r="M189" i="11" s="1"/>
  <c r="L207" i="11"/>
  <c r="M207" i="11" s="1"/>
  <c r="I207" i="11"/>
  <c r="I246" i="11"/>
  <c r="L246" i="11"/>
  <c r="M246" i="11" s="1"/>
  <c r="M265" i="11"/>
  <c r="L335" i="11"/>
  <c r="M335" i="11" s="1"/>
  <c r="I335" i="11"/>
  <c r="I344" i="11"/>
  <c r="L344" i="11"/>
  <c r="M344" i="11" s="1"/>
  <c r="I33" i="11"/>
  <c r="L33" i="11"/>
  <c r="M33" i="11" s="1"/>
  <c r="L49" i="11"/>
  <c r="M49" i="11" s="1"/>
  <c r="I49" i="11"/>
  <c r="M80" i="11"/>
  <c r="I107" i="11"/>
  <c r="L107" i="11"/>
  <c r="M107" i="11" s="1"/>
  <c r="L108" i="11"/>
  <c r="L120" i="11"/>
  <c r="M120" i="11" s="1"/>
  <c r="I120" i="11"/>
  <c r="I128" i="11"/>
  <c r="L129" i="11"/>
  <c r="M129" i="11" s="1"/>
  <c r="I130" i="11"/>
  <c r="I132" i="11"/>
  <c r="L133" i="11"/>
  <c r="M133" i="11" s="1"/>
  <c r="I134" i="11"/>
  <c r="M143" i="11"/>
  <c r="M147" i="11"/>
  <c r="I170" i="11"/>
  <c r="L170" i="11"/>
  <c r="M170" i="11" s="1"/>
  <c r="L172" i="11"/>
  <c r="L188" i="11"/>
  <c r="I188" i="11"/>
  <c r="I198" i="11"/>
  <c r="L199" i="11"/>
  <c r="M199" i="11" s="1"/>
  <c r="I200" i="11"/>
  <c r="I202" i="11"/>
  <c r="L204" i="11"/>
  <c r="M204" i="11" s="1"/>
  <c r="I205" i="11"/>
  <c r="L214" i="11"/>
  <c r="M214" i="11" s="1"/>
  <c r="I215" i="11"/>
  <c r="L231" i="11"/>
  <c r="I232" i="11"/>
  <c r="L241" i="11"/>
  <c r="M241" i="11" s="1"/>
  <c r="I242" i="11"/>
  <c r="I243" i="11"/>
  <c r="I274" i="11"/>
  <c r="L274" i="11"/>
  <c r="M274" i="11" s="1"/>
  <c r="L275" i="11"/>
  <c r="I293" i="11"/>
  <c r="L303" i="11"/>
  <c r="M303" i="11" s="1"/>
  <c r="I303" i="11"/>
  <c r="I312" i="11"/>
  <c r="L312" i="11"/>
  <c r="M312" i="11" s="1"/>
  <c r="L313" i="11"/>
  <c r="L318" i="11"/>
  <c r="M318" i="11" s="1"/>
  <c r="I319" i="11"/>
  <c r="L320" i="11"/>
  <c r="M320" i="11" s="1"/>
  <c r="I321" i="11"/>
  <c r="I323" i="11"/>
  <c r="I333" i="11"/>
  <c r="I334" i="11"/>
  <c r="L334" i="11"/>
  <c r="M334" i="11" s="1"/>
  <c r="L342" i="11"/>
  <c r="M342" i="11" s="1"/>
  <c r="I343" i="11"/>
  <c r="M354" i="11"/>
  <c r="L362" i="11"/>
  <c r="M362" i="11" s="1"/>
  <c r="I365" i="11"/>
  <c r="L421" i="11"/>
  <c r="I421" i="11"/>
  <c r="I429" i="11"/>
  <c r="L430" i="11"/>
  <c r="M430" i="11" s="1"/>
  <c r="I431" i="11"/>
  <c r="I433" i="11"/>
  <c r="L434" i="11"/>
  <c r="M434" i="11" s="1"/>
  <c r="I435" i="11"/>
  <c r="I468" i="11"/>
  <c r="L468" i="11"/>
  <c r="M468" i="11" s="1"/>
  <c r="L469" i="11"/>
  <c r="M469" i="11" s="1"/>
  <c r="L484" i="11"/>
  <c r="M484" i="11" s="1"/>
  <c r="I484" i="11"/>
  <c r="I492" i="11"/>
  <c r="L493" i="11"/>
  <c r="M493" i="11" s="1"/>
  <c r="I494" i="11"/>
  <c r="I496" i="11"/>
  <c r="L497" i="11"/>
  <c r="M497" i="11" s="1"/>
  <c r="I498" i="11"/>
  <c r="I535" i="11"/>
  <c r="L535" i="11"/>
  <c r="M535" i="11" s="1"/>
  <c r="L536" i="11"/>
  <c r="M536" i="11" s="1"/>
  <c r="L550" i="11"/>
  <c r="M550" i="11" s="1"/>
  <c r="I550" i="11"/>
  <c r="I558" i="11"/>
  <c r="L559" i="11"/>
  <c r="I561" i="11"/>
  <c r="I563" i="11"/>
  <c r="L564" i="11"/>
  <c r="M564" i="11" s="1"/>
  <c r="I565" i="11"/>
  <c r="I603" i="11"/>
  <c r="L610" i="11"/>
  <c r="M610" i="11" s="1"/>
  <c r="I611" i="11"/>
  <c r="L626" i="11"/>
  <c r="M626" i="11" s="1"/>
  <c r="I627" i="11"/>
  <c r="I629" i="11"/>
  <c r="I655" i="11"/>
  <c r="L655" i="11"/>
  <c r="M655" i="11" s="1"/>
  <c r="L656" i="11"/>
  <c r="M656" i="11" s="1"/>
  <c r="L670" i="11"/>
  <c r="M670" i="11" s="1"/>
  <c r="I670" i="11"/>
  <c r="M11" i="11"/>
  <c r="N29" i="11"/>
  <c r="L31" i="11"/>
  <c r="M31" i="11" s="1"/>
  <c r="I31" i="11"/>
  <c r="N38" i="11"/>
  <c r="I40" i="11"/>
  <c r="L41" i="11"/>
  <c r="M41" i="11" s="1"/>
  <c r="I42" i="11"/>
  <c r="I44" i="11"/>
  <c r="L45" i="11"/>
  <c r="M45" i="11" s="1"/>
  <c r="I46" i="11"/>
  <c r="I87" i="11"/>
  <c r="L87" i="11"/>
  <c r="M87" i="11" s="1"/>
  <c r="L88" i="11"/>
  <c r="N104" i="11"/>
  <c r="L106" i="11"/>
  <c r="M106" i="11" s="1"/>
  <c r="I106" i="11"/>
  <c r="N113" i="11"/>
  <c r="I118" i="11"/>
  <c r="M126" i="11"/>
  <c r="M134" i="11"/>
  <c r="I154" i="11"/>
  <c r="L154" i="11"/>
  <c r="M154" i="11" s="1"/>
  <c r="L155" i="11"/>
  <c r="N167" i="11"/>
  <c r="L169" i="11"/>
  <c r="M169" i="11" s="1"/>
  <c r="I169" i="11"/>
  <c r="I179" i="11"/>
  <c r="L180" i="11"/>
  <c r="M180" i="11" s="1"/>
  <c r="I181" i="11"/>
  <c r="I183" i="11"/>
  <c r="L185" i="11"/>
  <c r="M185" i="11" s="1"/>
  <c r="I186" i="11"/>
  <c r="M205" i="11"/>
  <c r="N215" i="11"/>
  <c r="L226" i="11"/>
  <c r="M226" i="11" s="1"/>
  <c r="I227" i="11"/>
  <c r="N232" i="11"/>
  <c r="I248" i="11"/>
  <c r="L248" i="11"/>
  <c r="M248" i="11" s="1"/>
  <c r="L249" i="11"/>
  <c r="L261" i="11"/>
  <c r="M261" i="11" s="1"/>
  <c r="I269" i="11"/>
  <c r="I282" i="11"/>
  <c r="L282" i="11"/>
  <c r="M282" i="11" s="1"/>
  <c r="L283" i="11"/>
  <c r="I287" i="11"/>
  <c r="L288" i="11"/>
  <c r="M288" i="11" s="1"/>
  <c r="I289" i="11"/>
  <c r="I291" i="11"/>
  <c r="I301" i="11"/>
  <c r="I302" i="11"/>
  <c r="L302" i="11"/>
  <c r="M302" i="11" s="1"/>
  <c r="L310" i="11"/>
  <c r="M310" i="11" s="1"/>
  <c r="I311" i="11"/>
  <c r="L328" i="11"/>
  <c r="M328" i="11" s="1"/>
  <c r="I329" i="11"/>
  <c r="I331" i="11"/>
  <c r="I371" i="11"/>
  <c r="L371" i="11"/>
  <c r="M371" i="11" s="1"/>
  <c r="L372" i="11"/>
  <c r="L384" i="11"/>
  <c r="M384" i="11" s="1"/>
  <c r="I392" i="11"/>
  <c r="I408" i="11"/>
  <c r="L408" i="11"/>
  <c r="M408" i="11" s="1"/>
  <c r="L409" i="11"/>
  <c r="L414" i="11"/>
  <c r="M414" i="11" s="1"/>
  <c r="I415" i="11"/>
  <c r="L416" i="11"/>
  <c r="M416" i="11" s="1"/>
  <c r="L418" i="11"/>
  <c r="M418" i="11" s="1"/>
  <c r="I419" i="11"/>
  <c r="I452" i="11"/>
  <c r="L452" i="11"/>
  <c r="M452" i="11" s="1"/>
  <c r="L453" i="11"/>
  <c r="M453" i="11" s="1"/>
  <c r="L467" i="11"/>
  <c r="M467" i="11" s="1"/>
  <c r="I467" i="11"/>
  <c r="I475" i="11"/>
  <c r="L476" i="11"/>
  <c r="M476" i="11" s="1"/>
  <c r="I477" i="11"/>
  <c r="I479" i="11"/>
  <c r="L480" i="11"/>
  <c r="M480" i="11" s="1"/>
  <c r="I482" i="11"/>
  <c r="I518" i="11"/>
  <c r="L518" i="11"/>
  <c r="M518" i="11" s="1"/>
  <c r="L519" i="11"/>
  <c r="M519" i="11" s="1"/>
  <c r="L534" i="11"/>
  <c r="M534" i="11" s="1"/>
  <c r="I534" i="11"/>
  <c r="I542" i="11"/>
  <c r="L543" i="11"/>
  <c r="M543" i="11" s="1"/>
  <c r="I544" i="11"/>
  <c r="I546" i="11"/>
  <c r="L547" i="11"/>
  <c r="I548" i="11"/>
  <c r="I584" i="11"/>
  <c r="L584" i="11"/>
  <c r="M584" i="11" s="1"/>
  <c r="L585" i="11"/>
  <c r="M585" i="11" s="1"/>
  <c r="I601" i="11"/>
  <c r="I638" i="11"/>
  <c r="L638" i="11"/>
  <c r="M638" i="11" s="1"/>
  <c r="L639" i="11"/>
  <c r="M639" i="11" s="1"/>
  <c r="L654" i="11"/>
  <c r="M654" i="11" s="1"/>
  <c r="I654" i="11"/>
  <c r="I662" i="11"/>
  <c r="L663" i="11"/>
  <c r="M663" i="11" s="1"/>
  <c r="I664" i="11"/>
  <c r="I666" i="11"/>
  <c r="L667" i="11"/>
  <c r="M667" i="11" s="1"/>
  <c r="I668" i="11"/>
  <c r="I705" i="11"/>
  <c r="L705" i="11"/>
  <c r="L706" i="11"/>
  <c r="M706" i="11" s="1"/>
  <c r="I717" i="11"/>
  <c r="L717" i="11"/>
  <c r="M717" i="11" s="1"/>
  <c r="L718" i="11"/>
  <c r="M718" i="11" s="1"/>
  <c r="L722" i="11"/>
  <c r="M722" i="11" s="1"/>
  <c r="I722" i="11"/>
  <c r="I758" i="11"/>
  <c r="L758" i="11"/>
  <c r="M758" i="11" s="1"/>
  <c r="L779" i="11"/>
  <c r="M779" i="11" s="1"/>
  <c r="I779" i="11"/>
  <c r="I786" i="11"/>
  <c r="L786" i="11"/>
  <c r="M786" i="11" s="1"/>
  <c r="L791" i="11"/>
  <c r="M791" i="11" s="1"/>
  <c r="I791" i="11"/>
  <c r="I821" i="11"/>
  <c r="L821" i="11"/>
  <c r="M821" i="11" s="1"/>
  <c r="L826" i="11"/>
  <c r="M826" i="11" s="1"/>
  <c r="L857" i="11"/>
  <c r="M857" i="11" s="1"/>
  <c r="I857" i="11"/>
  <c r="I862" i="11"/>
  <c r="L862" i="11"/>
  <c r="M862" i="11" s="1"/>
  <c r="L873" i="11"/>
  <c r="M873" i="11" s="1"/>
  <c r="I873" i="11"/>
  <c r="L877" i="11"/>
  <c r="M877" i="11" s="1"/>
  <c r="I877" i="11"/>
  <c r="I907" i="11"/>
  <c r="L907" i="11"/>
  <c r="M907" i="11" s="1"/>
  <c r="I922" i="11"/>
  <c r="L922" i="11"/>
  <c r="M922" i="11" s="1"/>
  <c r="L930" i="11"/>
  <c r="M930" i="11" s="1"/>
  <c r="I930" i="11"/>
  <c r="I947" i="11"/>
  <c r="L947" i="11"/>
  <c r="M947" i="11" s="1"/>
  <c r="L957" i="11"/>
  <c r="M957" i="11" s="1"/>
  <c r="I957" i="11"/>
  <c r="I991" i="11"/>
  <c r="L991" i="11"/>
  <c r="M991" i="11" s="1"/>
  <c r="I1007" i="11"/>
  <c r="L1007" i="11"/>
  <c r="M1007" i="11" s="1"/>
  <c r="L1016" i="11"/>
  <c r="M1016" i="11" s="1"/>
  <c r="I1016" i="11"/>
  <c r="L1020" i="11"/>
  <c r="M1020" i="11" s="1"/>
  <c r="I1020" i="11"/>
  <c r="L1052" i="11"/>
  <c r="I1052" i="11"/>
  <c r="I1076" i="11"/>
  <c r="L1076" i="11"/>
  <c r="M1076" i="11" s="1"/>
  <c r="I1168" i="11"/>
  <c r="L1168" i="11"/>
  <c r="M1168" i="11" s="1"/>
  <c r="L1177" i="11"/>
  <c r="M1177" i="11" s="1"/>
  <c r="I1177" i="11"/>
  <c r="N76" i="11"/>
  <c r="N20" i="11"/>
  <c r="M46" i="11"/>
  <c r="I71" i="11"/>
  <c r="L71" i="11"/>
  <c r="M71" i="11" s="1"/>
  <c r="N84" i="11"/>
  <c r="L86" i="11"/>
  <c r="M86" i="11" s="1"/>
  <c r="I86" i="11"/>
  <c r="N94" i="11"/>
  <c r="M118" i="11"/>
  <c r="I137" i="11"/>
  <c r="L137" i="11"/>
  <c r="M137" i="11" s="1"/>
  <c r="N151" i="11"/>
  <c r="L153" i="11"/>
  <c r="M153" i="11" s="1"/>
  <c r="I153" i="11"/>
  <c r="N158" i="11"/>
  <c r="M186" i="11"/>
  <c r="I208" i="11"/>
  <c r="L208" i="11"/>
  <c r="N227" i="11"/>
  <c r="L247" i="11"/>
  <c r="M247" i="11" s="1"/>
  <c r="I247" i="11"/>
  <c r="I256" i="11"/>
  <c r="L256" i="11"/>
  <c r="M256" i="11" s="1"/>
  <c r="I273" i="11"/>
  <c r="L273" i="11"/>
  <c r="M273" i="11" s="1"/>
  <c r="I336" i="11"/>
  <c r="L336" i="11"/>
  <c r="M336" i="11" s="1"/>
  <c r="L370" i="11"/>
  <c r="M370" i="11" s="1"/>
  <c r="I370" i="11"/>
  <c r="I379" i="11"/>
  <c r="L379" i="11"/>
  <c r="M379" i="11" s="1"/>
  <c r="I402" i="11"/>
  <c r="L402" i="11"/>
  <c r="M402" i="11" s="1"/>
  <c r="I438" i="11"/>
  <c r="L438" i="11"/>
  <c r="M438" i="11" s="1"/>
  <c r="L451" i="11"/>
  <c r="M451" i="11" s="1"/>
  <c r="I451" i="11"/>
  <c r="I502" i="11"/>
  <c r="L502" i="11"/>
  <c r="M502" i="11" s="1"/>
  <c r="L517" i="11"/>
  <c r="M517" i="11" s="1"/>
  <c r="I517" i="11"/>
  <c r="I568" i="11"/>
  <c r="L568" i="11"/>
  <c r="M568" i="11" s="1"/>
  <c r="L583" i="11"/>
  <c r="M583" i="11" s="1"/>
  <c r="I583" i="11"/>
  <c r="L637" i="11"/>
  <c r="M637" i="11" s="1"/>
  <c r="I637" i="11"/>
  <c r="I688" i="11"/>
  <c r="L688" i="11"/>
  <c r="M688" i="11" s="1"/>
  <c r="L704" i="11"/>
  <c r="M704" i="11" s="1"/>
  <c r="I704" i="11"/>
  <c r="L716" i="11"/>
  <c r="M716" i="11" s="1"/>
  <c r="I716" i="11"/>
  <c r="I721" i="11"/>
  <c r="L721" i="11"/>
  <c r="M721" i="11" s="1"/>
  <c r="L766" i="11"/>
  <c r="M766" i="11" s="1"/>
  <c r="I766" i="11"/>
  <c r="I778" i="11"/>
  <c r="L778" i="11"/>
  <c r="M778" i="11" s="1"/>
  <c r="L789" i="11"/>
  <c r="I789" i="11"/>
  <c r="L820" i="11"/>
  <c r="M820" i="11" s="1"/>
  <c r="I820" i="11"/>
  <c r="L824" i="11"/>
  <c r="M824" i="11" s="1"/>
  <c r="I824" i="11"/>
  <c r="N846" i="11"/>
  <c r="L865" i="11"/>
  <c r="M865" i="11" s="1"/>
  <c r="I865" i="11"/>
  <c r="N934" i="11"/>
  <c r="I939" i="11"/>
  <c r="L939" i="11"/>
  <c r="M939" i="11" s="1"/>
  <c r="L950" i="11"/>
  <c r="I950" i="11"/>
  <c r="I955" i="11"/>
  <c r="L955" i="11"/>
  <c r="M955" i="11" s="1"/>
  <c r="I1015" i="11"/>
  <c r="L1015" i="11"/>
  <c r="M1015" i="11" s="1"/>
  <c r="I1019" i="11"/>
  <c r="L1019" i="11"/>
  <c r="M1019" i="11" s="1"/>
  <c r="I1051" i="11"/>
  <c r="L1051" i="11"/>
  <c r="M1051" i="11" s="1"/>
  <c r="L1065" i="11"/>
  <c r="M1065" i="11" s="1"/>
  <c r="I1065" i="11"/>
  <c r="L1075" i="11"/>
  <c r="M1075" i="11" s="1"/>
  <c r="I1075" i="11"/>
  <c r="L1093" i="11"/>
  <c r="I1093" i="11"/>
  <c r="I1098" i="11"/>
  <c r="L1098" i="11"/>
  <c r="M1098" i="11" s="1"/>
  <c r="M1118" i="11"/>
  <c r="N830" i="11"/>
  <c r="L832" i="11"/>
  <c r="M832" i="11" s="1"/>
  <c r="I832" i="11"/>
  <c r="L844" i="11"/>
  <c r="M844" i="11" s="1"/>
  <c r="I844" i="11"/>
  <c r="I876" i="11"/>
  <c r="L876" i="11"/>
  <c r="M876" i="11" s="1"/>
  <c r="N918" i="11"/>
  <c r="L920" i="11"/>
  <c r="M920" i="11" s="1"/>
  <c r="I920" i="11"/>
  <c r="N959" i="11"/>
  <c r="L961" i="11"/>
  <c r="M961" i="11" s="1"/>
  <c r="I961" i="11"/>
  <c r="L973" i="11"/>
  <c r="M973" i="11" s="1"/>
  <c r="I973" i="11"/>
  <c r="I990" i="11"/>
  <c r="L990" i="11"/>
  <c r="M990" i="11" s="1"/>
  <c r="L1006" i="11"/>
  <c r="M1006" i="11" s="1"/>
  <c r="I1006" i="11"/>
  <c r="I1066" i="11"/>
  <c r="L1066" i="11"/>
  <c r="M1066" i="11" s="1"/>
  <c r="L1156" i="11"/>
  <c r="M1156" i="11" s="1"/>
  <c r="I1156" i="11"/>
  <c r="I1163" i="11"/>
  <c r="L1163" i="11"/>
  <c r="I1176" i="11"/>
  <c r="L1176" i="11"/>
  <c r="M1176" i="11" s="1"/>
  <c r="I1232" i="11"/>
  <c r="L1232" i="11"/>
  <c r="M1232" i="11" s="1"/>
  <c r="L1265" i="11"/>
  <c r="M1265" i="11" s="1"/>
  <c r="I1265" i="11"/>
  <c r="L1275" i="11"/>
  <c r="I1275" i="11"/>
  <c r="L708" i="11"/>
  <c r="M708" i="11" s="1"/>
  <c r="I708" i="11"/>
  <c r="I757" i="11"/>
  <c r="L757" i="11"/>
  <c r="M757" i="11" s="1"/>
  <c r="L794" i="11"/>
  <c r="M794" i="11" s="1"/>
  <c r="I795" i="11"/>
  <c r="N798" i="11"/>
  <c r="L800" i="11"/>
  <c r="M800" i="11" s="1"/>
  <c r="I800" i="11"/>
  <c r="L812" i="11"/>
  <c r="M812" i="11" s="1"/>
  <c r="I812" i="11"/>
  <c r="L829" i="11"/>
  <c r="M829" i="11" s="1"/>
  <c r="I830" i="11"/>
  <c r="I840" i="11"/>
  <c r="I843" i="11"/>
  <c r="L843" i="11"/>
  <c r="M843" i="11" s="1"/>
  <c r="M871" i="11"/>
  <c r="I881" i="11"/>
  <c r="N887" i="11"/>
  <c r="L889" i="11"/>
  <c r="M889" i="11" s="1"/>
  <c r="I889" i="11"/>
  <c r="L891" i="11"/>
  <c r="M891" i="11" s="1"/>
  <c r="L915" i="11"/>
  <c r="M915" i="11" s="1"/>
  <c r="I916" i="11"/>
  <c r="L917" i="11"/>
  <c r="M917" i="11" s="1"/>
  <c r="I918" i="11"/>
  <c r="L923" i="11"/>
  <c r="M923" i="11" s="1"/>
  <c r="I924" i="11"/>
  <c r="N926" i="11"/>
  <c r="L928" i="11"/>
  <c r="M928" i="11" s="1"/>
  <c r="I928" i="11"/>
  <c r="L940" i="11"/>
  <c r="M940" i="11" s="1"/>
  <c r="I940" i="11"/>
  <c r="L958" i="11"/>
  <c r="M958" i="11" s="1"/>
  <c r="I959" i="11"/>
  <c r="I969" i="11"/>
  <c r="I972" i="11"/>
  <c r="L972" i="11"/>
  <c r="M972" i="11" s="1"/>
  <c r="L989" i="11"/>
  <c r="M989" i="11" s="1"/>
  <c r="I989" i="11"/>
  <c r="I997" i="11"/>
  <c r="L999" i="11"/>
  <c r="M999" i="11" s="1"/>
  <c r="I1002" i="11"/>
  <c r="L1003" i="11"/>
  <c r="M1003" i="11" s="1"/>
  <c r="I1004" i="11"/>
  <c r="I1039" i="11"/>
  <c r="L1039" i="11"/>
  <c r="M1039" i="11" s="1"/>
  <c r="L1040" i="11"/>
  <c r="M1040" i="11" s="1"/>
  <c r="L1060" i="11"/>
  <c r="M1060" i="11" s="1"/>
  <c r="I1063" i="11"/>
  <c r="I1100" i="11"/>
  <c r="L1100" i="11"/>
  <c r="M1100" i="11" s="1"/>
  <c r="L1101" i="11"/>
  <c r="L1114" i="11"/>
  <c r="M1114" i="11" s="1"/>
  <c r="I1122" i="11"/>
  <c r="L1132" i="11"/>
  <c r="M1132" i="11" s="1"/>
  <c r="I1132" i="11"/>
  <c r="L1139" i="11"/>
  <c r="M1139" i="11" s="1"/>
  <c r="I1140" i="11"/>
  <c r="I1146" i="11"/>
  <c r="L1150" i="11"/>
  <c r="I1155" i="11"/>
  <c r="L1155" i="11"/>
  <c r="M1155" i="11" s="1"/>
  <c r="M1175" i="11"/>
  <c r="L1181" i="11"/>
  <c r="M1181" i="11" s="1"/>
  <c r="I1181" i="11"/>
  <c r="L1193" i="11"/>
  <c r="M1193" i="11" s="1"/>
  <c r="I1193" i="11"/>
  <c r="L1231" i="11"/>
  <c r="M1231" i="11" s="1"/>
  <c r="I1231" i="11"/>
  <c r="L1245" i="11"/>
  <c r="M1245" i="11" s="1"/>
  <c r="I1245" i="11"/>
  <c r="L1249" i="11"/>
  <c r="M1249" i="11" s="1"/>
  <c r="I1249" i="11"/>
  <c r="L1259" i="11"/>
  <c r="I1259" i="11"/>
  <c r="I1264" i="11"/>
  <c r="L1264" i="11"/>
  <c r="M1264" i="11" s="1"/>
  <c r="L1269" i="11"/>
  <c r="M1269" i="11" s="1"/>
  <c r="I1269" i="11"/>
  <c r="N975" i="11"/>
  <c r="I1023" i="11"/>
  <c r="L1023" i="11"/>
  <c r="M1023" i="11" s="1"/>
  <c r="L1038" i="11"/>
  <c r="M1038" i="11" s="1"/>
  <c r="I1038" i="11"/>
  <c r="I1068" i="11"/>
  <c r="L1068" i="11"/>
  <c r="M1068" i="11" s="1"/>
  <c r="L1099" i="11"/>
  <c r="M1099" i="11" s="1"/>
  <c r="I1099" i="11"/>
  <c r="I1108" i="11"/>
  <c r="L1108" i="11"/>
  <c r="M1108" i="11" s="1"/>
  <c r="M1130" i="11"/>
  <c r="I1131" i="11"/>
  <c r="L1131" i="11"/>
  <c r="M1131" i="11" s="1"/>
  <c r="M1146" i="11"/>
  <c r="M1158" i="11"/>
  <c r="I1159" i="11"/>
  <c r="L1159" i="11"/>
  <c r="M1159" i="11" s="1"/>
  <c r="I1187" i="11"/>
  <c r="L1187" i="11"/>
  <c r="I1192" i="11"/>
  <c r="L1192" i="11"/>
  <c r="M1192" i="11" s="1"/>
  <c r="M1207" i="11"/>
  <c r="I1244" i="11"/>
  <c r="L1244" i="11"/>
  <c r="M1244" i="11" s="1"/>
  <c r="L1253" i="11"/>
  <c r="M1253" i="11" s="1"/>
  <c r="I1253" i="11"/>
  <c r="I1268" i="11"/>
  <c r="L1268" i="11"/>
  <c r="M1268" i="11" s="1"/>
  <c r="L1161" i="11"/>
  <c r="M1161" i="11" s="1"/>
  <c r="I1161" i="11"/>
  <c r="L1169" i="11"/>
  <c r="M1169" i="11" s="1"/>
  <c r="I1169" i="11"/>
  <c r="I1180" i="11"/>
  <c r="L1180" i="11"/>
  <c r="M1180" i="11" s="1"/>
  <c r="I1201" i="11"/>
  <c r="N1203" i="11"/>
  <c r="I1208" i="11"/>
  <c r="L1208" i="11"/>
  <c r="M1208" i="11" s="1"/>
  <c r="L1212" i="11"/>
  <c r="M1212" i="11" s="1"/>
  <c r="I1214" i="11"/>
  <c r="N1216" i="11"/>
  <c r="I1221" i="11"/>
  <c r="L1221" i="11"/>
  <c r="M1221" i="11" s="1"/>
  <c r="L1224" i="11"/>
  <c r="L1228" i="11"/>
  <c r="M1228" i="11" s="1"/>
  <c r="N1171" i="11"/>
  <c r="N1195" i="11"/>
  <c r="N1225" i="11"/>
  <c r="L1237" i="11"/>
  <c r="M1237" i="11" s="1"/>
  <c r="I1237" i="11"/>
  <c r="I1248" i="11"/>
  <c r="L1248" i="11"/>
  <c r="M1248" i="11" s="1"/>
  <c r="I1260" i="11"/>
  <c r="L1260" i="11"/>
  <c r="M1260" i="11" s="1"/>
  <c r="I1276" i="11"/>
  <c r="L1276" i="11"/>
  <c r="M1276" i="11" s="1"/>
  <c r="I1284" i="11"/>
  <c r="L1284" i="11"/>
  <c r="M1284" i="11" s="1"/>
  <c r="L1209" i="11"/>
  <c r="M1209" i="11" s="1"/>
  <c r="I1209" i="11"/>
  <c r="L1222" i="11"/>
  <c r="M1222" i="11" s="1"/>
  <c r="I1222" i="11"/>
  <c r="I1236" i="11"/>
  <c r="L1236" i="11"/>
  <c r="M1236" i="11" s="1"/>
  <c r="M1283" i="11"/>
  <c r="I1287" i="11"/>
  <c r="L1291" i="11"/>
  <c r="L1277" i="11"/>
  <c r="M1277" i="11" s="1"/>
  <c r="I1277" i="11"/>
  <c r="L1285" i="11"/>
  <c r="M1285" i="11" s="1"/>
  <c r="I1285" i="11"/>
  <c r="M1287" i="11"/>
  <c r="M21" i="11"/>
  <c r="M39" i="11"/>
  <c r="M102" i="11"/>
  <c r="M149" i="11"/>
  <c r="M159" i="11"/>
  <c r="M16" i="11"/>
  <c r="M22" i="11"/>
  <c r="M35" i="11"/>
  <c r="M40" i="11"/>
  <c r="M53" i="11"/>
  <c r="M73" i="11"/>
  <c r="M78" i="11"/>
  <c r="M90" i="11"/>
  <c r="M97" i="11"/>
  <c r="M109" i="11"/>
  <c r="M123" i="11"/>
  <c r="M128" i="11"/>
  <c r="M140" i="11"/>
  <c r="M146" i="11"/>
  <c r="M156" i="11"/>
  <c r="M160" i="11"/>
  <c r="M174" i="11"/>
  <c r="M179" i="11"/>
  <c r="M192" i="11"/>
  <c r="M198" i="11"/>
  <c r="M210" i="11"/>
  <c r="M8" i="11"/>
  <c r="M77" i="11"/>
  <c r="M95" i="11"/>
  <c r="M127" i="11"/>
  <c r="M165" i="11"/>
  <c r="M7" i="11"/>
  <c r="M26" i="11"/>
  <c r="M43" i="11"/>
  <c r="M63" i="11"/>
  <c r="M81" i="11"/>
  <c r="M101" i="11"/>
  <c r="M131" i="11"/>
  <c r="M164" i="11"/>
  <c r="M182" i="11"/>
  <c r="M201" i="11"/>
  <c r="M27" i="11"/>
  <c r="M44" i="11"/>
  <c r="M58" i="11"/>
  <c r="M82" i="11"/>
  <c r="M132" i="11"/>
  <c r="M144" i="11"/>
  <c r="M178" i="11"/>
  <c r="M183" i="11"/>
  <c r="M196" i="11"/>
  <c r="M202" i="11"/>
  <c r="M12" i="11"/>
  <c r="M18" i="11"/>
  <c r="M30" i="11"/>
  <c r="M36" i="11"/>
  <c r="M48" i="11"/>
  <c r="M54" i="11"/>
  <c r="M68" i="11"/>
  <c r="M74" i="11"/>
  <c r="M85" i="11"/>
  <c r="M92" i="11"/>
  <c r="M105" i="11"/>
  <c r="M110" i="11"/>
  <c r="M119" i="11"/>
  <c r="M124" i="11"/>
  <c r="M135" i="11"/>
  <c r="M141" i="11"/>
  <c r="M152" i="11"/>
  <c r="M168" i="11"/>
  <c r="M175" i="11"/>
  <c r="M187" i="11"/>
  <c r="M206" i="11"/>
  <c r="M211" i="11"/>
  <c r="M216" i="11"/>
  <c r="M224" i="11"/>
  <c r="M228" i="11"/>
  <c r="M233" i="11"/>
  <c r="M592" i="11"/>
  <c r="I7" i="11"/>
  <c r="I12" i="11"/>
  <c r="I16" i="11"/>
  <c r="I21" i="11"/>
  <c r="I26" i="11"/>
  <c r="I30" i="11"/>
  <c r="I35" i="11"/>
  <c r="I39" i="11"/>
  <c r="I43" i="11"/>
  <c r="I48" i="11"/>
  <c r="M50" i="11"/>
  <c r="I53" i="11"/>
  <c r="I58" i="11"/>
  <c r="I63" i="11"/>
  <c r="I68" i="11"/>
  <c r="I73" i="11"/>
  <c r="I77" i="11"/>
  <c r="I81" i="11"/>
  <c r="I85" i="11"/>
  <c r="I90" i="11"/>
  <c r="I95" i="11"/>
  <c r="I101" i="11"/>
  <c r="I105" i="11"/>
  <c r="I109" i="11"/>
  <c r="M112" i="11"/>
  <c r="I119" i="11"/>
  <c r="I123" i="11"/>
  <c r="I127" i="11"/>
  <c r="I131" i="11"/>
  <c r="I135" i="11"/>
  <c r="I140" i="11"/>
  <c r="M142" i="11"/>
  <c r="I144" i="11"/>
  <c r="I152" i="11"/>
  <c r="I156" i="11"/>
  <c r="I159" i="11"/>
  <c r="I164" i="11"/>
  <c r="I168" i="11"/>
  <c r="I174" i="11"/>
  <c r="I178" i="11"/>
  <c r="I182" i="11"/>
  <c r="I187" i="11"/>
  <c r="I192" i="11"/>
  <c r="I196" i="11"/>
  <c r="I201" i="11"/>
  <c r="I206" i="11"/>
  <c r="M208" i="11"/>
  <c r="I210" i="11"/>
  <c r="N236" i="11"/>
  <c r="N238" i="11"/>
  <c r="L244" i="11"/>
  <c r="L250" i="11"/>
  <c r="N251" i="11"/>
  <c r="N253" i="11"/>
  <c r="L260" i="11"/>
  <c r="L266" i="11"/>
  <c r="N267" i="11"/>
  <c r="N269" i="11"/>
  <c r="L276" i="11"/>
  <c r="L286" i="11"/>
  <c r="L290" i="11"/>
  <c r="N291" i="11"/>
  <c r="N293" i="11"/>
  <c r="L300" i="11"/>
  <c r="L306" i="11"/>
  <c r="L316" i="11"/>
  <c r="L322" i="11"/>
  <c r="N323" i="11"/>
  <c r="L332" i="11"/>
  <c r="L338" i="11"/>
  <c r="N339" i="11"/>
  <c r="N341" i="11"/>
  <c r="L349" i="11"/>
  <c r="L356" i="11"/>
  <c r="N357" i="11"/>
  <c r="N359" i="11"/>
  <c r="L366" i="11"/>
  <c r="L373" i="11"/>
  <c r="N374" i="11"/>
  <c r="N376" i="11"/>
  <c r="L383" i="11"/>
  <c r="L389" i="11"/>
  <c r="N392" i="11"/>
  <c r="N395" i="11"/>
  <c r="L400" i="11"/>
  <c r="N403" i="11"/>
  <c r="N405" i="11"/>
  <c r="L412" i="11"/>
  <c r="N423" i="11"/>
  <c r="L424" i="11"/>
  <c r="I424" i="11"/>
  <c r="M425" i="11"/>
  <c r="N431" i="11"/>
  <c r="L432" i="11"/>
  <c r="I432" i="11"/>
  <c r="M433" i="11"/>
  <c r="L440" i="11"/>
  <c r="I440" i="11"/>
  <c r="M441" i="11"/>
  <c r="N445" i="11"/>
  <c r="L446" i="11"/>
  <c r="I446" i="11"/>
  <c r="M447" i="11"/>
  <c r="L454" i="11"/>
  <c r="I454" i="11"/>
  <c r="M455" i="11"/>
  <c r="L462" i="11"/>
  <c r="I462" i="11"/>
  <c r="L470" i="11"/>
  <c r="I470" i="11"/>
  <c r="N477" i="11"/>
  <c r="L478" i="11"/>
  <c r="I478" i="11"/>
  <c r="M479" i="11"/>
  <c r="L487" i="11"/>
  <c r="I487" i="11"/>
  <c r="M488" i="11"/>
  <c r="N494" i="11"/>
  <c r="L495" i="11"/>
  <c r="I495" i="11"/>
  <c r="M496" i="11"/>
  <c r="L504" i="11"/>
  <c r="I504" i="11"/>
  <c r="L512" i="11"/>
  <c r="I512" i="11"/>
  <c r="M513" i="11"/>
  <c r="L520" i="11"/>
  <c r="I520" i="11"/>
  <c r="L528" i="11"/>
  <c r="I528" i="11"/>
  <c r="M529" i="11"/>
  <c r="L537" i="11"/>
  <c r="I537" i="11"/>
  <c r="M538" i="11"/>
  <c r="N544" i="11"/>
  <c r="L545" i="11"/>
  <c r="I545" i="11"/>
  <c r="M546" i="11"/>
  <c r="L553" i="11"/>
  <c r="I553" i="11"/>
  <c r="M554" i="11"/>
  <c r="N561" i="11"/>
  <c r="L562" i="11"/>
  <c r="I562" i="11"/>
  <c r="M563" i="11"/>
  <c r="N569" i="11"/>
  <c r="L570" i="11"/>
  <c r="I570" i="11"/>
  <c r="M571" i="11"/>
  <c r="N577" i="11"/>
  <c r="L578" i="11"/>
  <c r="I578" i="11"/>
  <c r="M579" i="11"/>
  <c r="L586" i="11"/>
  <c r="I586" i="11"/>
  <c r="M587" i="11"/>
  <c r="N593" i="11"/>
  <c r="L594" i="11"/>
  <c r="I594" i="11"/>
  <c r="M595" i="11"/>
  <c r="I606" i="11"/>
  <c r="L606" i="11"/>
  <c r="I622" i="11"/>
  <c r="L622" i="11"/>
  <c r="N255" i="11"/>
  <c r="M263" i="11"/>
  <c r="M287" i="11"/>
  <c r="N295" i="11"/>
  <c r="N311" i="11"/>
  <c r="M319" i="11"/>
  <c r="N327" i="11"/>
  <c r="N343" i="11"/>
  <c r="M352" i="11"/>
  <c r="N361" i="11"/>
  <c r="M386" i="11"/>
  <c r="N394" i="11"/>
  <c r="N407" i="11"/>
  <c r="M415" i="11"/>
  <c r="M514" i="11"/>
  <c r="M547" i="11"/>
  <c r="M588" i="11"/>
  <c r="M597" i="11"/>
  <c r="I602" i="11"/>
  <c r="L602" i="11"/>
  <c r="I616" i="11"/>
  <c r="L616" i="11"/>
  <c r="I630" i="11"/>
  <c r="L630" i="11"/>
  <c r="M651" i="11"/>
  <c r="M868" i="11"/>
  <c r="N217" i="11"/>
  <c r="N225" i="11"/>
  <c r="N234" i="11"/>
  <c r="L237" i="11"/>
  <c r="N243" i="11"/>
  <c r="N245" i="11"/>
  <c r="L252" i="11"/>
  <c r="L258" i="11"/>
  <c r="N264" i="11"/>
  <c r="L268" i="11"/>
  <c r="L271" i="11"/>
  <c r="N272" i="11"/>
  <c r="L278" i="11"/>
  <c r="L284" i="11"/>
  <c r="N285" i="11"/>
  <c r="L292" i="11"/>
  <c r="L298" i="11"/>
  <c r="N299" i="11"/>
  <c r="N301" i="11"/>
  <c r="L308" i="11"/>
  <c r="L314" i="11"/>
  <c r="L324" i="11"/>
  <c r="N326" i="11"/>
  <c r="L330" i="11"/>
  <c r="N331" i="11"/>
  <c r="N333" i="11"/>
  <c r="L340" i="11"/>
  <c r="L346" i="11"/>
  <c r="N347" i="11"/>
  <c r="N350" i="11"/>
  <c r="N353" i="11"/>
  <c r="L358" i="11"/>
  <c r="N360" i="11"/>
  <c r="L364" i="11"/>
  <c r="N365" i="11"/>
  <c r="N367" i="11"/>
  <c r="L375" i="11"/>
  <c r="L381" i="11"/>
  <c r="N382" i="11"/>
  <c r="L391" i="11"/>
  <c r="N393" i="11"/>
  <c r="L397" i="11"/>
  <c r="N401" i="11"/>
  <c r="L404" i="11"/>
  <c r="L410" i="11"/>
  <c r="N411" i="11"/>
  <c r="N413" i="11"/>
  <c r="N419" i="11"/>
  <c r="L420" i="11"/>
  <c r="I420" i="11"/>
  <c r="M421" i="11"/>
  <c r="N427" i="11"/>
  <c r="L428" i="11"/>
  <c r="I428" i="11"/>
  <c r="M429" i="11"/>
  <c r="N435" i="11"/>
  <c r="L436" i="11"/>
  <c r="I436" i="11"/>
  <c r="N443" i="11"/>
  <c r="N449" i="11"/>
  <c r="L450" i="11"/>
  <c r="I450" i="11"/>
  <c r="N457" i="11"/>
  <c r="L458" i="11"/>
  <c r="I458" i="11"/>
  <c r="M459" i="11"/>
  <c r="L466" i="11"/>
  <c r="I466" i="11"/>
  <c r="L474" i="11"/>
  <c r="I474" i="11"/>
  <c r="M475" i="11"/>
  <c r="N482" i="11"/>
  <c r="L483" i="11"/>
  <c r="I483" i="11"/>
  <c r="L491" i="11"/>
  <c r="I491" i="11"/>
  <c r="M492" i="11"/>
  <c r="N498" i="11"/>
  <c r="L499" i="11"/>
  <c r="I499" i="11"/>
  <c r="L508" i="11"/>
  <c r="I508" i="11"/>
  <c r="L516" i="11"/>
  <c r="I516" i="11"/>
  <c r="N523" i="11"/>
  <c r="L524" i="11"/>
  <c r="I524" i="11"/>
  <c r="M525" i="11"/>
  <c r="N531" i="11"/>
  <c r="L533" i="11"/>
  <c r="I533" i="11"/>
  <c r="L541" i="11"/>
  <c r="I541" i="11"/>
  <c r="M542" i="11"/>
  <c r="N548" i="11"/>
  <c r="L549" i="11"/>
  <c r="I549" i="11"/>
  <c r="N556" i="11"/>
  <c r="L557" i="11"/>
  <c r="I557" i="11"/>
  <c r="M558" i="11"/>
  <c r="N565" i="11"/>
  <c r="L566" i="11"/>
  <c r="I566" i="11"/>
  <c r="N573" i="11"/>
  <c r="L574" i="11"/>
  <c r="I574" i="11"/>
  <c r="M575" i="11"/>
  <c r="N581" i="11"/>
  <c r="L582" i="11"/>
  <c r="I582" i="11"/>
  <c r="N589" i="11"/>
  <c r="L590" i="11"/>
  <c r="I590" i="11"/>
  <c r="M591" i="11"/>
  <c r="N598" i="11"/>
  <c r="N607" i="11"/>
  <c r="N609" i="11"/>
  <c r="L636" i="11"/>
  <c r="I636" i="11"/>
  <c r="L644" i="11"/>
  <c r="I644" i="11"/>
  <c r="L653" i="11"/>
  <c r="I653" i="11"/>
  <c r="L661" i="11"/>
  <c r="I661" i="11"/>
  <c r="M662" i="11"/>
  <c r="N668" i="11"/>
  <c r="L669" i="11"/>
  <c r="I669" i="11"/>
  <c r="N677" i="11"/>
  <c r="L678" i="11"/>
  <c r="I678" i="11"/>
  <c r="M679" i="11"/>
  <c r="N685" i="11"/>
  <c r="L686" i="11"/>
  <c r="I686" i="11"/>
  <c r="L694" i="11"/>
  <c r="I694" i="11"/>
  <c r="M695" i="11"/>
  <c r="L703" i="11"/>
  <c r="I703" i="11"/>
  <c r="L711" i="11"/>
  <c r="I711" i="11"/>
  <c r="M712" i="11"/>
  <c r="L719" i="11"/>
  <c r="I719" i="11"/>
  <c r="N726" i="11"/>
  <c r="L727" i="11"/>
  <c r="I727" i="11"/>
  <c r="N734" i="11"/>
  <c r="L735" i="11"/>
  <c r="I735" i="11"/>
  <c r="M736" i="11"/>
  <c r="L743" i="11"/>
  <c r="I743" i="11"/>
  <c r="M744" i="11"/>
  <c r="N750" i="11"/>
  <c r="L751" i="11"/>
  <c r="I751" i="11"/>
  <c r="M752" i="11"/>
  <c r="L759" i="11"/>
  <c r="I759" i="11"/>
  <c r="M760" i="11"/>
  <c r="L762" i="11"/>
  <c r="I762" i="11"/>
  <c r="I773" i="11"/>
  <c r="L773" i="11"/>
  <c r="I790" i="11"/>
  <c r="L790" i="11"/>
  <c r="M796" i="11"/>
  <c r="I807" i="11"/>
  <c r="L807" i="11"/>
  <c r="I823" i="11"/>
  <c r="L823" i="11"/>
  <c r="I839" i="11"/>
  <c r="L839" i="11"/>
  <c r="M845" i="11"/>
  <c r="I856" i="11"/>
  <c r="L856" i="11"/>
  <c r="I872" i="11"/>
  <c r="L872" i="11"/>
  <c r="I888" i="11"/>
  <c r="L888" i="11"/>
  <c r="I903" i="11"/>
  <c r="L903" i="11"/>
  <c r="M909" i="11"/>
  <c r="I919" i="11"/>
  <c r="L919" i="11"/>
  <c r="I935" i="11"/>
  <c r="L935" i="11"/>
  <c r="I951" i="11"/>
  <c r="L951" i="11"/>
  <c r="I968" i="11"/>
  <c r="L968" i="11"/>
  <c r="L1174" i="11"/>
  <c r="I1174" i="11"/>
  <c r="N611" i="11"/>
  <c r="M705" i="11"/>
  <c r="M729" i="11"/>
  <c r="I767" i="11"/>
  <c r="L767" i="11"/>
  <c r="I784" i="11"/>
  <c r="L784" i="11"/>
  <c r="I801" i="11"/>
  <c r="L801" i="11"/>
  <c r="I817" i="11"/>
  <c r="L817" i="11"/>
  <c r="I833" i="11"/>
  <c r="L833" i="11"/>
  <c r="I850" i="11"/>
  <c r="L850" i="11"/>
  <c r="I866" i="11"/>
  <c r="L866" i="11"/>
  <c r="I882" i="11"/>
  <c r="L882" i="11"/>
  <c r="I899" i="11"/>
  <c r="L899" i="11"/>
  <c r="I913" i="11"/>
  <c r="L913" i="11"/>
  <c r="I929" i="11"/>
  <c r="L929" i="11"/>
  <c r="I945" i="11"/>
  <c r="L945" i="11"/>
  <c r="I962" i="11"/>
  <c r="L962" i="11"/>
  <c r="I978" i="11"/>
  <c r="L978" i="11"/>
  <c r="L600" i="11"/>
  <c r="N601" i="11"/>
  <c r="N603" i="11"/>
  <c r="L608" i="11"/>
  <c r="L614" i="11"/>
  <c r="N615" i="11"/>
  <c r="L628" i="11"/>
  <c r="N629" i="11"/>
  <c r="L632" i="11"/>
  <c r="I632" i="11"/>
  <c r="L640" i="11"/>
  <c r="I640" i="11"/>
  <c r="M641" i="11"/>
  <c r="N648" i="11"/>
  <c r="L649" i="11"/>
  <c r="I649" i="11"/>
  <c r="L657" i="11"/>
  <c r="I657" i="11"/>
  <c r="M658" i="11"/>
  <c r="N664" i="11"/>
  <c r="L665" i="11"/>
  <c r="I665" i="11"/>
  <c r="M666" i="11"/>
  <c r="N673" i="11"/>
  <c r="L674" i="11"/>
  <c r="I674" i="11"/>
  <c r="M675" i="11"/>
  <c r="N681" i="11"/>
  <c r="L682" i="11"/>
  <c r="I682" i="11"/>
  <c r="M683" i="11"/>
  <c r="L690" i="11"/>
  <c r="I690" i="11"/>
  <c r="M691" i="11"/>
  <c r="N697" i="11"/>
  <c r="L698" i="11"/>
  <c r="I698" i="11"/>
  <c r="L707" i="11"/>
  <c r="I707" i="11"/>
  <c r="L715" i="11"/>
  <c r="I715" i="11"/>
  <c r="L723" i="11"/>
  <c r="I723" i="11"/>
  <c r="L731" i="11"/>
  <c r="I731" i="11"/>
  <c r="M732" i="11"/>
  <c r="N738" i="11"/>
  <c r="L739" i="11"/>
  <c r="I739" i="11"/>
  <c r="N746" i="11"/>
  <c r="L747" i="11"/>
  <c r="I747" i="11"/>
  <c r="M748" i="11"/>
  <c r="N754" i="11"/>
  <c r="L755" i="11"/>
  <c r="I755" i="11"/>
  <c r="M756" i="11"/>
  <c r="M869" i="11"/>
  <c r="M885" i="11"/>
  <c r="M900" i="11"/>
  <c r="M916" i="11"/>
  <c r="M932" i="11"/>
  <c r="M965" i="11"/>
  <c r="L1206" i="11"/>
  <c r="I1206" i="11"/>
  <c r="N774" i="11"/>
  <c r="N776" i="11"/>
  <c r="N808" i="11"/>
  <c r="N840" i="11"/>
  <c r="N873" i="11"/>
  <c r="N904" i="11"/>
  <c r="N936" i="11"/>
  <c r="N938" i="11"/>
  <c r="N969" i="11"/>
  <c r="N983" i="11"/>
  <c r="L984" i="11"/>
  <c r="I984" i="11"/>
  <c r="L992" i="11"/>
  <c r="I992" i="11"/>
  <c r="L1001" i="11"/>
  <c r="I1001" i="11"/>
  <c r="M1002" i="11"/>
  <c r="L1009" i="11"/>
  <c r="I1009" i="11"/>
  <c r="L1017" i="11"/>
  <c r="I1017" i="11"/>
  <c r="L1025" i="11"/>
  <c r="I1025" i="11"/>
  <c r="M1026" i="11"/>
  <c r="N1032" i="11"/>
  <c r="L1033" i="11"/>
  <c r="I1033" i="11"/>
  <c r="M1034" i="11"/>
  <c r="L1041" i="11"/>
  <c r="I1041" i="11"/>
  <c r="I1053" i="11"/>
  <c r="L1053" i="11"/>
  <c r="I1070" i="11"/>
  <c r="L1070" i="11"/>
  <c r="I1086" i="11"/>
  <c r="L1086" i="11"/>
  <c r="I1102" i="11"/>
  <c r="L1102" i="11"/>
  <c r="I1119" i="11"/>
  <c r="L1119" i="11"/>
  <c r="L1157" i="11"/>
  <c r="I1157" i="11"/>
  <c r="M1218" i="11"/>
  <c r="N795" i="11"/>
  <c r="N861" i="11"/>
  <c r="N893" i="11"/>
  <c r="N924" i="11"/>
  <c r="I1047" i="11"/>
  <c r="L1047" i="11"/>
  <c r="I1064" i="11"/>
  <c r="L1064" i="11"/>
  <c r="I1080" i="11"/>
  <c r="L1080" i="11"/>
  <c r="I1096" i="11"/>
  <c r="L1096" i="11"/>
  <c r="I1113" i="11"/>
  <c r="L1113" i="11"/>
  <c r="L1190" i="11"/>
  <c r="I1190" i="11"/>
  <c r="L1258" i="11"/>
  <c r="I1258" i="11"/>
  <c r="L761" i="11"/>
  <c r="L765" i="11"/>
  <c r="N771" i="11"/>
  <c r="L775" i="11"/>
  <c r="L782" i="11"/>
  <c r="L792" i="11"/>
  <c r="L799" i="11"/>
  <c r="L809" i="11"/>
  <c r="L815" i="11"/>
  <c r="N816" i="11"/>
  <c r="L825" i="11"/>
  <c r="L831" i="11"/>
  <c r="N837" i="11"/>
  <c r="L841" i="11"/>
  <c r="L848" i="11"/>
  <c r="N849" i="11"/>
  <c r="N851" i="11"/>
  <c r="L858" i="11"/>
  <c r="L864" i="11"/>
  <c r="L874" i="11"/>
  <c r="L880" i="11"/>
  <c r="N881" i="11"/>
  <c r="L890" i="11"/>
  <c r="N892" i="11"/>
  <c r="L896" i="11"/>
  <c r="L905" i="11"/>
  <c r="L911" i="11"/>
  <c r="N914" i="11"/>
  <c r="L921" i="11"/>
  <c r="L927" i="11"/>
  <c r="L937" i="11"/>
  <c r="L943" i="11"/>
  <c r="N944" i="11"/>
  <c r="N946" i="11"/>
  <c r="L953" i="11"/>
  <c r="L960" i="11"/>
  <c r="N963" i="11"/>
  <c r="L970" i="11"/>
  <c r="L976" i="11"/>
  <c r="N979" i="11"/>
  <c r="L980" i="11"/>
  <c r="I980" i="11"/>
  <c r="L988" i="11"/>
  <c r="I988" i="11"/>
  <c r="N995" i="11"/>
  <c r="L996" i="11"/>
  <c r="I996" i="11"/>
  <c r="M997" i="11"/>
  <c r="N1004" i="11"/>
  <c r="L1005" i="11"/>
  <c r="I1005" i="11"/>
  <c r="L1013" i="11"/>
  <c r="I1013" i="11"/>
  <c r="L1021" i="11"/>
  <c r="I1021" i="11"/>
  <c r="N1028" i="11"/>
  <c r="L1029" i="11"/>
  <c r="I1029" i="11"/>
  <c r="M1030" i="11"/>
  <c r="N1036" i="11"/>
  <c r="L1037" i="11"/>
  <c r="I1037" i="11"/>
  <c r="M1083" i="11"/>
  <c r="M1116" i="11"/>
  <c r="L1141" i="11"/>
  <c r="I1141" i="11"/>
  <c r="M1201" i="11"/>
  <c r="N1044" i="11"/>
  <c r="N1056" i="11"/>
  <c r="N1071" i="11"/>
  <c r="N1073" i="11"/>
  <c r="N1087" i="11"/>
  <c r="N1089" i="11"/>
  <c r="N1103" i="11"/>
  <c r="N1120" i="11"/>
  <c r="N1122" i="11"/>
  <c r="L1137" i="11"/>
  <c r="I1137" i="11"/>
  <c r="L1153" i="11"/>
  <c r="I1153" i="11"/>
  <c r="N1165" i="11"/>
  <c r="L1170" i="11"/>
  <c r="I1170" i="11"/>
  <c r="L1186" i="11"/>
  <c r="I1186" i="11"/>
  <c r="L1202" i="11"/>
  <c r="I1202" i="11"/>
  <c r="L1219" i="11"/>
  <c r="I1219" i="11"/>
  <c r="L1242" i="11"/>
  <c r="I1242" i="11"/>
  <c r="N1059" i="11"/>
  <c r="L1133" i="11"/>
  <c r="I1133" i="11"/>
  <c r="N1144" i="11"/>
  <c r="L1149" i="11"/>
  <c r="I1149" i="11"/>
  <c r="L1166" i="11"/>
  <c r="I1166" i="11"/>
  <c r="L1182" i="11"/>
  <c r="I1182" i="11"/>
  <c r="L1198" i="11"/>
  <c r="I1198" i="11"/>
  <c r="L1215" i="11"/>
  <c r="I1215" i="11"/>
  <c r="M1240" i="11"/>
  <c r="L1290" i="11"/>
  <c r="I1290" i="11"/>
  <c r="N1046" i="11"/>
  <c r="L1055" i="11"/>
  <c r="N1058" i="11"/>
  <c r="L1062" i="11"/>
  <c r="N1063" i="11"/>
  <c r="L1072" i="11"/>
  <c r="L1078" i="11"/>
  <c r="N1084" i="11"/>
  <c r="L1088" i="11"/>
  <c r="L1094" i="11"/>
  <c r="N1095" i="11"/>
  <c r="N1097" i="11"/>
  <c r="L1104" i="11"/>
  <c r="L1111" i="11"/>
  <c r="N1112" i="11"/>
  <c r="N1117" i="11"/>
  <c r="L1121" i="11"/>
  <c r="L1129" i="11"/>
  <c r="I1129" i="11"/>
  <c r="N1140" i="11"/>
  <c r="L1145" i="11"/>
  <c r="I1145" i="11"/>
  <c r="L1162" i="11"/>
  <c r="I1162" i="11"/>
  <c r="N1173" i="11"/>
  <c r="L1178" i="11"/>
  <c r="I1178" i="11"/>
  <c r="N1189" i="11"/>
  <c r="L1194" i="11"/>
  <c r="I1194" i="11"/>
  <c r="L1210" i="11"/>
  <c r="I1210" i="11"/>
  <c r="M1214" i="11"/>
  <c r="L1274" i="11"/>
  <c r="I1274" i="11"/>
  <c r="M1227" i="11"/>
  <c r="N1229" i="11"/>
  <c r="L1230" i="11"/>
  <c r="I1230" i="11"/>
  <c r="L1238" i="11"/>
  <c r="I1238" i="11"/>
  <c r="L1254" i="11"/>
  <c r="I1254" i="11"/>
  <c r="L1270" i="11"/>
  <c r="I1270" i="11"/>
  <c r="L1286" i="11"/>
  <c r="I1286" i="11"/>
  <c r="L1234" i="11"/>
  <c r="I1234" i="11"/>
  <c r="L1250" i="11"/>
  <c r="I1250" i="11"/>
  <c r="L1266" i="11"/>
  <c r="I1266" i="11"/>
  <c r="L1282" i="11"/>
  <c r="I1282" i="11"/>
  <c r="M1233" i="11"/>
  <c r="N1241" i="11"/>
  <c r="L1246" i="11"/>
  <c r="I1246" i="11"/>
  <c r="L1262" i="11"/>
  <c r="I1262" i="11"/>
  <c r="L1278" i="11"/>
  <c r="I1278" i="11"/>
  <c r="N1289" i="11"/>
  <c r="M1292" i="11"/>
  <c r="I1229" i="11"/>
  <c r="I1233" i="11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N971" i="11" l="1"/>
  <c r="N230" i="11"/>
  <c r="N818" i="11"/>
  <c r="N952" i="11"/>
  <c r="N254" i="11"/>
  <c r="N785" i="11"/>
  <c r="N1257" i="11"/>
  <c r="N714" i="11"/>
  <c r="N631" i="11"/>
  <c r="N768" i="11"/>
  <c r="N288" i="11"/>
  <c r="N280" i="11"/>
  <c r="N793" i="11"/>
  <c r="N1265" i="11"/>
  <c r="N387" i="11"/>
  <c r="N465" i="11"/>
  <c r="N385" i="11"/>
  <c r="N1271" i="11"/>
  <c r="N879" i="11"/>
  <c r="N1091" i="11"/>
  <c r="N859" i="11"/>
  <c r="N660" i="11"/>
  <c r="N1161" i="11"/>
  <c r="N1123" i="11"/>
  <c r="N954" i="11"/>
  <c r="N886" i="11"/>
  <c r="N991" i="11"/>
  <c r="N972" i="11"/>
  <c r="N955" i="11"/>
  <c r="N1114" i="11"/>
  <c r="N1075" i="11"/>
  <c r="N805" i="11"/>
  <c r="N826" i="11"/>
  <c r="N860" i="11"/>
  <c r="N1074" i="11"/>
  <c r="N957" i="11"/>
  <c r="N282" i="11"/>
  <c r="N309" i="11"/>
  <c r="N912" i="11"/>
  <c r="N838" i="11"/>
  <c r="N294" i="11"/>
  <c r="N1223" i="11"/>
  <c r="N933" i="11"/>
  <c r="N870" i="11"/>
  <c r="N766" i="11"/>
  <c r="N693" i="11"/>
  <c r="N315" i="11"/>
  <c r="N213" i="11"/>
  <c r="N764" i="11"/>
  <c r="N1177" i="11"/>
  <c r="N337" i="11"/>
  <c r="N1107" i="11"/>
  <c r="N867" i="11"/>
  <c r="N1273" i="11"/>
  <c r="N1081" i="11"/>
  <c r="N1048" i="11"/>
  <c r="N239" i="11"/>
  <c r="N966" i="11"/>
  <c r="N1106" i="11"/>
  <c r="N949" i="11"/>
  <c r="N1024" i="11"/>
  <c r="N689" i="11"/>
  <c r="N540" i="11"/>
  <c r="N473" i="11"/>
  <c r="N304" i="11"/>
  <c r="N439" i="11"/>
  <c r="N883" i="11"/>
  <c r="N973" i="11"/>
  <c r="N461" i="11"/>
  <c r="N987" i="11"/>
  <c r="N281" i="11"/>
  <c r="N57" i="13"/>
  <c r="N54" i="13"/>
  <c r="N33" i="13"/>
  <c r="I149" i="13"/>
  <c r="N50" i="13"/>
  <c r="N1233" i="11"/>
  <c r="X1233" i="11"/>
  <c r="Y1233" i="11"/>
  <c r="U1233" i="11"/>
  <c r="V1233" i="11"/>
  <c r="Z1233" i="11"/>
  <c r="W1233" i="11"/>
  <c r="N1212" i="11"/>
  <c r="X1212" i="11"/>
  <c r="Y1212" i="11"/>
  <c r="V1212" i="11"/>
  <c r="W1212" i="11"/>
  <c r="Z1212" i="11"/>
  <c r="U1212" i="11"/>
  <c r="N1164" i="11"/>
  <c r="X1164" i="11"/>
  <c r="Y1164" i="11"/>
  <c r="V1164" i="11"/>
  <c r="W1164" i="11"/>
  <c r="Z1164" i="11"/>
  <c r="U1164" i="11"/>
  <c r="N1201" i="11"/>
  <c r="V1201" i="11"/>
  <c r="Z1201" i="11"/>
  <c r="U1201" i="11"/>
  <c r="X1201" i="11"/>
  <c r="Y1201" i="11"/>
  <c r="W1201" i="11"/>
  <c r="N1136" i="11"/>
  <c r="V1136" i="11"/>
  <c r="Z1136" i="11"/>
  <c r="U1136" i="11"/>
  <c r="X1136" i="11"/>
  <c r="Y1136" i="11"/>
  <c r="W1136" i="11"/>
  <c r="N1026" i="11"/>
  <c r="V1026" i="11"/>
  <c r="Z1026" i="11"/>
  <c r="U1026" i="11"/>
  <c r="Y1026" i="11"/>
  <c r="W1026" i="11"/>
  <c r="X1026" i="11"/>
  <c r="N916" i="11"/>
  <c r="V916" i="11"/>
  <c r="W916" i="11"/>
  <c r="Z916" i="11"/>
  <c r="U916" i="11"/>
  <c r="X916" i="11"/>
  <c r="Y916" i="11"/>
  <c r="N691" i="11"/>
  <c r="X691" i="11"/>
  <c r="U691" i="11"/>
  <c r="W691" i="11"/>
  <c r="V691" i="11"/>
  <c r="Y691" i="11"/>
  <c r="Z691" i="11"/>
  <c r="N675" i="11"/>
  <c r="X675" i="11"/>
  <c r="U675" i="11"/>
  <c r="W675" i="11"/>
  <c r="V675" i="11"/>
  <c r="Y675" i="11"/>
  <c r="Z675" i="11"/>
  <c r="N658" i="11"/>
  <c r="X658" i="11"/>
  <c r="U658" i="11"/>
  <c r="W658" i="11"/>
  <c r="V658" i="11"/>
  <c r="Y658" i="11"/>
  <c r="Z658" i="11"/>
  <c r="N647" i="11"/>
  <c r="Z647" i="11"/>
  <c r="V647" i="11"/>
  <c r="W647" i="11"/>
  <c r="Y647" i="11"/>
  <c r="U647" i="11"/>
  <c r="X647" i="11"/>
  <c r="N752" i="11"/>
  <c r="W752" i="11"/>
  <c r="X752" i="11"/>
  <c r="Y752" i="11"/>
  <c r="Z752" i="11"/>
  <c r="U752" i="11"/>
  <c r="V752" i="11"/>
  <c r="N712" i="11"/>
  <c r="X712" i="11"/>
  <c r="U712" i="11"/>
  <c r="W712" i="11"/>
  <c r="Y712" i="11"/>
  <c r="Z712" i="11"/>
  <c r="V712" i="11"/>
  <c r="N542" i="11"/>
  <c r="U542" i="11"/>
  <c r="Y542" i="11"/>
  <c r="Z542" i="11"/>
  <c r="V542" i="11"/>
  <c r="W542" i="11"/>
  <c r="X542" i="11"/>
  <c r="N475" i="11"/>
  <c r="U475" i="11"/>
  <c r="Y475" i="11"/>
  <c r="Z475" i="11"/>
  <c r="V475" i="11"/>
  <c r="W475" i="11"/>
  <c r="X475" i="11"/>
  <c r="N539" i="11"/>
  <c r="W539" i="11"/>
  <c r="V539" i="11"/>
  <c r="X539" i="11"/>
  <c r="Y539" i="11"/>
  <c r="Z539" i="11"/>
  <c r="U539" i="11"/>
  <c r="N595" i="11"/>
  <c r="X595" i="11"/>
  <c r="Y595" i="11"/>
  <c r="U595" i="11"/>
  <c r="V595" i="11"/>
  <c r="W595" i="11"/>
  <c r="Z595" i="11"/>
  <c r="N496" i="11"/>
  <c r="U496" i="11"/>
  <c r="Y496" i="11"/>
  <c r="Z496" i="11"/>
  <c r="V496" i="11"/>
  <c r="W496" i="11"/>
  <c r="X496" i="11"/>
  <c r="N455" i="11"/>
  <c r="Y455" i="11"/>
  <c r="U455" i="11"/>
  <c r="X455" i="11"/>
  <c r="Z455" i="11"/>
  <c r="V455" i="11"/>
  <c r="W455" i="11"/>
  <c r="N142" i="11"/>
  <c r="V142" i="11"/>
  <c r="W142" i="11"/>
  <c r="X142" i="11"/>
  <c r="Y142" i="11"/>
  <c r="U142" i="11"/>
  <c r="Z142" i="11"/>
  <c r="N93" i="11"/>
  <c r="Y93" i="11"/>
  <c r="U93" i="11"/>
  <c r="V93" i="11"/>
  <c r="W93" i="11"/>
  <c r="Z93" i="11"/>
  <c r="X93" i="11"/>
  <c r="N701" i="11"/>
  <c r="Z701" i="11"/>
  <c r="V701" i="11"/>
  <c r="W701" i="11"/>
  <c r="Y701" i="11"/>
  <c r="U701" i="11"/>
  <c r="X701" i="11"/>
  <c r="N216" i="11"/>
  <c r="Z216" i="11"/>
  <c r="U216" i="11"/>
  <c r="V216" i="11"/>
  <c r="W216" i="11"/>
  <c r="X216" i="11"/>
  <c r="Y216" i="11"/>
  <c r="N141" i="11"/>
  <c r="Y141" i="11"/>
  <c r="U141" i="11"/>
  <c r="V141" i="11"/>
  <c r="W141" i="11"/>
  <c r="Z141" i="11"/>
  <c r="X141" i="11"/>
  <c r="N74" i="11"/>
  <c r="W74" i="11"/>
  <c r="U74" i="11"/>
  <c r="Y74" i="11"/>
  <c r="V74" i="11"/>
  <c r="X74" i="11"/>
  <c r="Z74" i="11"/>
  <c r="N202" i="11"/>
  <c r="X202" i="11"/>
  <c r="U202" i="11"/>
  <c r="V202" i="11"/>
  <c r="W202" i="11"/>
  <c r="Y202" i="11"/>
  <c r="Z202" i="11"/>
  <c r="N58" i="11"/>
  <c r="U58" i="11"/>
  <c r="Y58" i="11"/>
  <c r="Z58" i="11"/>
  <c r="W58" i="11"/>
  <c r="X58" i="11"/>
  <c r="V58" i="11"/>
  <c r="N131" i="11"/>
  <c r="U131" i="11"/>
  <c r="Z131" i="11"/>
  <c r="V131" i="11"/>
  <c r="W131" i="11"/>
  <c r="X131" i="11"/>
  <c r="Y131" i="11"/>
  <c r="N43" i="11"/>
  <c r="U43" i="11"/>
  <c r="Y43" i="11"/>
  <c r="Z43" i="11"/>
  <c r="V43" i="11"/>
  <c r="W43" i="11"/>
  <c r="X43" i="11"/>
  <c r="N8" i="11"/>
  <c r="V8" i="11"/>
  <c r="X8" i="11"/>
  <c r="Z8" i="11"/>
  <c r="W8" i="11"/>
  <c r="Y8" i="11"/>
  <c r="U8" i="11"/>
  <c r="N146" i="11"/>
  <c r="Y146" i="11"/>
  <c r="U146" i="11"/>
  <c r="V146" i="11"/>
  <c r="W146" i="11"/>
  <c r="X146" i="11"/>
  <c r="Z146" i="11"/>
  <c r="N78" i="11"/>
  <c r="W78" i="11"/>
  <c r="U78" i="11"/>
  <c r="X78" i="11"/>
  <c r="Y78" i="11"/>
  <c r="Z78" i="11"/>
  <c r="V78" i="11"/>
  <c r="N149" i="11"/>
  <c r="Y149" i="11"/>
  <c r="U149" i="11"/>
  <c r="V149" i="11"/>
  <c r="W149" i="11"/>
  <c r="X149" i="11"/>
  <c r="Z149" i="11"/>
  <c r="V1222" i="11"/>
  <c r="Z1222" i="11"/>
  <c r="U1222" i="11"/>
  <c r="W1222" i="11"/>
  <c r="X1222" i="11"/>
  <c r="Y1222" i="11"/>
  <c r="N1260" i="11"/>
  <c r="Z1260" i="11"/>
  <c r="V1260" i="11"/>
  <c r="W1260" i="11"/>
  <c r="Y1260" i="11"/>
  <c r="U1260" i="11"/>
  <c r="X1260" i="11"/>
  <c r="N1208" i="11"/>
  <c r="X1208" i="11"/>
  <c r="Y1208" i="11"/>
  <c r="U1208" i="11"/>
  <c r="V1208" i="11"/>
  <c r="Z1208" i="11"/>
  <c r="W1208" i="11"/>
  <c r="N1207" i="11"/>
  <c r="Z1207" i="11"/>
  <c r="V1207" i="11"/>
  <c r="W1207" i="11"/>
  <c r="Y1207" i="11"/>
  <c r="U1207" i="11"/>
  <c r="X1207" i="11"/>
  <c r="N1146" i="11"/>
  <c r="Z1146" i="11"/>
  <c r="V1146" i="11"/>
  <c r="W1146" i="11"/>
  <c r="Y1146" i="11"/>
  <c r="X1146" i="11"/>
  <c r="U1146" i="11"/>
  <c r="X1068" i="11"/>
  <c r="U1068" i="11"/>
  <c r="W1068" i="11"/>
  <c r="V1068" i="11"/>
  <c r="Y1068" i="11"/>
  <c r="Z1068" i="11"/>
  <c r="N1269" i="11"/>
  <c r="X1269" i="11"/>
  <c r="Y1269" i="11"/>
  <c r="V1269" i="11"/>
  <c r="W1269" i="11"/>
  <c r="U1269" i="11"/>
  <c r="Z1269" i="11"/>
  <c r="X1245" i="11"/>
  <c r="Y1245" i="11"/>
  <c r="V1245" i="11"/>
  <c r="W1245" i="11"/>
  <c r="Z1245" i="11"/>
  <c r="U1245" i="11"/>
  <c r="N1039" i="11"/>
  <c r="X1039" i="11"/>
  <c r="U1039" i="11"/>
  <c r="W1039" i="11"/>
  <c r="V1039" i="11"/>
  <c r="Y1039" i="11"/>
  <c r="Z1039" i="11"/>
  <c r="N989" i="11"/>
  <c r="V989" i="11"/>
  <c r="Z989" i="11"/>
  <c r="U989" i="11"/>
  <c r="W989" i="11"/>
  <c r="X989" i="11"/>
  <c r="Y989" i="11"/>
  <c r="U915" i="11"/>
  <c r="X915" i="11"/>
  <c r="Y915" i="11"/>
  <c r="Z915" i="11"/>
  <c r="V915" i="11"/>
  <c r="W915" i="11"/>
  <c r="N871" i="11"/>
  <c r="W871" i="11"/>
  <c r="X871" i="11"/>
  <c r="Y871" i="11"/>
  <c r="Z871" i="11"/>
  <c r="U871" i="11"/>
  <c r="V871" i="11"/>
  <c r="W812" i="11"/>
  <c r="X812" i="11"/>
  <c r="U812" i="11"/>
  <c r="V812" i="11"/>
  <c r="Y812" i="11"/>
  <c r="Z812" i="11"/>
  <c r="N1176" i="11"/>
  <c r="X1176" i="11"/>
  <c r="Y1176" i="11"/>
  <c r="U1176" i="11"/>
  <c r="V1176" i="11"/>
  <c r="Z1176" i="11"/>
  <c r="W1176" i="11"/>
  <c r="N1015" i="11"/>
  <c r="X1015" i="11"/>
  <c r="U1015" i="11"/>
  <c r="W1015" i="11"/>
  <c r="V1015" i="11"/>
  <c r="Y1015" i="11"/>
  <c r="Z1015" i="11"/>
  <c r="N637" i="11"/>
  <c r="X637" i="11"/>
  <c r="U637" i="11"/>
  <c r="V637" i="11"/>
  <c r="W637" i="11"/>
  <c r="Y637" i="11"/>
  <c r="Z637" i="11"/>
  <c r="N517" i="11"/>
  <c r="U517" i="11"/>
  <c r="Y517" i="11"/>
  <c r="Z517" i="11"/>
  <c r="V517" i="11"/>
  <c r="W517" i="11"/>
  <c r="X517" i="11"/>
  <c r="V273" i="11"/>
  <c r="Z273" i="11"/>
  <c r="U273" i="11"/>
  <c r="W273" i="11"/>
  <c r="X273" i="11"/>
  <c r="Y273" i="11"/>
  <c r="N118" i="11"/>
  <c r="W118" i="11"/>
  <c r="X118" i="11"/>
  <c r="Y118" i="11"/>
  <c r="U118" i="11"/>
  <c r="V118" i="11"/>
  <c r="Z118" i="11"/>
  <c r="N1007" i="11"/>
  <c r="X1007" i="11"/>
  <c r="U1007" i="11"/>
  <c r="W1007" i="11"/>
  <c r="V1007" i="11"/>
  <c r="Y1007" i="11"/>
  <c r="Z1007" i="11"/>
  <c r="W758" i="11"/>
  <c r="X758" i="11"/>
  <c r="U758" i="11"/>
  <c r="V758" i="11"/>
  <c r="Y758" i="11"/>
  <c r="Z758" i="11"/>
  <c r="N534" i="11"/>
  <c r="U534" i="11"/>
  <c r="Y534" i="11"/>
  <c r="Z534" i="11"/>
  <c r="V534" i="11"/>
  <c r="W534" i="11"/>
  <c r="X534" i="11"/>
  <c r="N476" i="11"/>
  <c r="W476" i="11"/>
  <c r="V476" i="11"/>
  <c r="U476" i="11"/>
  <c r="X476" i="11"/>
  <c r="Y476" i="11"/>
  <c r="Z476" i="11"/>
  <c r="N418" i="11"/>
  <c r="W418" i="11"/>
  <c r="Z418" i="11"/>
  <c r="U418" i="11"/>
  <c r="V418" i="11"/>
  <c r="X418" i="11"/>
  <c r="Y418" i="11"/>
  <c r="N180" i="11"/>
  <c r="W180" i="11"/>
  <c r="V180" i="11"/>
  <c r="Z180" i="11"/>
  <c r="U180" i="11"/>
  <c r="X180" i="11"/>
  <c r="Y180" i="11"/>
  <c r="N134" i="11"/>
  <c r="U134" i="11"/>
  <c r="X134" i="11"/>
  <c r="Y134" i="11"/>
  <c r="Z134" i="11"/>
  <c r="V134" i="11"/>
  <c r="W134" i="11"/>
  <c r="N45" i="11"/>
  <c r="Y45" i="11"/>
  <c r="U45" i="11"/>
  <c r="V45" i="11"/>
  <c r="W45" i="11"/>
  <c r="Z45" i="11"/>
  <c r="X45" i="11"/>
  <c r="N564" i="11"/>
  <c r="Z564" i="11"/>
  <c r="V564" i="11"/>
  <c r="W564" i="11"/>
  <c r="X564" i="11"/>
  <c r="Y564" i="11"/>
  <c r="U564" i="11"/>
  <c r="N535" i="11"/>
  <c r="W535" i="11"/>
  <c r="V535" i="11"/>
  <c r="U535" i="11"/>
  <c r="X535" i="11"/>
  <c r="Y535" i="11"/>
  <c r="Z535" i="11"/>
  <c r="N80" i="11"/>
  <c r="W80" i="11"/>
  <c r="X80" i="11"/>
  <c r="Y80" i="11"/>
  <c r="U80" i="11"/>
  <c r="V80" i="11"/>
  <c r="Z80" i="11"/>
  <c r="N335" i="11"/>
  <c r="Y335" i="11"/>
  <c r="U335" i="11"/>
  <c r="V335" i="11"/>
  <c r="W335" i="11"/>
  <c r="X335" i="11"/>
  <c r="Z335" i="11"/>
  <c r="V898" i="11"/>
  <c r="W898" i="11"/>
  <c r="X898" i="11"/>
  <c r="Y898" i="11"/>
  <c r="Z898" i="11"/>
  <c r="U898" i="11"/>
  <c r="U811" i="11"/>
  <c r="V811" i="11"/>
  <c r="Y811" i="11"/>
  <c r="Z811" i="11"/>
  <c r="W811" i="11"/>
  <c r="X811" i="11"/>
  <c r="N1252" i="11"/>
  <c r="Z1252" i="11"/>
  <c r="V1252" i="11"/>
  <c r="W1252" i="11"/>
  <c r="Y1252" i="11"/>
  <c r="X1252" i="11"/>
  <c r="U1252" i="11"/>
  <c r="V1128" i="11"/>
  <c r="Z1128" i="11"/>
  <c r="U1128" i="11"/>
  <c r="W1128" i="11"/>
  <c r="X1128" i="11"/>
  <c r="Y1128" i="11"/>
  <c r="W802" i="11"/>
  <c r="X802" i="11"/>
  <c r="Y802" i="11"/>
  <c r="Z802" i="11"/>
  <c r="U802" i="11"/>
  <c r="V802" i="11"/>
  <c r="N741" i="11"/>
  <c r="U741" i="11"/>
  <c r="V741" i="11"/>
  <c r="Y741" i="11"/>
  <c r="Z741" i="11"/>
  <c r="W741" i="11"/>
  <c r="X741" i="11"/>
  <c r="N297" i="11"/>
  <c r="U297" i="11"/>
  <c r="X297" i="11"/>
  <c r="Y297" i="11"/>
  <c r="Z297" i="11"/>
  <c r="V297" i="11"/>
  <c r="W297" i="11"/>
  <c r="N321" i="11"/>
  <c r="U321" i="11"/>
  <c r="X321" i="11"/>
  <c r="Y321" i="11"/>
  <c r="Z321" i="11"/>
  <c r="V321" i="11"/>
  <c r="W321" i="11"/>
  <c r="N1179" i="11"/>
  <c r="Z1179" i="11"/>
  <c r="V1179" i="11"/>
  <c r="W1179" i="11"/>
  <c r="Y1179" i="11"/>
  <c r="U1179" i="11"/>
  <c r="X1179" i="11"/>
  <c r="V1079" i="11"/>
  <c r="W1079" i="11"/>
  <c r="X1079" i="11"/>
  <c r="Y1079" i="11"/>
  <c r="Z1079" i="11"/>
  <c r="U1079" i="11"/>
  <c r="N941" i="11"/>
  <c r="X941" i="11"/>
  <c r="Y941" i="11"/>
  <c r="U941" i="11"/>
  <c r="V941" i="11"/>
  <c r="W941" i="11"/>
  <c r="Z941" i="11"/>
  <c r="Y854" i="11"/>
  <c r="Z854" i="11"/>
  <c r="U854" i="11"/>
  <c r="V854" i="11"/>
  <c r="W854" i="11"/>
  <c r="X854" i="11"/>
  <c r="W772" i="11"/>
  <c r="X772" i="11"/>
  <c r="Y772" i="11"/>
  <c r="Z772" i="11"/>
  <c r="U772" i="11"/>
  <c r="V772" i="11"/>
  <c r="N633" i="11"/>
  <c r="X633" i="11"/>
  <c r="U633" i="11"/>
  <c r="V633" i="11"/>
  <c r="W633" i="11"/>
  <c r="Z633" i="11"/>
  <c r="Y633" i="11"/>
  <c r="Y515" i="11"/>
  <c r="U515" i="11"/>
  <c r="V515" i="11"/>
  <c r="X515" i="11"/>
  <c r="W515" i="11"/>
  <c r="Z515" i="11"/>
  <c r="W209" i="11"/>
  <c r="X209" i="11"/>
  <c r="Y209" i="11"/>
  <c r="Z209" i="11"/>
  <c r="U209" i="11"/>
  <c r="V209" i="11"/>
  <c r="N162" i="11"/>
  <c r="V162" i="11"/>
  <c r="W162" i="11"/>
  <c r="X162" i="11"/>
  <c r="Y162" i="11"/>
  <c r="U162" i="11"/>
  <c r="Z162" i="11"/>
  <c r="X1223" i="11"/>
  <c r="U1223" i="11"/>
  <c r="W1223" i="11"/>
  <c r="Z1223" i="11"/>
  <c r="V1223" i="11"/>
  <c r="Y1223" i="11"/>
  <c r="U1106" i="11"/>
  <c r="V1106" i="11"/>
  <c r="W1106" i="11"/>
  <c r="X1106" i="11"/>
  <c r="Y1106" i="11"/>
  <c r="Z1106" i="11"/>
  <c r="N555" i="11"/>
  <c r="Z555" i="11"/>
  <c r="V555" i="11"/>
  <c r="W555" i="11"/>
  <c r="X555" i="11"/>
  <c r="Y555" i="11"/>
  <c r="U555" i="11"/>
  <c r="N472" i="11"/>
  <c r="W472" i="11"/>
  <c r="V472" i="11"/>
  <c r="X472" i="11"/>
  <c r="Y472" i="11"/>
  <c r="Z472" i="11"/>
  <c r="U472" i="11"/>
  <c r="N150" i="11"/>
  <c r="V150" i="11"/>
  <c r="W150" i="11"/>
  <c r="X150" i="11"/>
  <c r="Y150" i="11"/>
  <c r="U150" i="11"/>
  <c r="Z150" i="11"/>
  <c r="U139" i="11"/>
  <c r="X139" i="11"/>
  <c r="Y139" i="11"/>
  <c r="Z139" i="11"/>
  <c r="W139" i="11"/>
  <c r="V139" i="11"/>
  <c r="V262" i="11"/>
  <c r="Z262" i="11"/>
  <c r="U262" i="11"/>
  <c r="W262" i="11"/>
  <c r="X262" i="11"/>
  <c r="Y262" i="11"/>
  <c r="X623" i="11"/>
  <c r="Y623" i="11"/>
  <c r="U623" i="11"/>
  <c r="V623" i="11"/>
  <c r="W623" i="11"/>
  <c r="Z623" i="11"/>
  <c r="N1167" i="11"/>
  <c r="Z1167" i="11"/>
  <c r="V1167" i="11"/>
  <c r="W1167" i="11"/>
  <c r="Y1167" i="11"/>
  <c r="U1167" i="11"/>
  <c r="X1167" i="11"/>
  <c r="N780" i="11"/>
  <c r="Y780" i="11"/>
  <c r="Z780" i="11"/>
  <c r="U780" i="11"/>
  <c r="V780" i="11"/>
  <c r="W780" i="11"/>
  <c r="X780" i="11"/>
  <c r="N981" i="11"/>
  <c r="V981" i="11"/>
  <c r="W981" i="11"/>
  <c r="Z981" i="11"/>
  <c r="U981" i="11"/>
  <c r="X981" i="11"/>
  <c r="Y981" i="11"/>
  <c r="N509" i="11"/>
  <c r="U509" i="11"/>
  <c r="Y509" i="11"/>
  <c r="Z509" i="11"/>
  <c r="V509" i="11"/>
  <c r="W509" i="11"/>
  <c r="X509" i="11"/>
  <c r="N910" i="11"/>
  <c r="Z910" i="11"/>
  <c r="V910" i="11"/>
  <c r="W910" i="11"/>
  <c r="X910" i="11"/>
  <c r="Y910" i="11"/>
  <c r="U910" i="11"/>
  <c r="X710" i="11"/>
  <c r="Y710" i="11"/>
  <c r="U710" i="11"/>
  <c r="V710" i="11"/>
  <c r="W710" i="11"/>
  <c r="Z710" i="11"/>
  <c r="W406" i="11"/>
  <c r="Y406" i="11"/>
  <c r="Z406" i="11"/>
  <c r="U406" i="11"/>
  <c r="V406" i="11"/>
  <c r="X406" i="11"/>
  <c r="N699" i="11"/>
  <c r="X699" i="11"/>
  <c r="U699" i="11"/>
  <c r="W699" i="11"/>
  <c r="V699" i="11"/>
  <c r="Y699" i="11"/>
  <c r="Z699" i="11"/>
  <c r="N713" i="11"/>
  <c r="Z713" i="11"/>
  <c r="V713" i="11"/>
  <c r="W713" i="11"/>
  <c r="Y713" i="11"/>
  <c r="U713" i="11"/>
  <c r="X713" i="11"/>
  <c r="N576" i="11"/>
  <c r="Z576" i="11"/>
  <c r="V576" i="11"/>
  <c r="W576" i="11"/>
  <c r="X576" i="11"/>
  <c r="Y576" i="11"/>
  <c r="U576" i="11"/>
  <c r="V296" i="11"/>
  <c r="W296" i="11"/>
  <c r="X296" i="11"/>
  <c r="Y296" i="11"/>
  <c r="U296" i="11"/>
  <c r="Z296" i="11"/>
  <c r="Z1134" i="11"/>
  <c r="V1134" i="11"/>
  <c r="W1134" i="11"/>
  <c r="Y1134" i="11"/>
  <c r="U1134" i="11"/>
  <c r="X1134" i="11"/>
  <c r="W730" i="11"/>
  <c r="X730" i="11"/>
  <c r="U730" i="11"/>
  <c r="V730" i="11"/>
  <c r="Y730" i="11"/>
  <c r="Z730" i="11"/>
  <c r="N650" i="11"/>
  <c r="X650" i="11"/>
  <c r="U650" i="11"/>
  <c r="W650" i="11"/>
  <c r="V650" i="11"/>
  <c r="Y650" i="11"/>
  <c r="Z650" i="11"/>
  <c r="N218" i="11"/>
  <c r="V218" i="11"/>
  <c r="Y218" i="11"/>
  <c r="Z218" i="11"/>
  <c r="X218" i="11"/>
  <c r="U218" i="11"/>
  <c r="W218" i="11"/>
  <c r="Z1110" i="11"/>
  <c r="U1110" i="11"/>
  <c r="V1110" i="11"/>
  <c r="W1110" i="11"/>
  <c r="X1110" i="11"/>
  <c r="Y1110" i="11"/>
  <c r="Y540" i="11"/>
  <c r="U540" i="11"/>
  <c r="V540" i="11"/>
  <c r="X540" i="11"/>
  <c r="W540" i="11"/>
  <c r="Z540" i="11"/>
  <c r="N235" i="11"/>
  <c r="V235" i="11"/>
  <c r="Y235" i="11"/>
  <c r="Z235" i="11"/>
  <c r="U235" i="11"/>
  <c r="W235" i="11"/>
  <c r="X235" i="11"/>
  <c r="X933" i="11"/>
  <c r="Y933" i="11"/>
  <c r="U933" i="11"/>
  <c r="V933" i="11"/>
  <c r="W933" i="11"/>
  <c r="Z933" i="11"/>
  <c r="W351" i="11"/>
  <c r="U351" i="11"/>
  <c r="V351" i="11"/>
  <c r="X351" i="11"/>
  <c r="Y351" i="11"/>
  <c r="Z351" i="11"/>
  <c r="Y490" i="11"/>
  <c r="U490" i="11"/>
  <c r="V490" i="11"/>
  <c r="X490" i="11"/>
  <c r="W490" i="11"/>
  <c r="Z490" i="11"/>
  <c r="X1279" i="11"/>
  <c r="U1279" i="11"/>
  <c r="W1279" i="11"/>
  <c r="Z1279" i="11"/>
  <c r="V1279" i="11"/>
  <c r="Y1279" i="11"/>
  <c r="N1188" i="11"/>
  <c r="X1188" i="11"/>
  <c r="Y1188" i="11"/>
  <c r="V1188" i="11"/>
  <c r="W1188" i="11"/>
  <c r="Z1188" i="11"/>
  <c r="U1188" i="11"/>
  <c r="N997" i="11"/>
  <c r="V997" i="11"/>
  <c r="Z997" i="11"/>
  <c r="U997" i="11"/>
  <c r="W997" i="11"/>
  <c r="X997" i="11"/>
  <c r="Y997" i="11"/>
  <c r="N1002" i="11"/>
  <c r="V1002" i="11"/>
  <c r="Z1002" i="11"/>
  <c r="U1002" i="11"/>
  <c r="Y1002" i="11"/>
  <c r="W1002" i="11"/>
  <c r="X1002" i="11"/>
  <c r="N900" i="11"/>
  <c r="V900" i="11"/>
  <c r="W900" i="11"/>
  <c r="X900" i="11"/>
  <c r="Y900" i="11"/>
  <c r="Z900" i="11"/>
  <c r="U900" i="11"/>
  <c r="N732" i="11"/>
  <c r="W732" i="11"/>
  <c r="X732" i="11"/>
  <c r="Y732" i="11"/>
  <c r="Z732" i="11"/>
  <c r="U732" i="11"/>
  <c r="V732" i="11"/>
  <c r="N646" i="11"/>
  <c r="X646" i="11"/>
  <c r="U646" i="11"/>
  <c r="W646" i="11"/>
  <c r="Y646" i="11"/>
  <c r="Z646" i="11"/>
  <c r="V646" i="11"/>
  <c r="N558" i="11"/>
  <c r="X558" i="11"/>
  <c r="Y558" i="11"/>
  <c r="U558" i="11"/>
  <c r="V558" i="11"/>
  <c r="W558" i="11"/>
  <c r="Z558" i="11"/>
  <c r="N421" i="11"/>
  <c r="Y421" i="11"/>
  <c r="Z421" i="11"/>
  <c r="U421" i="11"/>
  <c r="V421" i="11"/>
  <c r="W421" i="11"/>
  <c r="X421" i="11"/>
  <c r="N514" i="11"/>
  <c r="W514" i="11"/>
  <c r="V514" i="11"/>
  <c r="X514" i="11"/>
  <c r="Y514" i="11"/>
  <c r="Z514" i="11"/>
  <c r="U514" i="11"/>
  <c r="N352" i="11"/>
  <c r="Y352" i="11"/>
  <c r="U352" i="11"/>
  <c r="V352" i="11"/>
  <c r="W352" i="11"/>
  <c r="X352" i="11"/>
  <c r="Z352" i="11"/>
  <c r="N263" i="11"/>
  <c r="X263" i="11"/>
  <c r="V263" i="11"/>
  <c r="Z263" i="11"/>
  <c r="W263" i="11"/>
  <c r="Y263" i="11"/>
  <c r="U263" i="11"/>
  <c r="N199" i="11"/>
  <c r="Z199" i="11"/>
  <c r="U199" i="11"/>
  <c r="V199" i="11"/>
  <c r="W199" i="11"/>
  <c r="X199" i="11"/>
  <c r="Y199" i="11"/>
  <c r="N592" i="11"/>
  <c r="Z592" i="11"/>
  <c r="V592" i="11"/>
  <c r="W592" i="11"/>
  <c r="X592" i="11"/>
  <c r="Y592" i="11"/>
  <c r="U592" i="11"/>
  <c r="N211" i="11"/>
  <c r="X211" i="11"/>
  <c r="U211" i="11"/>
  <c r="V211" i="11"/>
  <c r="Y211" i="11"/>
  <c r="Z211" i="11"/>
  <c r="W211" i="11"/>
  <c r="N135" i="11"/>
  <c r="W135" i="11"/>
  <c r="Z135" i="11"/>
  <c r="U135" i="11"/>
  <c r="V135" i="11"/>
  <c r="X135" i="11"/>
  <c r="Y135" i="11"/>
  <c r="N68" i="11"/>
  <c r="U68" i="11"/>
  <c r="Y68" i="11"/>
  <c r="Z68" i="11"/>
  <c r="W68" i="11"/>
  <c r="V68" i="11"/>
  <c r="X68" i="11"/>
  <c r="N196" i="11"/>
  <c r="V196" i="11"/>
  <c r="Y196" i="11"/>
  <c r="Z196" i="11"/>
  <c r="U196" i="11"/>
  <c r="W196" i="11"/>
  <c r="X196" i="11"/>
  <c r="N44" i="11"/>
  <c r="W44" i="11"/>
  <c r="U44" i="11"/>
  <c r="Y44" i="11"/>
  <c r="V44" i="11"/>
  <c r="X44" i="11"/>
  <c r="Z44" i="11"/>
  <c r="N26" i="11"/>
  <c r="U26" i="11"/>
  <c r="Y26" i="11"/>
  <c r="Z26" i="11"/>
  <c r="V26" i="11"/>
  <c r="W26" i="11"/>
  <c r="X26" i="11"/>
  <c r="N210" i="11"/>
  <c r="V210" i="11"/>
  <c r="Y210" i="11"/>
  <c r="Z210" i="11"/>
  <c r="W210" i="11"/>
  <c r="X210" i="11"/>
  <c r="U210" i="11"/>
  <c r="N140" i="11"/>
  <c r="W140" i="11"/>
  <c r="Z140" i="11"/>
  <c r="U140" i="11"/>
  <c r="V140" i="11"/>
  <c r="X140" i="11"/>
  <c r="Y140" i="11"/>
  <c r="N73" i="11"/>
  <c r="U73" i="11"/>
  <c r="Y73" i="11"/>
  <c r="Z73" i="11"/>
  <c r="V73" i="11"/>
  <c r="W73" i="11"/>
  <c r="X73" i="11"/>
  <c r="X1277" i="11"/>
  <c r="Y1277" i="11"/>
  <c r="V1277" i="11"/>
  <c r="Z1277" i="11"/>
  <c r="U1277" i="11"/>
  <c r="W1277" i="11"/>
  <c r="Z1228" i="11"/>
  <c r="V1228" i="11"/>
  <c r="W1228" i="11"/>
  <c r="Y1228" i="11"/>
  <c r="U1228" i="11"/>
  <c r="X1228" i="11"/>
  <c r="V1161" i="11"/>
  <c r="Z1161" i="11"/>
  <c r="U1161" i="11"/>
  <c r="X1161" i="11"/>
  <c r="Y1161" i="11"/>
  <c r="W1161" i="11"/>
  <c r="N1192" i="11"/>
  <c r="X1192" i="11"/>
  <c r="Y1192" i="11"/>
  <c r="U1192" i="11"/>
  <c r="V1192" i="11"/>
  <c r="Z1192" i="11"/>
  <c r="W1192" i="11"/>
  <c r="N1131" i="11"/>
  <c r="X1131" i="11"/>
  <c r="Y1131" i="11"/>
  <c r="V1131" i="11"/>
  <c r="W1131" i="11"/>
  <c r="Z1131" i="11"/>
  <c r="U1131" i="11"/>
  <c r="Z1114" i="11"/>
  <c r="U1114" i="11"/>
  <c r="V1114" i="11"/>
  <c r="W1114" i="11"/>
  <c r="X1114" i="11"/>
  <c r="Y1114" i="11"/>
  <c r="U972" i="11"/>
  <c r="X972" i="11"/>
  <c r="Y972" i="11"/>
  <c r="Z972" i="11"/>
  <c r="W972" i="11"/>
  <c r="V972" i="11"/>
  <c r="V928" i="11"/>
  <c r="W928" i="11"/>
  <c r="Z928" i="11"/>
  <c r="U928" i="11"/>
  <c r="Y928" i="11"/>
  <c r="X928" i="11"/>
  <c r="U843" i="11"/>
  <c r="V843" i="11"/>
  <c r="Y843" i="11"/>
  <c r="Z843" i="11"/>
  <c r="W843" i="11"/>
  <c r="X843" i="11"/>
  <c r="W832" i="11"/>
  <c r="X832" i="11"/>
  <c r="U832" i="11"/>
  <c r="V832" i="11"/>
  <c r="Y832" i="11"/>
  <c r="Z832" i="11"/>
  <c r="V1075" i="11"/>
  <c r="Z1075" i="11"/>
  <c r="U1075" i="11"/>
  <c r="Y1075" i="11"/>
  <c r="W1075" i="11"/>
  <c r="X1075" i="11"/>
  <c r="N502" i="11"/>
  <c r="W502" i="11"/>
  <c r="V502" i="11"/>
  <c r="U502" i="11"/>
  <c r="X502" i="11"/>
  <c r="Y502" i="11"/>
  <c r="Z502" i="11"/>
  <c r="W379" i="11"/>
  <c r="X379" i="11"/>
  <c r="Y379" i="11"/>
  <c r="U379" i="11"/>
  <c r="V379" i="11"/>
  <c r="Z379" i="11"/>
  <c r="N186" i="11"/>
  <c r="U186" i="11"/>
  <c r="Y186" i="11"/>
  <c r="X186" i="11"/>
  <c r="V186" i="11"/>
  <c r="W186" i="11"/>
  <c r="Z186" i="11"/>
  <c r="Z930" i="11"/>
  <c r="V930" i="11"/>
  <c r="W930" i="11"/>
  <c r="X930" i="11"/>
  <c r="Y930" i="11"/>
  <c r="U930" i="11"/>
  <c r="W873" i="11"/>
  <c r="X873" i="11"/>
  <c r="U873" i="11"/>
  <c r="V873" i="11"/>
  <c r="Y873" i="11"/>
  <c r="Z873" i="11"/>
  <c r="N806" i="11"/>
  <c r="W806" i="11"/>
  <c r="X806" i="11"/>
  <c r="Y806" i="11"/>
  <c r="Z806" i="11"/>
  <c r="U806" i="11"/>
  <c r="V806" i="11"/>
  <c r="N654" i="11"/>
  <c r="X654" i="11"/>
  <c r="U654" i="11"/>
  <c r="W654" i="11"/>
  <c r="Y654" i="11"/>
  <c r="Z654" i="11"/>
  <c r="V654" i="11"/>
  <c r="Y519" i="11"/>
  <c r="U519" i="11"/>
  <c r="V519" i="11"/>
  <c r="X519" i="11"/>
  <c r="Z519" i="11"/>
  <c r="W519" i="11"/>
  <c r="N226" i="11"/>
  <c r="V226" i="11"/>
  <c r="Y226" i="11"/>
  <c r="Z226" i="11"/>
  <c r="U226" i="11"/>
  <c r="W226" i="11"/>
  <c r="X226" i="11"/>
  <c r="N126" i="11"/>
  <c r="W126" i="11"/>
  <c r="X126" i="11"/>
  <c r="Y126" i="11"/>
  <c r="U126" i="11"/>
  <c r="V126" i="11"/>
  <c r="Z126" i="11"/>
  <c r="N11" i="11"/>
  <c r="W11" i="11"/>
  <c r="X11" i="11"/>
  <c r="Y11" i="11"/>
  <c r="U11" i="11"/>
  <c r="V11" i="11"/>
  <c r="Z11" i="11"/>
  <c r="N626" i="11"/>
  <c r="Z626" i="11"/>
  <c r="V626" i="11"/>
  <c r="W626" i="11"/>
  <c r="X626" i="11"/>
  <c r="Y626" i="11"/>
  <c r="U626" i="11"/>
  <c r="N484" i="11"/>
  <c r="U484" i="11"/>
  <c r="Y484" i="11"/>
  <c r="Z484" i="11"/>
  <c r="V484" i="11"/>
  <c r="W484" i="11"/>
  <c r="X484" i="11"/>
  <c r="N204" i="11"/>
  <c r="Z204" i="11"/>
  <c r="U204" i="11"/>
  <c r="V204" i="11"/>
  <c r="W204" i="11"/>
  <c r="X204" i="11"/>
  <c r="Y204" i="11"/>
  <c r="N170" i="11"/>
  <c r="W170" i="11"/>
  <c r="U170" i="11"/>
  <c r="V170" i="11"/>
  <c r="X170" i="11"/>
  <c r="Y170" i="11"/>
  <c r="Z170" i="11"/>
  <c r="N129" i="11"/>
  <c r="Y129" i="11"/>
  <c r="U129" i="11"/>
  <c r="V129" i="11"/>
  <c r="W129" i="11"/>
  <c r="X129" i="11"/>
  <c r="Z129" i="11"/>
  <c r="N265" i="11"/>
  <c r="X265" i="11"/>
  <c r="U265" i="11"/>
  <c r="Y265" i="11"/>
  <c r="Z265" i="11"/>
  <c r="V265" i="11"/>
  <c r="W265" i="11"/>
  <c r="V1095" i="11"/>
  <c r="W1095" i="11"/>
  <c r="X1095" i="11"/>
  <c r="Y1095" i="11"/>
  <c r="Z1095" i="11"/>
  <c r="U1095" i="11"/>
  <c r="W793" i="11"/>
  <c r="X793" i="11"/>
  <c r="Y793" i="11"/>
  <c r="Z793" i="11"/>
  <c r="U793" i="11"/>
  <c r="V793" i="11"/>
  <c r="N687" i="11"/>
  <c r="X687" i="11"/>
  <c r="U687" i="11"/>
  <c r="W687" i="11"/>
  <c r="Y687" i="11"/>
  <c r="Z687" i="11"/>
  <c r="V687" i="11"/>
  <c r="N567" i="11"/>
  <c r="X567" i="11"/>
  <c r="Y567" i="11"/>
  <c r="U567" i="11"/>
  <c r="V567" i="11"/>
  <c r="W567" i="11"/>
  <c r="Z567" i="11"/>
  <c r="N437" i="11"/>
  <c r="Y437" i="11"/>
  <c r="Z437" i="11"/>
  <c r="U437" i="11"/>
  <c r="X437" i="11"/>
  <c r="V437" i="11"/>
  <c r="W437" i="11"/>
  <c r="N99" i="11"/>
  <c r="W99" i="11"/>
  <c r="X99" i="11"/>
  <c r="Y99" i="11"/>
  <c r="U99" i="11"/>
  <c r="Z99" i="11"/>
  <c r="V99" i="11"/>
  <c r="X1273" i="11"/>
  <c r="Y1273" i="11"/>
  <c r="V1273" i="11"/>
  <c r="W1273" i="11"/>
  <c r="Z1273" i="11"/>
  <c r="U1273" i="11"/>
  <c r="V1107" i="11"/>
  <c r="W1107" i="11"/>
  <c r="X1107" i="11"/>
  <c r="Y1107" i="11"/>
  <c r="Z1107" i="11"/>
  <c r="U1107" i="11"/>
  <c r="X1255" i="11"/>
  <c r="U1255" i="11"/>
  <c r="W1255" i="11"/>
  <c r="Z1255" i="11"/>
  <c r="V1255" i="11"/>
  <c r="Y1255" i="11"/>
  <c r="Z987" i="11"/>
  <c r="V987" i="11"/>
  <c r="W987" i="11"/>
  <c r="X987" i="11"/>
  <c r="Y987" i="11"/>
  <c r="U987" i="11"/>
  <c r="Y771" i="11"/>
  <c r="Z771" i="11"/>
  <c r="U771" i="11"/>
  <c r="V771" i="11"/>
  <c r="W771" i="11"/>
  <c r="X771" i="11"/>
  <c r="X677" i="11"/>
  <c r="Y677" i="11"/>
  <c r="U677" i="11"/>
  <c r="V677" i="11"/>
  <c r="W677" i="11"/>
  <c r="Z677" i="11"/>
  <c r="Y511" i="11"/>
  <c r="U511" i="11"/>
  <c r="V511" i="11"/>
  <c r="X511" i="11"/>
  <c r="Z511" i="11"/>
  <c r="W511" i="11"/>
  <c r="N471" i="11"/>
  <c r="U471" i="11"/>
  <c r="Y471" i="11"/>
  <c r="Z471" i="11"/>
  <c r="V471" i="11"/>
  <c r="W471" i="11"/>
  <c r="X471" i="11"/>
  <c r="Y315" i="11"/>
  <c r="U315" i="11"/>
  <c r="V315" i="11"/>
  <c r="W315" i="11"/>
  <c r="Z315" i="11"/>
  <c r="X315" i="11"/>
  <c r="N1010" i="11"/>
  <c r="V1010" i="11"/>
  <c r="Z1010" i="11"/>
  <c r="U1010" i="11"/>
  <c r="Y1010" i="11"/>
  <c r="W1010" i="11"/>
  <c r="X1010" i="11"/>
  <c r="W855" i="11"/>
  <c r="X855" i="11"/>
  <c r="Y855" i="11"/>
  <c r="Z855" i="11"/>
  <c r="U855" i="11"/>
  <c r="V855" i="11"/>
  <c r="N745" i="11"/>
  <c r="U745" i="11"/>
  <c r="V745" i="11"/>
  <c r="Y745" i="11"/>
  <c r="Z745" i="11"/>
  <c r="W745" i="11"/>
  <c r="X745" i="11"/>
  <c r="Y398" i="11"/>
  <c r="U398" i="11"/>
  <c r="V398" i="11"/>
  <c r="W398" i="11"/>
  <c r="X398" i="11"/>
  <c r="Z398" i="11"/>
  <c r="N195" i="11"/>
  <c r="U195" i="11"/>
  <c r="W195" i="11"/>
  <c r="X195" i="11"/>
  <c r="Y195" i="11"/>
  <c r="Z195" i="11"/>
  <c r="V195" i="11"/>
  <c r="N83" i="11"/>
  <c r="Y83" i="11"/>
  <c r="U83" i="11"/>
  <c r="V83" i="11"/>
  <c r="W83" i="11"/>
  <c r="Z83" i="11"/>
  <c r="X83" i="11"/>
  <c r="W72" i="11"/>
  <c r="X72" i="11"/>
  <c r="Y72" i="11"/>
  <c r="U72" i="11"/>
  <c r="V72" i="11"/>
  <c r="Z72" i="11"/>
  <c r="N24" i="11"/>
  <c r="Y24" i="11"/>
  <c r="U24" i="11"/>
  <c r="V24" i="11"/>
  <c r="W24" i="11"/>
  <c r="X24" i="11"/>
  <c r="Z24" i="11"/>
  <c r="N1082" i="11"/>
  <c r="U1082" i="11"/>
  <c r="V1082" i="11"/>
  <c r="W1082" i="11"/>
  <c r="X1082" i="11"/>
  <c r="Y1082" i="11"/>
  <c r="Z1082" i="11"/>
  <c r="N803" i="11"/>
  <c r="U803" i="11"/>
  <c r="V803" i="11"/>
  <c r="Y803" i="11"/>
  <c r="Z803" i="11"/>
  <c r="W803" i="11"/>
  <c r="X803" i="11"/>
  <c r="N618" i="11"/>
  <c r="V618" i="11"/>
  <c r="W618" i="11"/>
  <c r="Z618" i="11"/>
  <c r="U618" i="11"/>
  <c r="X618" i="11"/>
  <c r="Y618" i="11"/>
  <c r="W395" i="11"/>
  <c r="X395" i="11"/>
  <c r="Y395" i="11"/>
  <c r="U395" i="11"/>
  <c r="V395" i="11"/>
  <c r="Z395" i="11"/>
  <c r="Z1081" i="11"/>
  <c r="U1081" i="11"/>
  <c r="V1081" i="11"/>
  <c r="W1081" i="11"/>
  <c r="X1081" i="11"/>
  <c r="Y1081" i="11"/>
  <c r="X635" i="11"/>
  <c r="Y635" i="11"/>
  <c r="Z635" i="11"/>
  <c r="U635" i="11"/>
  <c r="V635" i="11"/>
  <c r="W635" i="11"/>
  <c r="Y870" i="11"/>
  <c r="Z870" i="11"/>
  <c r="U870" i="11"/>
  <c r="V870" i="11"/>
  <c r="W870" i="11"/>
  <c r="X870" i="11"/>
  <c r="N1061" i="11"/>
  <c r="Z1061" i="11"/>
  <c r="V1061" i="11"/>
  <c r="W1061" i="11"/>
  <c r="Y1061" i="11"/>
  <c r="U1061" i="11"/>
  <c r="X1061" i="11"/>
  <c r="W867" i="11"/>
  <c r="X867" i="11"/>
  <c r="Y867" i="11"/>
  <c r="Z867" i="11"/>
  <c r="U867" i="11"/>
  <c r="V867" i="11"/>
  <c r="V239" i="11"/>
  <c r="Y239" i="11"/>
  <c r="Z239" i="11"/>
  <c r="X239" i="11"/>
  <c r="U239" i="11"/>
  <c r="W239" i="11"/>
  <c r="Y390" i="11"/>
  <c r="U390" i="11"/>
  <c r="V390" i="11"/>
  <c r="W390" i="11"/>
  <c r="X390" i="11"/>
  <c r="Z390" i="11"/>
  <c r="X240" i="11"/>
  <c r="U240" i="11"/>
  <c r="V240" i="11"/>
  <c r="Z240" i="11"/>
  <c r="W240" i="11"/>
  <c r="Y240" i="11"/>
  <c r="N396" i="11"/>
  <c r="U396" i="11"/>
  <c r="Y396" i="11"/>
  <c r="Z396" i="11"/>
  <c r="V396" i="11"/>
  <c r="W396" i="11"/>
  <c r="X396" i="11"/>
  <c r="W326" i="11"/>
  <c r="Z326" i="11"/>
  <c r="U326" i="11"/>
  <c r="X326" i="11"/>
  <c r="Y326" i="11"/>
  <c r="V326" i="11"/>
  <c r="W213" i="11"/>
  <c r="X213" i="11"/>
  <c r="Y213" i="11"/>
  <c r="Z213" i="11"/>
  <c r="U213" i="11"/>
  <c r="V213" i="11"/>
  <c r="Z1048" i="11"/>
  <c r="V1048" i="11"/>
  <c r="W1048" i="11"/>
  <c r="Y1048" i="11"/>
  <c r="U1048" i="11"/>
  <c r="X1048" i="11"/>
  <c r="V254" i="11"/>
  <c r="Y254" i="11"/>
  <c r="Z254" i="11"/>
  <c r="W254" i="11"/>
  <c r="X254" i="11"/>
  <c r="U254" i="11"/>
  <c r="W230" i="11"/>
  <c r="X230" i="11"/>
  <c r="Y230" i="11"/>
  <c r="Z230" i="11"/>
  <c r="V230" i="11"/>
  <c r="U230" i="11"/>
  <c r="N1214" i="11"/>
  <c r="V1214" i="11"/>
  <c r="Z1214" i="11"/>
  <c r="U1214" i="11"/>
  <c r="W1214" i="11"/>
  <c r="X1214" i="11"/>
  <c r="Y1214" i="11"/>
  <c r="N1217" i="11"/>
  <c r="X1217" i="11"/>
  <c r="Y1217" i="11"/>
  <c r="U1217" i="11"/>
  <c r="V1217" i="11"/>
  <c r="W1217" i="11"/>
  <c r="Z1217" i="11"/>
  <c r="N1014" i="11"/>
  <c r="V1014" i="11"/>
  <c r="Z1014" i="11"/>
  <c r="U1014" i="11"/>
  <c r="W1014" i="11"/>
  <c r="X1014" i="11"/>
  <c r="Y1014" i="11"/>
  <c r="N1218" i="11"/>
  <c r="V1218" i="11"/>
  <c r="Z1218" i="11"/>
  <c r="U1218" i="11"/>
  <c r="X1218" i="11"/>
  <c r="W1218" i="11"/>
  <c r="Y1218" i="11"/>
  <c r="N1092" i="11"/>
  <c r="X1092" i="11"/>
  <c r="Y1092" i="11"/>
  <c r="Z1092" i="11"/>
  <c r="U1092" i="11"/>
  <c r="V1092" i="11"/>
  <c r="W1092" i="11"/>
  <c r="N885" i="11"/>
  <c r="W885" i="11"/>
  <c r="X885" i="11"/>
  <c r="U885" i="11"/>
  <c r="V885" i="11"/>
  <c r="Y885" i="11"/>
  <c r="Z885" i="11"/>
  <c r="N748" i="11"/>
  <c r="W748" i="11"/>
  <c r="X748" i="11"/>
  <c r="Y748" i="11"/>
  <c r="Z748" i="11"/>
  <c r="U748" i="11"/>
  <c r="V748" i="11"/>
  <c r="N708" i="11"/>
  <c r="X708" i="11"/>
  <c r="U708" i="11"/>
  <c r="W708" i="11"/>
  <c r="V708" i="11"/>
  <c r="Y708" i="11"/>
  <c r="Z708" i="11"/>
  <c r="N709" i="11"/>
  <c r="Z709" i="11"/>
  <c r="V709" i="11"/>
  <c r="W709" i="11"/>
  <c r="Y709" i="11"/>
  <c r="U709" i="11"/>
  <c r="X709" i="11"/>
  <c r="N575" i="11"/>
  <c r="X575" i="11"/>
  <c r="Y575" i="11"/>
  <c r="U575" i="11"/>
  <c r="V575" i="11"/>
  <c r="W575" i="11"/>
  <c r="Z575" i="11"/>
  <c r="N492" i="11"/>
  <c r="U492" i="11"/>
  <c r="Y492" i="11"/>
  <c r="Z492" i="11"/>
  <c r="V492" i="11"/>
  <c r="W492" i="11"/>
  <c r="X492" i="11"/>
  <c r="N964" i="11"/>
  <c r="U964" i="11"/>
  <c r="X964" i="11"/>
  <c r="Y964" i="11"/>
  <c r="Z964" i="11"/>
  <c r="V964" i="11"/>
  <c r="W964" i="11"/>
  <c r="N442" i="11"/>
  <c r="V442" i="11"/>
  <c r="W442" i="11"/>
  <c r="U442" i="11"/>
  <c r="Z442" i="11"/>
  <c r="X442" i="11"/>
  <c r="Y442" i="11"/>
  <c r="N538" i="11"/>
  <c r="U538" i="11"/>
  <c r="Y538" i="11"/>
  <c r="Z538" i="11"/>
  <c r="V538" i="11"/>
  <c r="W538" i="11"/>
  <c r="X538" i="11"/>
  <c r="N513" i="11"/>
  <c r="U513" i="11"/>
  <c r="Y513" i="11"/>
  <c r="Z513" i="11"/>
  <c r="V513" i="11"/>
  <c r="W513" i="11"/>
  <c r="X513" i="11"/>
  <c r="N112" i="11"/>
  <c r="Y112" i="11"/>
  <c r="U112" i="11"/>
  <c r="V112" i="11"/>
  <c r="W112" i="11"/>
  <c r="Z112" i="11"/>
  <c r="X112" i="11"/>
  <c r="N50" i="11"/>
  <c r="Y50" i="11"/>
  <c r="U50" i="11"/>
  <c r="V50" i="11"/>
  <c r="W50" i="11"/>
  <c r="X50" i="11"/>
  <c r="Z50" i="11"/>
  <c r="N568" i="11"/>
  <c r="Z568" i="11"/>
  <c r="V568" i="11"/>
  <c r="W568" i="11"/>
  <c r="X568" i="11"/>
  <c r="Y568" i="11"/>
  <c r="U568" i="11"/>
  <c r="N206" i="11"/>
  <c r="V206" i="11"/>
  <c r="Y206" i="11"/>
  <c r="Z206" i="11"/>
  <c r="X206" i="11"/>
  <c r="U206" i="11"/>
  <c r="W206" i="11"/>
  <c r="N124" i="11"/>
  <c r="W124" i="11"/>
  <c r="U124" i="11"/>
  <c r="Y124" i="11"/>
  <c r="V124" i="11"/>
  <c r="X124" i="11"/>
  <c r="Z124" i="11"/>
  <c r="N54" i="11"/>
  <c r="W54" i="11"/>
  <c r="U54" i="11"/>
  <c r="Y54" i="11"/>
  <c r="V54" i="11"/>
  <c r="X54" i="11"/>
  <c r="Z54" i="11"/>
  <c r="N183" i="11"/>
  <c r="Y183" i="11"/>
  <c r="U183" i="11"/>
  <c r="Z183" i="11"/>
  <c r="V183" i="11"/>
  <c r="W183" i="11"/>
  <c r="X183" i="11"/>
  <c r="N27" i="11"/>
  <c r="W27" i="11"/>
  <c r="U27" i="11"/>
  <c r="Y27" i="11"/>
  <c r="V27" i="11"/>
  <c r="X27" i="11"/>
  <c r="Z27" i="11"/>
  <c r="N106" i="11"/>
  <c r="W106" i="11"/>
  <c r="U106" i="11"/>
  <c r="X106" i="11"/>
  <c r="Y106" i="11"/>
  <c r="Z106" i="11"/>
  <c r="V106" i="11"/>
  <c r="N13" i="11"/>
  <c r="W13" i="11"/>
  <c r="U13" i="11"/>
  <c r="X13" i="11"/>
  <c r="Y13" i="11"/>
  <c r="Z13" i="11"/>
  <c r="V13" i="11"/>
  <c r="N198" i="11"/>
  <c r="X198" i="11"/>
  <c r="U198" i="11"/>
  <c r="V198" i="11"/>
  <c r="Y198" i="11"/>
  <c r="W198" i="11"/>
  <c r="Z198" i="11"/>
  <c r="N128" i="11"/>
  <c r="W128" i="11"/>
  <c r="U128" i="11"/>
  <c r="X128" i="11"/>
  <c r="Y128" i="11"/>
  <c r="Z128" i="11"/>
  <c r="V128" i="11"/>
  <c r="N53" i="11"/>
  <c r="U53" i="11"/>
  <c r="Y53" i="11"/>
  <c r="Z53" i="11"/>
  <c r="V53" i="11"/>
  <c r="W53" i="11"/>
  <c r="X53" i="11"/>
  <c r="N102" i="11"/>
  <c r="W102" i="11"/>
  <c r="U102" i="11"/>
  <c r="Y102" i="11"/>
  <c r="V102" i="11"/>
  <c r="X102" i="11"/>
  <c r="Z102" i="11"/>
  <c r="V1209" i="11"/>
  <c r="Z1209" i="11"/>
  <c r="U1209" i="11"/>
  <c r="X1209" i="11"/>
  <c r="W1209" i="11"/>
  <c r="Y1209" i="11"/>
  <c r="N1248" i="11"/>
  <c r="Z1248" i="11"/>
  <c r="V1248" i="11"/>
  <c r="W1248" i="11"/>
  <c r="Y1248" i="11"/>
  <c r="U1248" i="11"/>
  <c r="X1248" i="11"/>
  <c r="N1268" i="11"/>
  <c r="Z1268" i="11"/>
  <c r="V1268" i="11"/>
  <c r="W1268" i="11"/>
  <c r="Y1268" i="11"/>
  <c r="U1268" i="11"/>
  <c r="X1268" i="11"/>
  <c r="N1231" i="11"/>
  <c r="X1231" i="11"/>
  <c r="U1231" i="11"/>
  <c r="W1231" i="11"/>
  <c r="Z1231" i="11"/>
  <c r="V1231" i="11"/>
  <c r="Y1231" i="11"/>
  <c r="Z891" i="11"/>
  <c r="U891" i="11"/>
  <c r="V891" i="11"/>
  <c r="W891" i="11"/>
  <c r="X891" i="11"/>
  <c r="Y891" i="11"/>
  <c r="W800" i="11"/>
  <c r="X800" i="11"/>
  <c r="U800" i="11"/>
  <c r="V800" i="11"/>
  <c r="Y800" i="11"/>
  <c r="Z800" i="11"/>
  <c r="N990" i="11"/>
  <c r="X990" i="11"/>
  <c r="U990" i="11"/>
  <c r="V990" i="11"/>
  <c r="W990" i="11"/>
  <c r="Z990" i="11"/>
  <c r="Y990" i="11"/>
  <c r="V920" i="11"/>
  <c r="W920" i="11"/>
  <c r="Z920" i="11"/>
  <c r="U920" i="11"/>
  <c r="X920" i="11"/>
  <c r="Y920" i="11"/>
  <c r="U955" i="11"/>
  <c r="X955" i="11"/>
  <c r="Y955" i="11"/>
  <c r="Z955" i="11"/>
  <c r="W955" i="11"/>
  <c r="V955" i="11"/>
  <c r="W865" i="11"/>
  <c r="X865" i="11"/>
  <c r="U865" i="11"/>
  <c r="V865" i="11"/>
  <c r="Y865" i="11"/>
  <c r="Z865" i="11"/>
  <c r="U778" i="11"/>
  <c r="V778" i="11"/>
  <c r="Y778" i="11"/>
  <c r="Z778" i="11"/>
  <c r="W778" i="11"/>
  <c r="X778" i="11"/>
  <c r="N716" i="11"/>
  <c r="X716" i="11"/>
  <c r="U716" i="11"/>
  <c r="W716" i="11"/>
  <c r="V716" i="11"/>
  <c r="Y716" i="11"/>
  <c r="Z716" i="11"/>
  <c r="Z256" i="11"/>
  <c r="U256" i="11"/>
  <c r="V256" i="11"/>
  <c r="W256" i="11"/>
  <c r="X256" i="11"/>
  <c r="Y256" i="11"/>
  <c r="Z991" i="11"/>
  <c r="V991" i="11"/>
  <c r="W991" i="11"/>
  <c r="X991" i="11"/>
  <c r="Y991" i="11"/>
  <c r="U991" i="11"/>
  <c r="Z922" i="11"/>
  <c r="V922" i="11"/>
  <c r="W922" i="11"/>
  <c r="X922" i="11"/>
  <c r="Y922" i="11"/>
  <c r="U922" i="11"/>
  <c r="N862" i="11"/>
  <c r="Y862" i="11"/>
  <c r="Z862" i="11"/>
  <c r="U862" i="11"/>
  <c r="V862" i="11"/>
  <c r="W862" i="11"/>
  <c r="X862" i="11"/>
  <c r="X639" i="11"/>
  <c r="Y639" i="11"/>
  <c r="U639" i="11"/>
  <c r="V639" i="11"/>
  <c r="W639" i="11"/>
  <c r="Z639" i="11"/>
  <c r="N518" i="11"/>
  <c r="W518" i="11"/>
  <c r="V518" i="11"/>
  <c r="U518" i="11"/>
  <c r="X518" i="11"/>
  <c r="Y518" i="11"/>
  <c r="Z518" i="11"/>
  <c r="V328" i="11"/>
  <c r="W328" i="11"/>
  <c r="X328" i="11"/>
  <c r="Y328" i="11"/>
  <c r="U328" i="11"/>
  <c r="Z328" i="11"/>
  <c r="V288" i="11"/>
  <c r="W288" i="11"/>
  <c r="X288" i="11"/>
  <c r="Y288" i="11"/>
  <c r="U288" i="11"/>
  <c r="Z288" i="11"/>
  <c r="Y469" i="11"/>
  <c r="U469" i="11"/>
  <c r="V469" i="11"/>
  <c r="X469" i="11"/>
  <c r="Z469" i="11"/>
  <c r="W469" i="11"/>
  <c r="W362" i="11"/>
  <c r="X362" i="11"/>
  <c r="Y362" i="11"/>
  <c r="U362" i="11"/>
  <c r="V362" i="11"/>
  <c r="Z362" i="11"/>
  <c r="N303" i="11"/>
  <c r="Y303" i="11"/>
  <c r="U303" i="11"/>
  <c r="V303" i="11"/>
  <c r="W303" i="11"/>
  <c r="X303" i="11"/>
  <c r="Z303" i="11"/>
  <c r="V246" i="11"/>
  <c r="Y246" i="11"/>
  <c r="Z246" i="11"/>
  <c r="U246" i="11"/>
  <c r="W246" i="11"/>
  <c r="X246" i="11"/>
  <c r="N749" i="11"/>
  <c r="U749" i="11"/>
  <c r="V749" i="11"/>
  <c r="Y749" i="11"/>
  <c r="Z749" i="11"/>
  <c r="W749" i="11"/>
  <c r="X749" i="11"/>
  <c r="W875" i="11"/>
  <c r="X875" i="11"/>
  <c r="Y875" i="11"/>
  <c r="Z875" i="11"/>
  <c r="U875" i="11"/>
  <c r="V875" i="11"/>
  <c r="N725" i="11"/>
  <c r="U725" i="11"/>
  <c r="V725" i="11"/>
  <c r="Y725" i="11"/>
  <c r="Z725" i="11"/>
  <c r="W725" i="11"/>
  <c r="X725" i="11"/>
  <c r="N551" i="11"/>
  <c r="Y551" i="11"/>
  <c r="Z551" i="11"/>
  <c r="U551" i="11"/>
  <c r="V551" i="11"/>
  <c r="W551" i="11"/>
  <c r="X551" i="11"/>
  <c r="N422" i="11"/>
  <c r="U422" i="11"/>
  <c r="V422" i="11"/>
  <c r="W422" i="11"/>
  <c r="X422" i="11"/>
  <c r="Y422" i="11"/>
  <c r="Z422" i="11"/>
  <c r="N329" i="11"/>
  <c r="U329" i="11"/>
  <c r="X329" i="11"/>
  <c r="Y329" i="11"/>
  <c r="Z329" i="11"/>
  <c r="V329" i="11"/>
  <c r="W329" i="11"/>
  <c r="N289" i="11"/>
  <c r="U289" i="11"/>
  <c r="X289" i="11"/>
  <c r="Y289" i="11"/>
  <c r="Z289" i="11"/>
  <c r="V289" i="11"/>
  <c r="W289" i="11"/>
  <c r="X1058" i="11"/>
  <c r="Y1058" i="11"/>
  <c r="U1058" i="11"/>
  <c r="V1058" i="11"/>
  <c r="W1058" i="11"/>
  <c r="Z1058" i="11"/>
  <c r="Z983" i="11"/>
  <c r="V983" i="11"/>
  <c r="W983" i="11"/>
  <c r="X983" i="11"/>
  <c r="Y983" i="11"/>
  <c r="U983" i="11"/>
  <c r="N894" i="11"/>
  <c r="X894" i="11"/>
  <c r="Y894" i="11"/>
  <c r="Z894" i="11"/>
  <c r="U894" i="11"/>
  <c r="V894" i="11"/>
  <c r="W894" i="11"/>
  <c r="N676" i="11"/>
  <c r="Z676" i="11"/>
  <c r="V676" i="11"/>
  <c r="W676" i="11"/>
  <c r="Y676" i="11"/>
  <c r="U676" i="11"/>
  <c r="X676" i="11"/>
  <c r="N510" i="11"/>
  <c r="W510" i="11"/>
  <c r="V510" i="11"/>
  <c r="U510" i="11"/>
  <c r="X510" i="11"/>
  <c r="Y510" i="11"/>
  <c r="Z510" i="11"/>
  <c r="X279" i="11"/>
  <c r="V279" i="11"/>
  <c r="W279" i="11"/>
  <c r="Y279" i="11"/>
  <c r="Z279" i="11"/>
  <c r="U279" i="11"/>
  <c r="W221" i="11"/>
  <c r="X221" i="11"/>
  <c r="Y221" i="11"/>
  <c r="Z221" i="11"/>
  <c r="U221" i="11"/>
  <c r="V221" i="11"/>
  <c r="N193" i="11"/>
  <c r="Y193" i="11"/>
  <c r="U193" i="11"/>
  <c r="X193" i="11"/>
  <c r="Z193" i="11"/>
  <c r="W193" i="11"/>
  <c r="V193" i="11"/>
  <c r="N55" i="11"/>
  <c r="Y55" i="11"/>
  <c r="U55" i="11"/>
  <c r="V55" i="11"/>
  <c r="W55" i="11"/>
  <c r="Z55" i="11"/>
  <c r="X55" i="11"/>
  <c r="Z1211" i="11"/>
  <c r="V1211" i="11"/>
  <c r="W1211" i="11"/>
  <c r="Y1211" i="11"/>
  <c r="X1211" i="11"/>
  <c r="U1211" i="11"/>
  <c r="X1084" i="11"/>
  <c r="Y1084" i="11"/>
  <c r="Z1084" i="11"/>
  <c r="U1084" i="11"/>
  <c r="V1084" i="11"/>
  <c r="W1084" i="11"/>
  <c r="Y837" i="11"/>
  <c r="Z837" i="11"/>
  <c r="U837" i="11"/>
  <c r="V837" i="11"/>
  <c r="W837" i="11"/>
  <c r="X837" i="11"/>
  <c r="N621" i="11"/>
  <c r="U621" i="11"/>
  <c r="X621" i="11"/>
  <c r="Y621" i="11"/>
  <c r="Z621" i="11"/>
  <c r="V621" i="11"/>
  <c r="W621" i="11"/>
  <c r="U380" i="11"/>
  <c r="Y380" i="11"/>
  <c r="Z380" i="11"/>
  <c r="V380" i="11"/>
  <c r="W380" i="11"/>
  <c r="X380" i="11"/>
  <c r="Y523" i="11"/>
  <c r="U523" i="11"/>
  <c r="V523" i="11"/>
  <c r="X523" i="11"/>
  <c r="W523" i="11"/>
  <c r="Z523" i="11"/>
  <c r="W393" i="11"/>
  <c r="U393" i="11"/>
  <c r="V393" i="11"/>
  <c r="X393" i="11"/>
  <c r="Y393" i="11"/>
  <c r="Z393" i="11"/>
  <c r="X631" i="11"/>
  <c r="Y631" i="11"/>
  <c r="Z631" i="11"/>
  <c r="U631" i="11"/>
  <c r="V631" i="11"/>
  <c r="W631" i="11"/>
  <c r="V1173" i="11"/>
  <c r="Z1173" i="11"/>
  <c r="U1173" i="11"/>
  <c r="W1173" i="11"/>
  <c r="X1173" i="11"/>
  <c r="Y1173" i="11"/>
  <c r="Y465" i="11"/>
  <c r="U465" i="11"/>
  <c r="V465" i="11"/>
  <c r="X465" i="11"/>
  <c r="W465" i="11"/>
  <c r="Z465" i="11"/>
  <c r="N1035" i="11"/>
  <c r="X1035" i="11"/>
  <c r="U1035" i="11"/>
  <c r="W1035" i="11"/>
  <c r="V1035" i="11"/>
  <c r="Y1035" i="11"/>
  <c r="Z1035" i="11"/>
  <c r="N530" i="11"/>
  <c r="W530" i="11"/>
  <c r="V530" i="11"/>
  <c r="X530" i="11"/>
  <c r="Y530" i="11"/>
  <c r="Z530" i="11"/>
  <c r="U530" i="11"/>
  <c r="X1257" i="11"/>
  <c r="Y1257" i="11"/>
  <c r="U1257" i="11"/>
  <c r="V1257" i="11"/>
  <c r="W1257" i="11"/>
  <c r="Z1257" i="11"/>
  <c r="W879" i="11"/>
  <c r="X879" i="11"/>
  <c r="Y879" i="11"/>
  <c r="Z879" i="11"/>
  <c r="U879" i="11"/>
  <c r="V879" i="11"/>
  <c r="X660" i="11"/>
  <c r="Y660" i="11"/>
  <c r="U660" i="11"/>
  <c r="V660" i="11"/>
  <c r="W660" i="11"/>
  <c r="Z660" i="11"/>
  <c r="X1271" i="11"/>
  <c r="U1271" i="11"/>
  <c r="W1271" i="11"/>
  <c r="Z1271" i="11"/>
  <c r="V1271" i="11"/>
  <c r="Y1271" i="11"/>
  <c r="W859" i="11"/>
  <c r="X859" i="11"/>
  <c r="Y859" i="11"/>
  <c r="Z859" i="11"/>
  <c r="U859" i="11"/>
  <c r="V859" i="11"/>
  <c r="W385" i="11"/>
  <c r="U385" i="11"/>
  <c r="V385" i="11"/>
  <c r="X385" i="11"/>
  <c r="Y385" i="11"/>
  <c r="Z385" i="11"/>
  <c r="V1091" i="11"/>
  <c r="W1091" i="11"/>
  <c r="X1091" i="11"/>
  <c r="Y1091" i="11"/>
  <c r="Z1091" i="11"/>
  <c r="U1091" i="11"/>
  <c r="X714" i="11"/>
  <c r="Y714" i="11"/>
  <c r="U714" i="11"/>
  <c r="V714" i="11"/>
  <c r="W714" i="11"/>
  <c r="Z714" i="11"/>
  <c r="N163" i="11"/>
  <c r="U163" i="11"/>
  <c r="X163" i="11"/>
  <c r="Y163" i="11"/>
  <c r="Z163" i="11"/>
  <c r="V163" i="11"/>
  <c r="W163" i="11"/>
  <c r="L1294" i="11"/>
  <c r="N1239" i="11"/>
  <c r="X1239" i="11"/>
  <c r="U1239" i="11"/>
  <c r="W1239" i="11"/>
  <c r="Z1239" i="11"/>
  <c r="V1239" i="11"/>
  <c r="Y1239" i="11"/>
  <c r="W785" i="11"/>
  <c r="X785" i="11"/>
  <c r="Y785" i="11"/>
  <c r="Z785" i="11"/>
  <c r="U785" i="11"/>
  <c r="V785" i="11"/>
  <c r="W387" i="11"/>
  <c r="X387" i="11"/>
  <c r="Y387" i="11"/>
  <c r="U387" i="11"/>
  <c r="V387" i="11"/>
  <c r="Z387" i="11"/>
  <c r="N305" i="11"/>
  <c r="U305" i="11"/>
  <c r="X305" i="11"/>
  <c r="Y305" i="11"/>
  <c r="Z305" i="11"/>
  <c r="V305" i="11"/>
  <c r="W305" i="11"/>
  <c r="N57" i="11"/>
  <c r="W57" i="11"/>
  <c r="X57" i="11"/>
  <c r="Y57" i="11"/>
  <c r="U57" i="11"/>
  <c r="V57" i="11"/>
  <c r="Z57" i="11"/>
  <c r="X1043" i="11"/>
  <c r="U1043" i="11"/>
  <c r="W1043" i="11"/>
  <c r="V1043" i="11"/>
  <c r="Y1043" i="11"/>
  <c r="Z1043" i="11"/>
  <c r="N444" i="11"/>
  <c r="W444" i="11"/>
  <c r="U444" i="11"/>
  <c r="V444" i="11"/>
  <c r="Z444" i="11"/>
  <c r="X444" i="11"/>
  <c r="Y444" i="11"/>
  <c r="N125" i="11"/>
  <c r="Y125" i="11"/>
  <c r="U125" i="11"/>
  <c r="V125" i="11"/>
  <c r="W125" i="11"/>
  <c r="Z125" i="11"/>
  <c r="X125" i="11"/>
  <c r="N190" i="11"/>
  <c r="U190" i="11"/>
  <c r="Y190" i="11"/>
  <c r="V190" i="11"/>
  <c r="Z190" i="11"/>
  <c r="W190" i="11"/>
  <c r="X190" i="11"/>
  <c r="N1143" i="11"/>
  <c r="X1143" i="11"/>
  <c r="Y1143" i="11"/>
  <c r="U1143" i="11"/>
  <c r="V1143" i="11"/>
  <c r="Z1143" i="11"/>
  <c r="W1143" i="11"/>
  <c r="N931" i="11"/>
  <c r="U931" i="11"/>
  <c r="X931" i="11"/>
  <c r="Y931" i="11"/>
  <c r="Z931" i="11"/>
  <c r="V931" i="11"/>
  <c r="W931" i="11"/>
  <c r="N1288" i="11"/>
  <c r="Z1288" i="11"/>
  <c r="V1288" i="11"/>
  <c r="W1288" i="11"/>
  <c r="Y1288" i="11"/>
  <c r="U1288" i="11"/>
  <c r="X1288" i="11"/>
  <c r="W818" i="11"/>
  <c r="X818" i="11"/>
  <c r="Y818" i="11"/>
  <c r="Z818" i="11"/>
  <c r="U818" i="11"/>
  <c r="V818" i="11"/>
  <c r="Z971" i="11"/>
  <c r="V971" i="11"/>
  <c r="W971" i="11"/>
  <c r="X971" i="11"/>
  <c r="Y971" i="11"/>
  <c r="U971" i="11"/>
  <c r="N1127" i="11"/>
  <c r="U1127" i="11"/>
  <c r="W1127" i="11"/>
  <c r="X1127" i="11"/>
  <c r="Y1127" i="11"/>
  <c r="Z1127" i="11"/>
  <c r="V1127" i="11"/>
  <c r="N1030" i="11"/>
  <c r="V1030" i="11"/>
  <c r="Z1030" i="11"/>
  <c r="U1030" i="11"/>
  <c r="W1030" i="11"/>
  <c r="X1030" i="11"/>
  <c r="Y1030" i="11"/>
  <c r="N1027" i="11"/>
  <c r="X1027" i="11"/>
  <c r="U1027" i="11"/>
  <c r="W1027" i="11"/>
  <c r="V1027" i="11"/>
  <c r="Y1027" i="11"/>
  <c r="Z1027" i="11"/>
  <c r="N869" i="11"/>
  <c r="W869" i="11"/>
  <c r="X869" i="11"/>
  <c r="U869" i="11"/>
  <c r="V869" i="11"/>
  <c r="Y869" i="11"/>
  <c r="Z869" i="11"/>
  <c r="N729" i="11"/>
  <c r="U729" i="11"/>
  <c r="V729" i="11"/>
  <c r="Y729" i="11"/>
  <c r="Z729" i="11"/>
  <c r="W729" i="11"/>
  <c r="X729" i="11"/>
  <c r="N925" i="11"/>
  <c r="X925" i="11"/>
  <c r="Y925" i="11"/>
  <c r="U925" i="11"/>
  <c r="V925" i="11"/>
  <c r="W925" i="11"/>
  <c r="Z925" i="11"/>
  <c r="N662" i="11"/>
  <c r="X662" i="11"/>
  <c r="U662" i="11"/>
  <c r="W662" i="11"/>
  <c r="Y662" i="11"/>
  <c r="Z662" i="11"/>
  <c r="V662" i="11"/>
  <c r="N591" i="11"/>
  <c r="X591" i="11"/>
  <c r="Y591" i="11"/>
  <c r="U591" i="11"/>
  <c r="V591" i="11"/>
  <c r="W591" i="11"/>
  <c r="Z591" i="11"/>
  <c r="N868" i="11"/>
  <c r="U868" i="11"/>
  <c r="V868" i="11"/>
  <c r="Y868" i="11"/>
  <c r="Z868" i="11"/>
  <c r="W868" i="11"/>
  <c r="X868" i="11"/>
  <c r="N415" i="11"/>
  <c r="Y415" i="11"/>
  <c r="U415" i="11"/>
  <c r="X415" i="11"/>
  <c r="Z415" i="11"/>
  <c r="V415" i="11"/>
  <c r="W415" i="11"/>
  <c r="N757" i="11"/>
  <c r="U757" i="11"/>
  <c r="V757" i="11"/>
  <c r="Y757" i="11"/>
  <c r="Z757" i="11"/>
  <c r="W757" i="11"/>
  <c r="X757" i="11"/>
  <c r="N571" i="11"/>
  <c r="X571" i="11"/>
  <c r="Y571" i="11"/>
  <c r="U571" i="11"/>
  <c r="V571" i="11"/>
  <c r="W571" i="11"/>
  <c r="Z571" i="11"/>
  <c r="N554" i="11"/>
  <c r="X554" i="11"/>
  <c r="Y554" i="11"/>
  <c r="U554" i="11"/>
  <c r="V554" i="11"/>
  <c r="W554" i="11"/>
  <c r="Z554" i="11"/>
  <c r="N447" i="11"/>
  <c r="Y447" i="11"/>
  <c r="U447" i="11"/>
  <c r="X447" i="11"/>
  <c r="Z447" i="11"/>
  <c r="V447" i="11"/>
  <c r="W447" i="11"/>
  <c r="N433" i="11"/>
  <c r="Y433" i="11"/>
  <c r="Z433" i="11"/>
  <c r="U433" i="11"/>
  <c r="V433" i="11"/>
  <c r="X433" i="11"/>
  <c r="W433" i="11"/>
  <c r="N222" i="11"/>
  <c r="V222" i="11"/>
  <c r="Y222" i="11"/>
  <c r="Z222" i="11"/>
  <c r="W222" i="11"/>
  <c r="X222" i="11"/>
  <c r="U222" i="11"/>
  <c r="N194" i="11"/>
  <c r="W194" i="11"/>
  <c r="Y194" i="11"/>
  <c r="U194" i="11"/>
  <c r="V194" i="11"/>
  <c r="X194" i="11"/>
  <c r="Z194" i="11"/>
  <c r="N438" i="11"/>
  <c r="V438" i="11"/>
  <c r="W438" i="11"/>
  <c r="Z438" i="11"/>
  <c r="U438" i="11"/>
  <c r="X438" i="11"/>
  <c r="Y438" i="11"/>
  <c r="N187" i="11"/>
  <c r="W187" i="11"/>
  <c r="V187" i="11"/>
  <c r="X187" i="11"/>
  <c r="Y187" i="11"/>
  <c r="Z187" i="11"/>
  <c r="U187" i="11"/>
  <c r="N119" i="11"/>
  <c r="U119" i="11"/>
  <c r="Y119" i="11"/>
  <c r="Z119" i="11"/>
  <c r="W119" i="11"/>
  <c r="V119" i="11"/>
  <c r="X119" i="11"/>
  <c r="N48" i="11"/>
  <c r="U48" i="11"/>
  <c r="Y48" i="11"/>
  <c r="Z48" i="11"/>
  <c r="W48" i="11"/>
  <c r="V48" i="11"/>
  <c r="X48" i="11"/>
  <c r="N178" i="11"/>
  <c r="W178" i="11"/>
  <c r="X178" i="11"/>
  <c r="U178" i="11"/>
  <c r="Z178" i="11"/>
  <c r="V178" i="11"/>
  <c r="Y178" i="11"/>
  <c r="N201" i="11"/>
  <c r="V201" i="11"/>
  <c r="Y201" i="11"/>
  <c r="Z201" i="11"/>
  <c r="U201" i="11"/>
  <c r="W201" i="11"/>
  <c r="X201" i="11"/>
  <c r="N101" i="11"/>
  <c r="U101" i="11"/>
  <c r="Y101" i="11"/>
  <c r="Z101" i="11"/>
  <c r="V101" i="11"/>
  <c r="W101" i="11"/>
  <c r="X101" i="11"/>
  <c r="N7" i="11"/>
  <c r="Z7" i="11"/>
  <c r="U7" i="11"/>
  <c r="V7" i="11"/>
  <c r="W7" i="11"/>
  <c r="X7" i="11"/>
  <c r="Y7" i="11"/>
  <c r="N192" i="11"/>
  <c r="W192" i="11"/>
  <c r="Z192" i="11"/>
  <c r="U192" i="11"/>
  <c r="V192" i="11"/>
  <c r="X192" i="11"/>
  <c r="Y192" i="11"/>
  <c r="N123" i="11"/>
  <c r="U123" i="11"/>
  <c r="Y123" i="11"/>
  <c r="Z123" i="11"/>
  <c r="V123" i="11"/>
  <c r="W123" i="11"/>
  <c r="X123" i="11"/>
  <c r="N40" i="11"/>
  <c r="W40" i="11"/>
  <c r="U40" i="11"/>
  <c r="X40" i="11"/>
  <c r="Y40" i="11"/>
  <c r="Z40" i="11"/>
  <c r="V40" i="11"/>
  <c r="N39" i="11"/>
  <c r="U39" i="11"/>
  <c r="Y39" i="11"/>
  <c r="Z39" i="11"/>
  <c r="W39" i="11"/>
  <c r="V39" i="11"/>
  <c r="X39" i="11"/>
  <c r="N1284" i="11"/>
  <c r="Z1284" i="11"/>
  <c r="V1284" i="11"/>
  <c r="W1284" i="11"/>
  <c r="Y1284" i="11"/>
  <c r="U1284" i="11"/>
  <c r="X1284" i="11"/>
  <c r="N1221" i="11"/>
  <c r="X1221" i="11"/>
  <c r="Y1221" i="11"/>
  <c r="V1221" i="11"/>
  <c r="W1221" i="11"/>
  <c r="Z1221" i="11"/>
  <c r="U1221" i="11"/>
  <c r="N1130" i="11"/>
  <c r="Z1130" i="11"/>
  <c r="V1130" i="11"/>
  <c r="W1130" i="11"/>
  <c r="X1130" i="11"/>
  <c r="Y1130" i="11"/>
  <c r="U1130" i="11"/>
  <c r="N1038" i="11"/>
  <c r="V1038" i="11"/>
  <c r="Z1038" i="11"/>
  <c r="U1038" i="11"/>
  <c r="W1038" i="11"/>
  <c r="X1038" i="11"/>
  <c r="Y1038" i="11"/>
  <c r="X1100" i="11"/>
  <c r="Y1100" i="11"/>
  <c r="Z1100" i="11"/>
  <c r="U1100" i="11"/>
  <c r="V1100" i="11"/>
  <c r="W1100" i="11"/>
  <c r="N1003" i="11"/>
  <c r="X1003" i="11"/>
  <c r="U1003" i="11"/>
  <c r="W1003" i="11"/>
  <c r="V1003" i="11"/>
  <c r="Y1003" i="11"/>
  <c r="Z1003" i="11"/>
  <c r="N1118" i="11"/>
  <c r="Z1118" i="11"/>
  <c r="U1118" i="11"/>
  <c r="V1118" i="11"/>
  <c r="W1118" i="11"/>
  <c r="X1118" i="11"/>
  <c r="Y1118" i="11"/>
  <c r="Z1065" i="11"/>
  <c r="V1065" i="11"/>
  <c r="W1065" i="11"/>
  <c r="Y1065" i="11"/>
  <c r="U1065" i="11"/>
  <c r="X1065" i="11"/>
  <c r="V1177" i="11"/>
  <c r="Z1177" i="11"/>
  <c r="U1177" i="11"/>
  <c r="X1177" i="11"/>
  <c r="Y1177" i="11"/>
  <c r="W1177" i="11"/>
  <c r="W791" i="11"/>
  <c r="X791" i="11"/>
  <c r="U791" i="11"/>
  <c r="V791" i="11"/>
  <c r="Y791" i="11"/>
  <c r="Z791" i="11"/>
  <c r="X722" i="11"/>
  <c r="V722" i="11"/>
  <c r="W722" i="11"/>
  <c r="Z722" i="11"/>
  <c r="U722" i="11"/>
  <c r="Y722" i="11"/>
  <c r="N667" i="11"/>
  <c r="Z667" i="11"/>
  <c r="V667" i="11"/>
  <c r="W667" i="11"/>
  <c r="Y667" i="11"/>
  <c r="U667" i="11"/>
  <c r="X667" i="11"/>
  <c r="N638" i="11"/>
  <c r="Z638" i="11"/>
  <c r="V638" i="11"/>
  <c r="W638" i="11"/>
  <c r="Y638" i="11"/>
  <c r="U638" i="11"/>
  <c r="X638" i="11"/>
  <c r="N467" i="11"/>
  <c r="U467" i="11"/>
  <c r="Y467" i="11"/>
  <c r="Z467" i="11"/>
  <c r="V467" i="11"/>
  <c r="W467" i="11"/>
  <c r="X467" i="11"/>
  <c r="W416" i="11"/>
  <c r="U416" i="11"/>
  <c r="V416" i="11"/>
  <c r="X416" i="11"/>
  <c r="Y416" i="11"/>
  <c r="Z416" i="11"/>
  <c r="X261" i="11"/>
  <c r="W261" i="11"/>
  <c r="U261" i="11"/>
  <c r="V261" i="11"/>
  <c r="Y261" i="11"/>
  <c r="Z261" i="11"/>
  <c r="N205" i="11"/>
  <c r="W205" i="11"/>
  <c r="X205" i="11"/>
  <c r="Y205" i="11"/>
  <c r="Z205" i="11"/>
  <c r="U205" i="11"/>
  <c r="V205" i="11"/>
  <c r="N169" i="11"/>
  <c r="Y169" i="11"/>
  <c r="U169" i="11"/>
  <c r="V169" i="11"/>
  <c r="W169" i="11"/>
  <c r="X169" i="11"/>
  <c r="Z169" i="11"/>
  <c r="N41" i="11"/>
  <c r="Y41" i="11"/>
  <c r="U41" i="11"/>
  <c r="V41" i="11"/>
  <c r="W41" i="11"/>
  <c r="X41" i="11"/>
  <c r="Z41" i="11"/>
  <c r="N670" i="11"/>
  <c r="X670" i="11"/>
  <c r="U670" i="11"/>
  <c r="W670" i="11"/>
  <c r="Y670" i="11"/>
  <c r="Z670" i="11"/>
  <c r="V670" i="11"/>
  <c r="V610" i="11"/>
  <c r="W610" i="11"/>
  <c r="Z610" i="11"/>
  <c r="U610" i="11"/>
  <c r="X610" i="11"/>
  <c r="Y610" i="11"/>
  <c r="N497" i="11"/>
  <c r="W497" i="11"/>
  <c r="V497" i="11"/>
  <c r="X497" i="11"/>
  <c r="Y497" i="11"/>
  <c r="Z497" i="11"/>
  <c r="U497" i="11"/>
  <c r="N468" i="11"/>
  <c r="W468" i="11"/>
  <c r="V468" i="11"/>
  <c r="U468" i="11"/>
  <c r="X468" i="11"/>
  <c r="Y468" i="11"/>
  <c r="Z468" i="11"/>
  <c r="N354" i="11"/>
  <c r="U354" i="11"/>
  <c r="Y354" i="11"/>
  <c r="Z354" i="11"/>
  <c r="V354" i="11"/>
  <c r="W354" i="11"/>
  <c r="X354" i="11"/>
  <c r="V320" i="11"/>
  <c r="W320" i="11"/>
  <c r="X320" i="11"/>
  <c r="Y320" i="11"/>
  <c r="U320" i="11"/>
  <c r="Z320" i="11"/>
  <c r="Z241" i="11"/>
  <c r="U241" i="11"/>
  <c r="V241" i="11"/>
  <c r="W241" i="11"/>
  <c r="X241" i="11"/>
  <c r="Y241" i="11"/>
  <c r="N147" i="11"/>
  <c r="U147" i="11"/>
  <c r="X147" i="11"/>
  <c r="Y147" i="11"/>
  <c r="Z147" i="11"/>
  <c r="V147" i="11"/>
  <c r="W147" i="11"/>
  <c r="N33" i="11"/>
  <c r="Y33" i="11"/>
  <c r="U33" i="11"/>
  <c r="V33" i="11"/>
  <c r="W33" i="11"/>
  <c r="X33" i="11"/>
  <c r="Z33" i="11"/>
  <c r="V912" i="11"/>
  <c r="W912" i="11"/>
  <c r="Z912" i="11"/>
  <c r="U912" i="11"/>
  <c r="Y912" i="11"/>
  <c r="X912" i="11"/>
  <c r="U827" i="11"/>
  <c r="V827" i="11"/>
  <c r="Y827" i="11"/>
  <c r="Z827" i="11"/>
  <c r="W827" i="11"/>
  <c r="X827" i="11"/>
  <c r="N787" i="11"/>
  <c r="W787" i="11"/>
  <c r="X787" i="11"/>
  <c r="U787" i="11"/>
  <c r="V787" i="11"/>
  <c r="Y787" i="11"/>
  <c r="Z787" i="11"/>
  <c r="X1074" i="11"/>
  <c r="Y1074" i="11"/>
  <c r="U1074" i="11"/>
  <c r="V1074" i="11"/>
  <c r="W1074" i="11"/>
  <c r="Z1074" i="11"/>
  <c r="Y788" i="11"/>
  <c r="Z788" i="11"/>
  <c r="U788" i="11"/>
  <c r="V788" i="11"/>
  <c r="W788" i="11"/>
  <c r="X788" i="11"/>
  <c r="N181" i="11"/>
  <c r="U181" i="11"/>
  <c r="Y181" i="11"/>
  <c r="V181" i="11"/>
  <c r="W181" i="11"/>
  <c r="X181" i="11"/>
  <c r="Z181" i="11"/>
  <c r="N6" i="11"/>
  <c r="X6" i="11"/>
  <c r="Y6" i="11"/>
  <c r="Z6" i="11"/>
  <c r="U6" i="11"/>
  <c r="V6" i="11"/>
  <c r="W6" i="11"/>
  <c r="N200" i="11"/>
  <c r="W200" i="11"/>
  <c r="X200" i="11"/>
  <c r="Y200" i="11"/>
  <c r="Z200" i="11"/>
  <c r="U200" i="11"/>
  <c r="V200" i="11"/>
  <c r="N1185" i="11"/>
  <c r="V1185" i="11"/>
  <c r="Z1185" i="11"/>
  <c r="U1185" i="11"/>
  <c r="X1185" i="11"/>
  <c r="Y1185" i="11"/>
  <c r="W1185" i="11"/>
  <c r="V1205" i="11"/>
  <c r="Z1205" i="11"/>
  <c r="U1205" i="11"/>
  <c r="W1205" i="11"/>
  <c r="X1205" i="11"/>
  <c r="Y1205" i="11"/>
  <c r="N1151" i="11"/>
  <c r="X1151" i="11"/>
  <c r="Y1151" i="11"/>
  <c r="U1151" i="11"/>
  <c r="V1151" i="11"/>
  <c r="W1151" i="11"/>
  <c r="Z1151" i="11"/>
  <c r="N982" i="11"/>
  <c r="X982" i="11"/>
  <c r="Y982" i="11"/>
  <c r="U982" i="11"/>
  <c r="V982" i="11"/>
  <c r="W982" i="11"/>
  <c r="Z982" i="11"/>
  <c r="N836" i="11"/>
  <c r="W836" i="11"/>
  <c r="X836" i="11"/>
  <c r="U836" i="11"/>
  <c r="V836" i="11"/>
  <c r="Y836" i="11"/>
  <c r="Z836" i="11"/>
  <c r="N763" i="11"/>
  <c r="Y763" i="11"/>
  <c r="Z763" i="11"/>
  <c r="U763" i="11"/>
  <c r="V763" i="11"/>
  <c r="W763" i="11"/>
  <c r="X763" i="11"/>
  <c r="N619" i="11"/>
  <c r="X619" i="11"/>
  <c r="Y619" i="11"/>
  <c r="U619" i="11"/>
  <c r="V619" i="11"/>
  <c r="W619" i="11"/>
  <c r="Z619" i="11"/>
  <c r="N448" i="11"/>
  <c r="W448" i="11"/>
  <c r="X448" i="11"/>
  <c r="Y448" i="11"/>
  <c r="Z448" i="11"/>
  <c r="U448" i="11"/>
  <c r="V448" i="11"/>
  <c r="N176" i="11"/>
  <c r="W176" i="11"/>
  <c r="Y176" i="11"/>
  <c r="U176" i="11"/>
  <c r="V176" i="11"/>
  <c r="X176" i="11"/>
  <c r="Z176" i="11"/>
  <c r="N993" i="11"/>
  <c r="V993" i="11"/>
  <c r="Z993" i="11"/>
  <c r="U993" i="11"/>
  <c r="Y993" i="11"/>
  <c r="W993" i="11"/>
  <c r="X993" i="11"/>
  <c r="Z620" i="11"/>
  <c r="V620" i="11"/>
  <c r="W620" i="11"/>
  <c r="X620" i="11"/>
  <c r="Y620" i="11"/>
  <c r="U620" i="11"/>
  <c r="N521" i="11"/>
  <c r="U521" i="11"/>
  <c r="Y521" i="11"/>
  <c r="Z521" i="11"/>
  <c r="V521" i="11"/>
  <c r="W521" i="11"/>
  <c r="X521" i="11"/>
  <c r="N463" i="11"/>
  <c r="U463" i="11"/>
  <c r="Y463" i="11"/>
  <c r="Z463" i="11"/>
  <c r="V463" i="11"/>
  <c r="W463" i="11"/>
  <c r="X463" i="11"/>
  <c r="N522" i="11"/>
  <c r="W522" i="11"/>
  <c r="V522" i="11"/>
  <c r="X522" i="11"/>
  <c r="Y522" i="11"/>
  <c r="Z522" i="11"/>
  <c r="U522" i="11"/>
  <c r="N37" i="11"/>
  <c r="Y37" i="11"/>
  <c r="U37" i="11"/>
  <c r="V37" i="11"/>
  <c r="W37" i="11"/>
  <c r="Z37" i="11"/>
  <c r="X37" i="11"/>
  <c r="W377" i="11"/>
  <c r="U377" i="11"/>
  <c r="V377" i="11"/>
  <c r="X377" i="11"/>
  <c r="Y377" i="11"/>
  <c r="Z377" i="11"/>
  <c r="N1138" i="11"/>
  <c r="Z1138" i="11"/>
  <c r="V1138" i="11"/>
  <c r="W1138" i="11"/>
  <c r="Y1138" i="11"/>
  <c r="X1138" i="11"/>
  <c r="U1138" i="11"/>
  <c r="N1251" i="11"/>
  <c r="X1251" i="11"/>
  <c r="U1251" i="11"/>
  <c r="W1251" i="11"/>
  <c r="Z1251" i="11"/>
  <c r="V1251" i="11"/>
  <c r="Y1251" i="11"/>
  <c r="V280" i="11"/>
  <c r="Z280" i="11"/>
  <c r="W280" i="11"/>
  <c r="Y280" i="11"/>
  <c r="U280" i="11"/>
  <c r="X280" i="11"/>
  <c r="Z1203" i="11"/>
  <c r="V1203" i="11"/>
  <c r="W1203" i="11"/>
  <c r="Y1203" i="11"/>
  <c r="X1203" i="11"/>
  <c r="U1203" i="11"/>
  <c r="Z946" i="11"/>
  <c r="V946" i="11"/>
  <c r="W946" i="11"/>
  <c r="X946" i="11"/>
  <c r="Y946" i="11"/>
  <c r="U946" i="11"/>
  <c r="N1147" i="11"/>
  <c r="X1147" i="11"/>
  <c r="Y1147" i="11"/>
  <c r="V1147" i="11"/>
  <c r="W1147" i="11"/>
  <c r="Z1147" i="11"/>
  <c r="U1147" i="11"/>
  <c r="N1285" i="11"/>
  <c r="X1285" i="11"/>
  <c r="Y1285" i="11"/>
  <c r="V1285" i="11"/>
  <c r="Z1285" i="11"/>
  <c r="U1285" i="11"/>
  <c r="W1285" i="11"/>
  <c r="N1116" i="11"/>
  <c r="V1116" i="11"/>
  <c r="W1116" i="11"/>
  <c r="X1116" i="11"/>
  <c r="Y1116" i="11"/>
  <c r="Z1116" i="11"/>
  <c r="U1116" i="11"/>
  <c r="N1034" i="11"/>
  <c r="V1034" i="11"/>
  <c r="Z1034" i="11"/>
  <c r="U1034" i="11"/>
  <c r="Y1034" i="11"/>
  <c r="W1034" i="11"/>
  <c r="X1034" i="11"/>
  <c r="V1018" i="11"/>
  <c r="Z1018" i="11"/>
  <c r="U1018" i="11"/>
  <c r="Y1018" i="11"/>
  <c r="W1018" i="11"/>
  <c r="X1018" i="11"/>
  <c r="N1115" i="11"/>
  <c r="U1115" i="11"/>
  <c r="V1115" i="11"/>
  <c r="W1115" i="11"/>
  <c r="X1115" i="11"/>
  <c r="Y1115" i="11"/>
  <c r="Z1115" i="11"/>
  <c r="N853" i="11"/>
  <c r="W853" i="11"/>
  <c r="X853" i="11"/>
  <c r="U853" i="11"/>
  <c r="V853" i="11"/>
  <c r="Y853" i="11"/>
  <c r="Z853" i="11"/>
  <c r="N724" i="11"/>
  <c r="V724" i="11"/>
  <c r="W724" i="11"/>
  <c r="X724" i="11"/>
  <c r="Y724" i="11"/>
  <c r="Z724" i="11"/>
  <c r="U724" i="11"/>
  <c r="N683" i="11"/>
  <c r="X683" i="11"/>
  <c r="U683" i="11"/>
  <c r="W683" i="11"/>
  <c r="V683" i="11"/>
  <c r="Y683" i="11"/>
  <c r="Z683" i="11"/>
  <c r="N666" i="11"/>
  <c r="X666" i="11"/>
  <c r="U666" i="11"/>
  <c r="W666" i="11"/>
  <c r="V666" i="11"/>
  <c r="Y666" i="11"/>
  <c r="Z666" i="11"/>
  <c r="N705" i="11"/>
  <c r="Z705" i="11"/>
  <c r="V705" i="11"/>
  <c r="W705" i="11"/>
  <c r="Y705" i="11"/>
  <c r="U705" i="11"/>
  <c r="X705" i="11"/>
  <c r="V1152" i="11"/>
  <c r="Z1152" i="11"/>
  <c r="U1152" i="11"/>
  <c r="X1152" i="11"/>
  <c r="Y1152" i="11"/>
  <c r="W1152" i="11"/>
  <c r="N744" i="11"/>
  <c r="W744" i="11"/>
  <c r="X744" i="11"/>
  <c r="Y744" i="11"/>
  <c r="Z744" i="11"/>
  <c r="U744" i="11"/>
  <c r="V744" i="11"/>
  <c r="N679" i="11"/>
  <c r="X679" i="11"/>
  <c r="U679" i="11"/>
  <c r="W679" i="11"/>
  <c r="Y679" i="11"/>
  <c r="Z679" i="11"/>
  <c r="V679" i="11"/>
  <c r="N769" i="11"/>
  <c r="U769" i="11"/>
  <c r="V769" i="11"/>
  <c r="Y769" i="11"/>
  <c r="Z769" i="11"/>
  <c r="W769" i="11"/>
  <c r="X769" i="11"/>
  <c r="N319" i="11"/>
  <c r="Y319" i="11"/>
  <c r="U319" i="11"/>
  <c r="V319" i="11"/>
  <c r="W319" i="11"/>
  <c r="X319" i="11"/>
  <c r="Z319" i="11"/>
  <c r="N587" i="11"/>
  <c r="X587" i="11"/>
  <c r="Y587" i="11"/>
  <c r="U587" i="11"/>
  <c r="V587" i="11"/>
  <c r="W587" i="11"/>
  <c r="Z587" i="11"/>
  <c r="N488" i="11"/>
  <c r="U488" i="11"/>
  <c r="Y488" i="11"/>
  <c r="Z488" i="11"/>
  <c r="V488" i="11"/>
  <c r="W488" i="11"/>
  <c r="X488" i="11"/>
  <c r="N212" i="11"/>
  <c r="Z212" i="11"/>
  <c r="U212" i="11"/>
  <c r="V212" i="11"/>
  <c r="W212" i="11"/>
  <c r="X212" i="11"/>
  <c r="Y212" i="11"/>
  <c r="N10" i="11"/>
  <c r="Y10" i="11"/>
  <c r="U10" i="11"/>
  <c r="V10" i="11"/>
  <c r="W10" i="11"/>
  <c r="Z10" i="11"/>
  <c r="X10" i="11"/>
  <c r="N430" i="11"/>
  <c r="V430" i="11"/>
  <c r="W430" i="11"/>
  <c r="X430" i="11"/>
  <c r="U430" i="11"/>
  <c r="Y430" i="11"/>
  <c r="Z430" i="11"/>
  <c r="N175" i="11"/>
  <c r="Y175" i="11"/>
  <c r="U175" i="11"/>
  <c r="X175" i="11"/>
  <c r="Z175" i="11"/>
  <c r="V175" i="11"/>
  <c r="W175" i="11"/>
  <c r="N110" i="11"/>
  <c r="W110" i="11"/>
  <c r="U110" i="11"/>
  <c r="Y110" i="11"/>
  <c r="V110" i="11"/>
  <c r="Z110" i="11"/>
  <c r="X110" i="11"/>
  <c r="N36" i="11"/>
  <c r="W36" i="11"/>
  <c r="U36" i="11"/>
  <c r="Y36" i="11"/>
  <c r="V36" i="11"/>
  <c r="Z36" i="11"/>
  <c r="X36" i="11"/>
  <c r="N144" i="11"/>
  <c r="W144" i="11"/>
  <c r="Z144" i="11"/>
  <c r="U144" i="11"/>
  <c r="V144" i="11"/>
  <c r="X144" i="11"/>
  <c r="Y144" i="11"/>
  <c r="N182" i="11"/>
  <c r="W182" i="11"/>
  <c r="U182" i="11"/>
  <c r="Y182" i="11"/>
  <c r="Z182" i="11"/>
  <c r="V182" i="11"/>
  <c r="X182" i="11"/>
  <c r="N86" i="11"/>
  <c r="W86" i="11"/>
  <c r="U86" i="11"/>
  <c r="X86" i="11"/>
  <c r="Y86" i="11"/>
  <c r="Z86" i="11"/>
  <c r="V86" i="11"/>
  <c r="N165" i="11"/>
  <c r="Y165" i="11"/>
  <c r="U165" i="11"/>
  <c r="V165" i="11"/>
  <c r="W165" i="11"/>
  <c r="X165" i="11"/>
  <c r="Z165" i="11"/>
  <c r="N179" i="11"/>
  <c r="Y179" i="11"/>
  <c r="U179" i="11"/>
  <c r="V179" i="11"/>
  <c r="W179" i="11"/>
  <c r="X179" i="11"/>
  <c r="Z179" i="11"/>
  <c r="N35" i="11"/>
  <c r="U35" i="11"/>
  <c r="Y35" i="11"/>
  <c r="Z35" i="11"/>
  <c r="V35" i="11"/>
  <c r="W35" i="11"/>
  <c r="X35" i="11"/>
  <c r="N21" i="11"/>
  <c r="U21" i="11"/>
  <c r="Y21" i="11"/>
  <c r="Z21" i="11"/>
  <c r="W21" i="11"/>
  <c r="V21" i="11"/>
  <c r="X21" i="11"/>
  <c r="N1283" i="11"/>
  <c r="X1283" i="11"/>
  <c r="U1283" i="11"/>
  <c r="W1283" i="11"/>
  <c r="V1283" i="11"/>
  <c r="Y1283" i="11"/>
  <c r="Z1283" i="11"/>
  <c r="N1180" i="11"/>
  <c r="X1180" i="11"/>
  <c r="Y1180" i="11"/>
  <c r="V1180" i="11"/>
  <c r="W1180" i="11"/>
  <c r="Z1180" i="11"/>
  <c r="U1180" i="11"/>
  <c r="N1108" i="11"/>
  <c r="X1108" i="11"/>
  <c r="Y1108" i="11"/>
  <c r="Z1108" i="11"/>
  <c r="U1108" i="11"/>
  <c r="V1108" i="11"/>
  <c r="W1108" i="11"/>
  <c r="N1023" i="11"/>
  <c r="X1023" i="11"/>
  <c r="U1023" i="11"/>
  <c r="W1023" i="11"/>
  <c r="V1023" i="11"/>
  <c r="Y1023" i="11"/>
  <c r="Z1023" i="11"/>
  <c r="V1193" i="11"/>
  <c r="Z1193" i="11"/>
  <c r="U1193" i="11"/>
  <c r="X1193" i="11"/>
  <c r="Y1193" i="11"/>
  <c r="W1193" i="11"/>
  <c r="U923" i="11"/>
  <c r="X923" i="11"/>
  <c r="Y923" i="11"/>
  <c r="Z923" i="11"/>
  <c r="W923" i="11"/>
  <c r="V923" i="11"/>
  <c r="V889" i="11"/>
  <c r="W889" i="11"/>
  <c r="X889" i="11"/>
  <c r="Y889" i="11"/>
  <c r="Z889" i="11"/>
  <c r="U889" i="11"/>
  <c r="U876" i="11"/>
  <c r="V876" i="11"/>
  <c r="Y876" i="11"/>
  <c r="Z876" i="11"/>
  <c r="W876" i="11"/>
  <c r="X876" i="11"/>
  <c r="N1098" i="11"/>
  <c r="U1098" i="11"/>
  <c r="V1098" i="11"/>
  <c r="W1098" i="11"/>
  <c r="X1098" i="11"/>
  <c r="Y1098" i="11"/>
  <c r="Z1098" i="11"/>
  <c r="X1051" i="11"/>
  <c r="U1051" i="11"/>
  <c r="W1051" i="11"/>
  <c r="V1051" i="11"/>
  <c r="Y1051" i="11"/>
  <c r="Z1051" i="11"/>
  <c r="N704" i="11"/>
  <c r="X704" i="11"/>
  <c r="U704" i="11"/>
  <c r="W704" i="11"/>
  <c r="Y704" i="11"/>
  <c r="Z704" i="11"/>
  <c r="V704" i="11"/>
  <c r="N583" i="11"/>
  <c r="X583" i="11"/>
  <c r="Y583" i="11"/>
  <c r="U583" i="11"/>
  <c r="V583" i="11"/>
  <c r="W583" i="11"/>
  <c r="Z583" i="11"/>
  <c r="N451" i="11"/>
  <c r="Y451" i="11"/>
  <c r="U451" i="11"/>
  <c r="V451" i="11"/>
  <c r="W451" i="11"/>
  <c r="X451" i="11"/>
  <c r="Z451" i="11"/>
  <c r="N370" i="11"/>
  <c r="Y370" i="11"/>
  <c r="U370" i="11"/>
  <c r="V370" i="11"/>
  <c r="W370" i="11"/>
  <c r="X370" i="11"/>
  <c r="Z370" i="11"/>
  <c r="N153" i="11"/>
  <c r="Y153" i="11"/>
  <c r="U153" i="11"/>
  <c r="V153" i="11"/>
  <c r="W153" i="11"/>
  <c r="Z153" i="11"/>
  <c r="X153" i="11"/>
  <c r="N1168" i="11"/>
  <c r="X1168" i="11"/>
  <c r="Y1168" i="11"/>
  <c r="U1168" i="11"/>
  <c r="V1168" i="11"/>
  <c r="W1168" i="11"/>
  <c r="Z1168" i="11"/>
  <c r="U907" i="11"/>
  <c r="X907" i="11"/>
  <c r="Y907" i="11"/>
  <c r="Z907" i="11"/>
  <c r="W907" i="11"/>
  <c r="V907" i="11"/>
  <c r="U786" i="11"/>
  <c r="V786" i="11"/>
  <c r="Y786" i="11"/>
  <c r="Z786" i="11"/>
  <c r="W786" i="11"/>
  <c r="X786" i="11"/>
  <c r="X718" i="11"/>
  <c r="Y718" i="11"/>
  <c r="U718" i="11"/>
  <c r="V718" i="11"/>
  <c r="W718" i="11"/>
  <c r="Z718" i="11"/>
  <c r="U453" i="11"/>
  <c r="Y453" i="11"/>
  <c r="V453" i="11"/>
  <c r="Z453" i="11"/>
  <c r="W453" i="11"/>
  <c r="X453" i="11"/>
  <c r="U384" i="11"/>
  <c r="Y384" i="11"/>
  <c r="Z384" i="11"/>
  <c r="V384" i="11"/>
  <c r="W384" i="11"/>
  <c r="X384" i="11"/>
  <c r="W310" i="11"/>
  <c r="Z310" i="11"/>
  <c r="U310" i="11"/>
  <c r="V310" i="11"/>
  <c r="X310" i="11"/>
  <c r="Y310" i="11"/>
  <c r="X656" i="11"/>
  <c r="Y656" i="11"/>
  <c r="U656" i="11"/>
  <c r="V656" i="11"/>
  <c r="W656" i="11"/>
  <c r="Z656" i="11"/>
  <c r="N143" i="11"/>
  <c r="U143" i="11"/>
  <c r="X143" i="11"/>
  <c r="Y143" i="11"/>
  <c r="Z143" i="11"/>
  <c r="V143" i="11"/>
  <c r="W143" i="11"/>
  <c r="N120" i="11"/>
  <c r="W120" i="11"/>
  <c r="U120" i="11"/>
  <c r="X120" i="11"/>
  <c r="Y120" i="11"/>
  <c r="Z120" i="11"/>
  <c r="V120" i="11"/>
  <c r="N1049" i="11"/>
  <c r="X1049" i="11"/>
  <c r="Y1049" i="11"/>
  <c r="U1049" i="11"/>
  <c r="V1049" i="11"/>
  <c r="W1049" i="11"/>
  <c r="Z1049" i="11"/>
  <c r="N680" i="11"/>
  <c r="Z680" i="11"/>
  <c r="V680" i="11"/>
  <c r="W680" i="11"/>
  <c r="Y680" i="11"/>
  <c r="U680" i="11"/>
  <c r="X680" i="11"/>
  <c r="N1200" i="11"/>
  <c r="X1200" i="11"/>
  <c r="Y1200" i="11"/>
  <c r="U1200" i="11"/>
  <c r="V1200" i="11"/>
  <c r="W1200" i="11"/>
  <c r="Z1200" i="11"/>
  <c r="W828" i="11"/>
  <c r="X828" i="11"/>
  <c r="U828" i="11"/>
  <c r="V828" i="11"/>
  <c r="Y828" i="11"/>
  <c r="Z828" i="11"/>
  <c r="N612" i="11"/>
  <c r="Z612" i="11"/>
  <c r="V612" i="11"/>
  <c r="W612" i="11"/>
  <c r="X612" i="11"/>
  <c r="Y612" i="11"/>
  <c r="U612" i="11"/>
  <c r="W368" i="11"/>
  <c r="U368" i="11"/>
  <c r="V368" i="11"/>
  <c r="X368" i="11"/>
  <c r="Y368" i="11"/>
  <c r="Z368" i="11"/>
  <c r="N130" i="11"/>
  <c r="W130" i="11"/>
  <c r="X130" i="11"/>
  <c r="Y130" i="11"/>
  <c r="U130" i="11"/>
  <c r="V130" i="11"/>
  <c r="Z130" i="11"/>
  <c r="N42" i="11"/>
  <c r="W42" i="11"/>
  <c r="X42" i="11"/>
  <c r="Y42" i="11"/>
  <c r="U42" i="11"/>
  <c r="V42" i="11"/>
  <c r="Z42" i="11"/>
  <c r="N25" i="11"/>
  <c r="W25" i="11"/>
  <c r="X25" i="11"/>
  <c r="Y25" i="11"/>
  <c r="U25" i="11"/>
  <c r="Z25" i="11"/>
  <c r="V25" i="11"/>
  <c r="N1172" i="11"/>
  <c r="X1172" i="11"/>
  <c r="Y1172" i="11"/>
  <c r="V1172" i="11"/>
  <c r="W1172" i="11"/>
  <c r="Z1172" i="11"/>
  <c r="U1172" i="11"/>
  <c r="N1280" i="11"/>
  <c r="Z1280" i="11"/>
  <c r="V1280" i="11"/>
  <c r="W1280" i="11"/>
  <c r="Y1280" i="11"/>
  <c r="U1280" i="11"/>
  <c r="X1280" i="11"/>
  <c r="N1196" i="11"/>
  <c r="X1196" i="11"/>
  <c r="Y1196" i="11"/>
  <c r="V1196" i="11"/>
  <c r="W1196" i="11"/>
  <c r="Z1196" i="11"/>
  <c r="U1196" i="11"/>
  <c r="X643" i="11"/>
  <c r="Y643" i="11"/>
  <c r="U643" i="11"/>
  <c r="V643" i="11"/>
  <c r="W643" i="11"/>
  <c r="Z643" i="11"/>
  <c r="X277" i="11"/>
  <c r="W277" i="11"/>
  <c r="Y277" i="11"/>
  <c r="Z277" i="11"/>
  <c r="U277" i="11"/>
  <c r="V277" i="11"/>
  <c r="N220" i="11"/>
  <c r="Z220" i="11"/>
  <c r="U220" i="11"/>
  <c r="V220" i="11"/>
  <c r="W220" i="11"/>
  <c r="X220" i="11"/>
  <c r="Y220" i="11"/>
  <c r="N1263" i="11"/>
  <c r="X1263" i="11"/>
  <c r="U1263" i="11"/>
  <c r="W1263" i="11"/>
  <c r="Z1263" i="11"/>
  <c r="V1263" i="11"/>
  <c r="Y1263" i="11"/>
  <c r="Z1069" i="11"/>
  <c r="V1069" i="11"/>
  <c r="W1069" i="11"/>
  <c r="Y1069" i="11"/>
  <c r="U1069" i="11"/>
  <c r="X1069" i="11"/>
  <c r="Y805" i="11"/>
  <c r="Z805" i="11"/>
  <c r="U805" i="11"/>
  <c r="V805" i="11"/>
  <c r="W805" i="11"/>
  <c r="X805" i="11"/>
  <c r="N737" i="11"/>
  <c r="U737" i="11"/>
  <c r="V737" i="11"/>
  <c r="Y737" i="11"/>
  <c r="Z737" i="11"/>
  <c r="W737" i="11"/>
  <c r="X737" i="11"/>
  <c r="Y507" i="11"/>
  <c r="U507" i="11"/>
  <c r="V507" i="11"/>
  <c r="X507" i="11"/>
  <c r="W507" i="11"/>
  <c r="Z507" i="11"/>
  <c r="U325" i="11"/>
  <c r="X325" i="11"/>
  <c r="Y325" i="11"/>
  <c r="Z325" i="11"/>
  <c r="V325" i="11"/>
  <c r="W325" i="11"/>
  <c r="N345" i="11"/>
  <c r="U345" i="11"/>
  <c r="Y345" i="11"/>
  <c r="Z345" i="11"/>
  <c r="V345" i="11"/>
  <c r="W345" i="11"/>
  <c r="X345" i="11"/>
  <c r="N122" i="11"/>
  <c r="W122" i="11"/>
  <c r="X122" i="11"/>
  <c r="Y122" i="11"/>
  <c r="U122" i="11"/>
  <c r="Z122" i="11"/>
  <c r="V122" i="11"/>
  <c r="N79" i="11"/>
  <c r="Y79" i="11"/>
  <c r="U79" i="11"/>
  <c r="V79" i="11"/>
  <c r="W79" i="11"/>
  <c r="X79" i="11"/>
  <c r="Z79" i="11"/>
  <c r="X1281" i="11"/>
  <c r="Y1281" i="11"/>
  <c r="V1281" i="11"/>
  <c r="W1281" i="11"/>
  <c r="Z1281" i="11"/>
  <c r="U1281" i="11"/>
  <c r="N770" i="11"/>
  <c r="W770" i="11"/>
  <c r="X770" i="11"/>
  <c r="U770" i="11"/>
  <c r="V770" i="11"/>
  <c r="Y770" i="11"/>
  <c r="Z770" i="11"/>
  <c r="N1011" i="11"/>
  <c r="X1011" i="11"/>
  <c r="U1011" i="11"/>
  <c r="W1011" i="11"/>
  <c r="V1011" i="11"/>
  <c r="Y1011" i="11"/>
  <c r="Z1011" i="11"/>
  <c r="W834" i="11"/>
  <c r="X834" i="11"/>
  <c r="Y834" i="11"/>
  <c r="Z834" i="11"/>
  <c r="U834" i="11"/>
  <c r="V834" i="11"/>
  <c r="W726" i="11"/>
  <c r="X726" i="11"/>
  <c r="U726" i="11"/>
  <c r="V726" i="11"/>
  <c r="Y726" i="11"/>
  <c r="Z726" i="11"/>
  <c r="X625" i="11"/>
  <c r="Y625" i="11"/>
  <c r="U625" i="11"/>
  <c r="V625" i="11"/>
  <c r="W625" i="11"/>
  <c r="Z625" i="11"/>
  <c r="W808" i="11"/>
  <c r="X808" i="11"/>
  <c r="U808" i="11"/>
  <c r="V808" i="11"/>
  <c r="Y808" i="11"/>
  <c r="Z808" i="11"/>
  <c r="Z1008" i="11"/>
  <c r="V1008" i="11"/>
  <c r="W1008" i="11"/>
  <c r="Y1008" i="11"/>
  <c r="U1008" i="11"/>
  <c r="X1008" i="11"/>
  <c r="N692" i="11"/>
  <c r="Z692" i="11"/>
  <c r="V692" i="11"/>
  <c r="W692" i="11"/>
  <c r="Y692" i="11"/>
  <c r="U692" i="11"/>
  <c r="X692" i="11"/>
  <c r="N526" i="11"/>
  <c r="W526" i="11"/>
  <c r="V526" i="11"/>
  <c r="U526" i="11"/>
  <c r="X526" i="11"/>
  <c r="Y526" i="11"/>
  <c r="Z526" i="11"/>
  <c r="N728" i="11"/>
  <c r="W728" i="11"/>
  <c r="X728" i="11"/>
  <c r="Y728" i="11"/>
  <c r="Z728" i="11"/>
  <c r="U728" i="11"/>
  <c r="V728" i="11"/>
  <c r="X652" i="11"/>
  <c r="Y652" i="11"/>
  <c r="U652" i="11"/>
  <c r="V652" i="11"/>
  <c r="W652" i="11"/>
  <c r="Z652" i="11"/>
  <c r="X1241" i="11"/>
  <c r="Y1241" i="11"/>
  <c r="U1241" i="11"/>
  <c r="V1241" i="11"/>
  <c r="Z1241" i="11"/>
  <c r="W1241" i="11"/>
  <c r="Z967" i="11"/>
  <c r="V967" i="11"/>
  <c r="W967" i="11"/>
  <c r="X967" i="11"/>
  <c r="Y967" i="11"/>
  <c r="U967" i="11"/>
  <c r="N813" i="11"/>
  <c r="Y813" i="11"/>
  <c r="Z813" i="11"/>
  <c r="U813" i="11"/>
  <c r="V813" i="11"/>
  <c r="W813" i="11"/>
  <c r="X813" i="11"/>
  <c r="X702" i="11"/>
  <c r="Y702" i="11"/>
  <c r="U702" i="11"/>
  <c r="V702" i="11"/>
  <c r="W702" i="11"/>
  <c r="Z702" i="11"/>
  <c r="N580" i="11"/>
  <c r="Z580" i="11"/>
  <c r="V580" i="11"/>
  <c r="W580" i="11"/>
  <c r="X580" i="11"/>
  <c r="Y580" i="11"/>
  <c r="U580" i="11"/>
  <c r="N19" i="11"/>
  <c r="Y19" i="11"/>
  <c r="U19" i="11"/>
  <c r="V19" i="11"/>
  <c r="W19" i="11"/>
  <c r="Z19" i="11"/>
  <c r="X19" i="11"/>
  <c r="N388" i="11"/>
  <c r="U388" i="11"/>
  <c r="Y388" i="11"/>
  <c r="Z388" i="11"/>
  <c r="V388" i="11"/>
  <c r="W388" i="11"/>
  <c r="X388" i="11"/>
  <c r="N659" i="11"/>
  <c r="Z659" i="11"/>
  <c r="V659" i="11"/>
  <c r="W659" i="11"/>
  <c r="Y659" i="11"/>
  <c r="U659" i="11"/>
  <c r="X659" i="11"/>
  <c r="N1243" i="11"/>
  <c r="X1243" i="11"/>
  <c r="U1243" i="11"/>
  <c r="W1243" i="11"/>
  <c r="V1243" i="11"/>
  <c r="Y1243" i="11"/>
  <c r="Z1243" i="11"/>
  <c r="X901" i="11"/>
  <c r="Y901" i="11"/>
  <c r="U901" i="11"/>
  <c r="V901" i="11"/>
  <c r="W901" i="11"/>
  <c r="Z901" i="11"/>
  <c r="U177" i="11"/>
  <c r="Y177" i="11"/>
  <c r="W177" i="11"/>
  <c r="X177" i="11"/>
  <c r="Z177" i="11"/>
  <c r="V177" i="11"/>
  <c r="N1292" i="11"/>
  <c r="V1292" i="11"/>
  <c r="U1292" i="11"/>
  <c r="W1292" i="11"/>
  <c r="Z1292" i="11"/>
  <c r="X1292" i="11"/>
  <c r="Y1292" i="11"/>
  <c r="N1264" i="11"/>
  <c r="Z1264" i="11"/>
  <c r="V1264" i="11"/>
  <c r="W1264" i="11"/>
  <c r="Y1264" i="11"/>
  <c r="U1264" i="11"/>
  <c r="X1264" i="11"/>
  <c r="N1148" i="11"/>
  <c r="V1148" i="11"/>
  <c r="Z1148" i="11"/>
  <c r="U1148" i="11"/>
  <c r="W1148" i="11"/>
  <c r="X1148" i="11"/>
  <c r="Y1148" i="11"/>
  <c r="N1240" i="11"/>
  <c r="Z1240" i="11"/>
  <c r="V1240" i="11"/>
  <c r="W1240" i="11"/>
  <c r="Y1240" i="11"/>
  <c r="X1240" i="11"/>
  <c r="U1240" i="11"/>
  <c r="N1256" i="11"/>
  <c r="Z1256" i="11"/>
  <c r="V1256" i="11"/>
  <c r="W1256" i="11"/>
  <c r="Y1256" i="11"/>
  <c r="U1256" i="11"/>
  <c r="X1256" i="11"/>
  <c r="N1083" i="11"/>
  <c r="V1083" i="11"/>
  <c r="W1083" i="11"/>
  <c r="X1083" i="11"/>
  <c r="Y1083" i="11"/>
  <c r="Z1083" i="11"/>
  <c r="U1083" i="11"/>
  <c r="N1006" i="11"/>
  <c r="V1006" i="11"/>
  <c r="Z1006" i="11"/>
  <c r="U1006" i="11"/>
  <c r="W1006" i="11"/>
  <c r="X1006" i="11"/>
  <c r="Y1006" i="11"/>
  <c r="N1125" i="11"/>
  <c r="X1125" i="11"/>
  <c r="Y1125" i="11"/>
  <c r="Z1125" i="11"/>
  <c r="U1125" i="11"/>
  <c r="V1125" i="11"/>
  <c r="W1125" i="11"/>
  <c r="N1076" i="11"/>
  <c r="X1076" i="11"/>
  <c r="U1076" i="11"/>
  <c r="W1076" i="11"/>
  <c r="V1076" i="11"/>
  <c r="Y1076" i="11"/>
  <c r="Z1076" i="11"/>
  <c r="N965" i="11"/>
  <c r="V965" i="11"/>
  <c r="W965" i="11"/>
  <c r="Z965" i="11"/>
  <c r="U965" i="11"/>
  <c r="X965" i="11"/>
  <c r="Y965" i="11"/>
  <c r="N804" i="11"/>
  <c r="W804" i="11"/>
  <c r="X804" i="11"/>
  <c r="U804" i="11"/>
  <c r="V804" i="11"/>
  <c r="Y804" i="11"/>
  <c r="Z804" i="11"/>
  <c r="N696" i="11"/>
  <c r="Z696" i="11"/>
  <c r="V696" i="11"/>
  <c r="W696" i="11"/>
  <c r="Y696" i="11"/>
  <c r="U696" i="11"/>
  <c r="X696" i="11"/>
  <c r="N760" i="11"/>
  <c r="W760" i="11"/>
  <c r="X760" i="11"/>
  <c r="Y760" i="11"/>
  <c r="Z760" i="11"/>
  <c r="U760" i="11"/>
  <c r="V760" i="11"/>
  <c r="N695" i="11"/>
  <c r="X695" i="11"/>
  <c r="U695" i="11"/>
  <c r="W695" i="11"/>
  <c r="Y695" i="11"/>
  <c r="Z695" i="11"/>
  <c r="V695" i="11"/>
  <c r="N429" i="11"/>
  <c r="Y429" i="11"/>
  <c r="Z429" i="11"/>
  <c r="U429" i="11"/>
  <c r="V429" i="11"/>
  <c r="W429" i="11"/>
  <c r="X429" i="11"/>
  <c r="N684" i="11"/>
  <c r="Z684" i="11"/>
  <c r="V684" i="11"/>
  <c r="W684" i="11"/>
  <c r="Y684" i="11"/>
  <c r="U684" i="11"/>
  <c r="X684" i="11"/>
  <c r="N597" i="11"/>
  <c r="Z597" i="11"/>
  <c r="V597" i="11"/>
  <c r="W597" i="11"/>
  <c r="X597" i="11"/>
  <c r="Y597" i="11"/>
  <c r="U597" i="11"/>
  <c r="N529" i="11"/>
  <c r="U529" i="11"/>
  <c r="Y529" i="11"/>
  <c r="Z529" i="11"/>
  <c r="V529" i="11"/>
  <c r="W529" i="11"/>
  <c r="X529" i="11"/>
  <c r="N505" i="11"/>
  <c r="U505" i="11"/>
  <c r="Y505" i="11"/>
  <c r="Z505" i="11"/>
  <c r="V505" i="11"/>
  <c r="W505" i="11"/>
  <c r="X505" i="11"/>
  <c r="N233" i="11"/>
  <c r="Z233" i="11"/>
  <c r="U233" i="11"/>
  <c r="V233" i="11"/>
  <c r="W233" i="11"/>
  <c r="X233" i="11"/>
  <c r="Y233" i="11"/>
  <c r="N168" i="11"/>
  <c r="W168" i="11"/>
  <c r="U168" i="11"/>
  <c r="V168" i="11"/>
  <c r="X168" i="11"/>
  <c r="Y168" i="11"/>
  <c r="Z168" i="11"/>
  <c r="N105" i="11"/>
  <c r="U105" i="11"/>
  <c r="Y105" i="11"/>
  <c r="Z105" i="11"/>
  <c r="W105" i="11"/>
  <c r="V105" i="11"/>
  <c r="X105" i="11"/>
  <c r="N30" i="11"/>
  <c r="U30" i="11"/>
  <c r="Y30" i="11"/>
  <c r="Z30" i="11"/>
  <c r="W30" i="11"/>
  <c r="V30" i="11"/>
  <c r="X30" i="11"/>
  <c r="N132" i="11"/>
  <c r="W132" i="11"/>
  <c r="U132" i="11"/>
  <c r="X132" i="11"/>
  <c r="V132" i="11"/>
  <c r="Y132" i="11"/>
  <c r="Z132" i="11"/>
  <c r="N164" i="11"/>
  <c r="W164" i="11"/>
  <c r="Z164" i="11"/>
  <c r="U164" i="11"/>
  <c r="X164" i="11"/>
  <c r="Y164" i="11"/>
  <c r="V164" i="11"/>
  <c r="N81" i="11"/>
  <c r="U81" i="11"/>
  <c r="Y81" i="11"/>
  <c r="Z81" i="11"/>
  <c r="V81" i="11"/>
  <c r="W81" i="11"/>
  <c r="X81" i="11"/>
  <c r="N127" i="11"/>
  <c r="U127" i="11"/>
  <c r="Y127" i="11"/>
  <c r="Z127" i="11"/>
  <c r="W127" i="11"/>
  <c r="X127" i="11"/>
  <c r="V127" i="11"/>
  <c r="N174" i="11"/>
  <c r="W174" i="11"/>
  <c r="Z174" i="11"/>
  <c r="U174" i="11"/>
  <c r="V174" i="11"/>
  <c r="X174" i="11"/>
  <c r="Y174" i="11"/>
  <c r="N109" i="11"/>
  <c r="U109" i="11"/>
  <c r="Y109" i="11"/>
  <c r="Z109" i="11"/>
  <c r="V109" i="11"/>
  <c r="W109" i="11"/>
  <c r="X109" i="11"/>
  <c r="N22" i="11"/>
  <c r="W22" i="11"/>
  <c r="U22" i="11"/>
  <c r="X22" i="11"/>
  <c r="Y22" i="11"/>
  <c r="Z22" i="11"/>
  <c r="V22" i="11"/>
  <c r="N1287" i="11"/>
  <c r="X1287" i="11"/>
  <c r="U1287" i="11"/>
  <c r="W1287" i="11"/>
  <c r="Z1287" i="11"/>
  <c r="V1287" i="11"/>
  <c r="Y1287" i="11"/>
  <c r="N1236" i="11"/>
  <c r="Z1236" i="11"/>
  <c r="V1236" i="11"/>
  <c r="W1236" i="11"/>
  <c r="Y1236" i="11"/>
  <c r="X1236" i="11"/>
  <c r="U1236" i="11"/>
  <c r="N1276" i="11"/>
  <c r="Z1276" i="11"/>
  <c r="V1276" i="11"/>
  <c r="W1276" i="11"/>
  <c r="Y1276" i="11"/>
  <c r="U1276" i="11"/>
  <c r="X1276" i="11"/>
  <c r="N1237" i="11"/>
  <c r="X1237" i="11"/>
  <c r="Y1237" i="11"/>
  <c r="V1237" i="11"/>
  <c r="W1237" i="11"/>
  <c r="U1237" i="11"/>
  <c r="Z1237" i="11"/>
  <c r="N1253" i="11"/>
  <c r="X1253" i="11"/>
  <c r="Y1253" i="11"/>
  <c r="V1253" i="11"/>
  <c r="Z1253" i="11"/>
  <c r="U1253" i="11"/>
  <c r="W1253" i="11"/>
  <c r="N1159" i="11"/>
  <c r="X1159" i="11"/>
  <c r="Y1159" i="11"/>
  <c r="U1159" i="11"/>
  <c r="V1159" i="11"/>
  <c r="W1159" i="11"/>
  <c r="Z1159" i="11"/>
  <c r="N1139" i="11"/>
  <c r="X1139" i="11"/>
  <c r="Y1139" i="11"/>
  <c r="V1139" i="11"/>
  <c r="W1139" i="11"/>
  <c r="Z1139" i="11"/>
  <c r="U1139" i="11"/>
  <c r="N999" i="11"/>
  <c r="X999" i="11"/>
  <c r="U999" i="11"/>
  <c r="W999" i="11"/>
  <c r="V999" i="11"/>
  <c r="Y999" i="11"/>
  <c r="Z999" i="11"/>
  <c r="N958" i="11"/>
  <c r="X958" i="11"/>
  <c r="Y958" i="11"/>
  <c r="U958" i="11"/>
  <c r="V958" i="11"/>
  <c r="W958" i="11"/>
  <c r="Z958" i="11"/>
  <c r="U794" i="11"/>
  <c r="V794" i="11"/>
  <c r="Y794" i="11"/>
  <c r="Z794" i="11"/>
  <c r="W794" i="11"/>
  <c r="X794" i="11"/>
  <c r="X1265" i="11"/>
  <c r="Y1265" i="11"/>
  <c r="U1265" i="11"/>
  <c r="V1265" i="11"/>
  <c r="W1265" i="11"/>
  <c r="Z1265" i="11"/>
  <c r="V1156" i="11"/>
  <c r="Z1156" i="11"/>
  <c r="U1156" i="11"/>
  <c r="W1156" i="11"/>
  <c r="X1156" i="11"/>
  <c r="Y1156" i="11"/>
  <c r="V973" i="11"/>
  <c r="W973" i="11"/>
  <c r="Z973" i="11"/>
  <c r="U973" i="11"/>
  <c r="X973" i="11"/>
  <c r="Y973" i="11"/>
  <c r="W824" i="11"/>
  <c r="X824" i="11"/>
  <c r="U824" i="11"/>
  <c r="V824" i="11"/>
  <c r="Y824" i="11"/>
  <c r="Z824" i="11"/>
  <c r="W766" i="11"/>
  <c r="X766" i="11"/>
  <c r="U766" i="11"/>
  <c r="V766" i="11"/>
  <c r="Y766" i="11"/>
  <c r="Z766" i="11"/>
  <c r="N247" i="11"/>
  <c r="X247" i="11"/>
  <c r="U247" i="11"/>
  <c r="V247" i="11"/>
  <c r="W247" i="11"/>
  <c r="Y247" i="11"/>
  <c r="Z247" i="11"/>
  <c r="Y71" i="11"/>
  <c r="U71" i="11"/>
  <c r="V71" i="11"/>
  <c r="W71" i="11"/>
  <c r="X71" i="11"/>
  <c r="Z71" i="11"/>
  <c r="Z1020" i="11"/>
  <c r="V1020" i="11"/>
  <c r="W1020" i="11"/>
  <c r="Y1020" i="11"/>
  <c r="U1020" i="11"/>
  <c r="X1020" i="11"/>
  <c r="V957" i="11"/>
  <c r="W957" i="11"/>
  <c r="Z957" i="11"/>
  <c r="U957" i="11"/>
  <c r="X957" i="11"/>
  <c r="Y957" i="11"/>
  <c r="W857" i="11"/>
  <c r="X857" i="11"/>
  <c r="U857" i="11"/>
  <c r="V857" i="11"/>
  <c r="Y857" i="11"/>
  <c r="Z857" i="11"/>
  <c r="N717" i="11"/>
  <c r="Z717" i="11"/>
  <c r="V717" i="11"/>
  <c r="W717" i="11"/>
  <c r="Y717" i="11"/>
  <c r="U717" i="11"/>
  <c r="X717" i="11"/>
  <c r="W543" i="11"/>
  <c r="U543" i="11"/>
  <c r="V543" i="11"/>
  <c r="X543" i="11"/>
  <c r="Y543" i="11"/>
  <c r="Z543" i="11"/>
  <c r="N480" i="11"/>
  <c r="W480" i="11"/>
  <c r="V480" i="11"/>
  <c r="X480" i="11"/>
  <c r="Y480" i="11"/>
  <c r="Z480" i="11"/>
  <c r="U480" i="11"/>
  <c r="N452" i="11"/>
  <c r="W452" i="11"/>
  <c r="Z452" i="11"/>
  <c r="U452" i="11"/>
  <c r="V452" i="11"/>
  <c r="X452" i="11"/>
  <c r="Y452" i="11"/>
  <c r="W414" i="11"/>
  <c r="U414" i="11"/>
  <c r="V414" i="11"/>
  <c r="X414" i="11"/>
  <c r="Y414" i="11"/>
  <c r="Z414" i="11"/>
  <c r="W302" i="11"/>
  <c r="Z302" i="11"/>
  <c r="U302" i="11"/>
  <c r="V302" i="11"/>
  <c r="X302" i="11"/>
  <c r="Y302" i="11"/>
  <c r="Z248" i="11"/>
  <c r="U248" i="11"/>
  <c r="V248" i="11"/>
  <c r="W248" i="11"/>
  <c r="X248" i="11"/>
  <c r="Y248" i="11"/>
  <c r="N185" i="11"/>
  <c r="W185" i="11"/>
  <c r="X185" i="11"/>
  <c r="Y185" i="11"/>
  <c r="Z185" i="11"/>
  <c r="U185" i="11"/>
  <c r="V185" i="11"/>
  <c r="N87" i="11"/>
  <c r="Y87" i="11"/>
  <c r="U87" i="11"/>
  <c r="V87" i="11"/>
  <c r="W87" i="11"/>
  <c r="X87" i="11"/>
  <c r="Z87" i="11"/>
  <c r="N655" i="11"/>
  <c r="Z655" i="11"/>
  <c r="V655" i="11"/>
  <c r="W655" i="11"/>
  <c r="Y655" i="11"/>
  <c r="U655" i="11"/>
  <c r="X655" i="11"/>
  <c r="W342" i="11"/>
  <c r="U342" i="11"/>
  <c r="V342" i="11"/>
  <c r="X342" i="11"/>
  <c r="Y342" i="11"/>
  <c r="Z342" i="11"/>
  <c r="W318" i="11"/>
  <c r="Z318" i="11"/>
  <c r="U318" i="11"/>
  <c r="V318" i="11"/>
  <c r="X318" i="11"/>
  <c r="Y318" i="11"/>
  <c r="W344" i="11"/>
  <c r="X344" i="11"/>
  <c r="Y344" i="11"/>
  <c r="U344" i="11"/>
  <c r="V344" i="11"/>
  <c r="Z344" i="11"/>
  <c r="N207" i="11"/>
  <c r="X207" i="11"/>
  <c r="U207" i="11"/>
  <c r="V207" i="11"/>
  <c r="Z207" i="11"/>
  <c r="W207" i="11"/>
  <c r="Y207" i="11"/>
  <c r="V908" i="11"/>
  <c r="W908" i="11"/>
  <c r="Z908" i="11"/>
  <c r="U908" i="11"/>
  <c r="X908" i="11"/>
  <c r="Y908" i="11"/>
  <c r="W768" i="11"/>
  <c r="X768" i="11"/>
  <c r="Y768" i="11"/>
  <c r="Z768" i="11"/>
  <c r="U768" i="11"/>
  <c r="V768" i="11"/>
  <c r="W740" i="11"/>
  <c r="X740" i="11"/>
  <c r="Y740" i="11"/>
  <c r="Z740" i="11"/>
  <c r="U740" i="11"/>
  <c r="V740" i="11"/>
  <c r="N819" i="11"/>
  <c r="U819" i="11"/>
  <c r="V819" i="11"/>
  <c r="Y819" i="11"/>
  <c r="Z819" i="11"/>
  <c r="W819" i="11"/>
  <c r="X819" i="11"/>
  <c r="N781" i="11"/>
  <c r="W781" i="11"/>
  <c r="X781" i="11"/>
  <c r="Y781" i="11"/>
  <c r="Z781" i="11"/>
  <c r="U781" i="11"/>
  <c r="V781" i="11"/>
  <c r="N720" i="11"/>
  <c r="X720" i="11"/>
  <c r="W720" i="11"/>
  <c r="V720" i="11"/>
  <c r="Y720" i="11"/>
  <c r="Z720" i="11"/>
  <c r="U720" i="11"/>
  <c r="N500" i="11"/>
  <c r="U500" i="11"/>
  <c r="Y500" i="11"/>
  <c r="Z500" i="11"/>
  <c r="V500" i="11"/>
  <c r="W500" i="11"/>
  <c r="X500" i="11"/>
  <c r="N65" i="11"/>
  <c r="Y65" i="11"/>
  <c r="U65" i="11"/>
  <c r="V65" i="11"/>
  <c r="W65" i="11"/>
  <c r="Z65" i="11"/>
  <c r="X65" i="11"/>
  <c r="N69" i="11"/>
  <c r="W69" i="11"/>
  <c r="U69" i="11"/>
  <c r="X69" i="11"/>
  <c r="Y69" i="11"/>
  <c r="Z69" i="11"/>
  <c r="V69" i="11"/>
  <c r="N14" i="11"/>
  <c r="Y14" i="11"/>
  <c r="U14" i="11"/>
  <c r="V14" i="11"/>
  <c r="W14" i="11"/>
  <c r="X14" i="11"/>
  <c r="Z14" i="11"/>
  <c r="N1045" i="11"/>
  <c r="X1045" i="11"/>
  <c r="Y1045" i="11"/>
  <c r="W1045" i="11"/>
  <c r="Z1045" i="11"/>
  <c r="U1045" i="11"/>
  <c r="V1045" i="11"/>
  <c r="Y886" i="11"/>
  <c r="Z886" i="11"/>
  <c r="U886" i="11"/>
  <c r="V886" i="11"/>
  <c r="W886" i="11"/>
  <c r="X886" i="11"/>
  <c r="W742" i="11"/>
  <c r="X742" i="11"/>
  <c r="U742" i="11"/>
  <c r="V742" i="11"/>
  <c r="Y742" i="11"/>
  <c r="Z742" i="11"/>
  <c r="N642" i="11"/>
  <c r="Z642" i="11"/>
  <c r="V642" i="11"/>
  <c r="W642" i="11"/>
  <c r="Y642" i="11"/>
  <c r="U642" i="11"/>
  <c r="X642" i="11"/>
  <c r="U552" i="11"/>
  <c r="W552" i="11"/>
  <c r="X552" i="11"/>
  <c r="Y552" i="11"/>
  <c r="Z552" i="11"/>
  <c r="V552" i="11"/>
  <c r="N219" i="11"/>
  <c r="X219" i="11"/>
  <c r="U219" i="11"/>
  <c r="V219" i="11"/>
  <c r="W219" i="11"/>
  <c r="Y219" i="11"/>
  <c r="Z219" i="11"/>
  <c r="N1197" i="11"/>
  <c r="V1197" i="11"/>
  <c r="Z1197" i="11"/>
  <c r="U1197" i="11"/>
  <c r="W1197" i="11"/>
  <c r="X1197" i="11"/>
  <c r="Y1197" i="11"/>
  <c r="V977" i="11"/>
  <c r="W977" i="11"/>
  <c r="Z977" i="11"/>
  <c r="U977" i="11"/>
  <c r="Y977" i="11"/>
  <c r="X977" i="11"/>
  <c r="N506" i="11"/>
  <c r="W506" i="11"/>
  <c r="V506" i="11"/>
  <c r="X506" i="11"/>
  <c r="Y506" i="11"/>
  <c r="Z506" i="11"/>
  <c r="U506" i="11"/>
  <c r="N456" i="11"/>
  <c r="W456" i="11"/>
  <c r="V456" i="11"/>
  <c r="X456" i="11"/>
  <c r="Y456" i="11"/>
  <c r="Z456" i="11"/>
  <c r="U456" i="11"/>
  <c r="U317" i="11"/>
  <c r="X317" i="11"/>
  <c r="Y317" i="11"/>
  <c r="Z317" i="11"/>
  <c r="V317" i="11"/>
  <c r="W317" i="11"/>
  <c r="N157" i="11"/>
  <c r="V157" i="11"/>
  <c r="W157" i="11"/>
  <c r="X157" i="11"/>
  <c r="Y157" i="11"/>
  <c r="U157" i="11"/>
  <c r="Z157" i="11"/>
  <c r="N103" i="11"/>
  <c r="Y103" i="11"/>
  <c r="U103" i="11"/>
  <c r="V103" i="11"/>
  <c r="W103" i="11"/>
  <c r="Z103" i="11"/>
  <c r="X103" i="11"/>
  <c r="U309" i="11"/>
  <c r="X309" i="11"/>
  <c r="Y309" i="11"/>
  <c r="Z309" i="11"/>
  <c r="V309" i="11"/>
  <c r="W309" i="11"/>
  <c r="N1272" i="11"/>
  <c r="Z1272" i="11"/>
  <c r="V1272" i="11"/>
  <c r="W1272" i="11"/>
  <c r="Y1272" i="11"/>
  <c r="X1272" i="11"/>
  <c r="U1272" i="11"/>
  <c r="W842" i="11"/>
  <c r="X842" i="11"/>
  <c r="Y842" i="11"/>
  <c r="Z842" i="11"/>
  <c r="U842" i="11"/>
  <c r="V842" i="11"/>
  <c r="Y503" i="11"/>
  <c r="U503" i="11"/>
  <c r="V503" i="11"/>
  <c r="X503" i="11"/>
  <c r="Z503" i="11"/>
  <c r="W503" i="11"/>
  <c r="W257" i="11"/>
  <c r="X257" i="11"/>
  <c r="Y257" i="11"/>
  <c r="Z257" i="11"/>
  <c r="V257" i="11"/>
  <c r="U257" i="11"/>
  <c r="Z914" i="11"/>
  <c r="V914" i="11"/>
  <c r="W914" i="11"/>
  <c r="X914" i="11"/>
  <c r="Y914" i="11"/>
  <c r="U914" i="11"/>
  <c r="U617" i="11"/>
  <c r="X617" i="11"/>
  <c r="Y617" i="11"/>
  <c r="Z617" i="11"/>
  <c r="W617" i="11"/>
  <c r="V617" i="11"/>
  <c r="Z1012" i="11"/>
  <c r="V1012" i="11"/>
  <c r="W1012" i="11"/>
  <c r="Y1012" i="11"/>
  <c r="U1012" i="11"/>
  <c r="X1012" i="11"/>
  <c r="Z1142" i="11"/>
  <c r="V1142" i="11"/>
  <c r="W1142" i="11"/>
  <c r="Y1142" i="11"/>
  <c r="U1142" i="11"/>
  <c r="X1142" i="11"/>
  <c r="U860" i="11"/>
  <c r="V860" i="11"/>
  <c r="Y860" i="11"/>
  <c r="Z860" i="11"/>
  <c r="W860" i="11"/>
  <c r="X860" i="11"/>
  <c r="W360" i="11"/>
  <c r="U360" i="11"/>
  <c r="V360" i="11"/>
  <c r="X360" i="11"/>
  <c r="Y360" i="11"/>
  <c r="Z360" i="11"/>
  <c r="N942" i="11"/>
  <c r="Z942" i="11"/>
  <c r="V942" i="11"/>
  <c r="W942" i="11"/>
  <c r="X942" i="11"/>
  <c r="Y942" i="11"/>
  <c r="U942" i="11"/>
  <c r="U569" i="11"/>
  <c r="X569" i="11"/>
  <c r="Y569" i="11"/>
  <c r="Z569" i="11"/>
  <c r="W569" i="11"/>
  <c r="V569" i="11"/>
  <c r="X1117" i="11"/>
  <c r="Y1117" i="11"/>
  <c r="Z1117" i="11"/>
  <c r="U1117" i="11"/>
  <c r="V1117" i="11"/>
  <c r="W1117" i="11"/>
  <c r="U892" i="11"/>
  <c r="V892" i="11"/>
  <c r="W892" i="11"/>
  <c r="X892" i="11"/>
  <c r="Y892" i="11"/>
  <c r="Z892" i="11"/>
  <c r="U350" i="11"/>
  <c r="Y350" i="11"/>
  <c r="Z350" i="11"/>
  <c r="V350" i="11"/>
  <c r="W350" i="11"/>
  <c r="X350" i="11"/>
  <c r="N1267" i="11"/>
  <c r="X1267" i="11"/>
  <c r="U1267" i="11"/>
  <c r="W1267" i="11"/>
  <c r="Y1267" i="11"/>
  <c r="Z1267" i="11"/>
  <c r="V1267" i="11"/>
  <c r="N51" i="11"/>
  <c r="W51" i="11"/>
  <c r="X51" i="11"/>
  <c r="Y51" i="11"/>
  <c r="U51" i="11"/>
  <c r="Z51" i="11"/>
  <c r="V51" i="11"/>
  <c r="N1227" i="11"/>
  <c r="X1227" i="11"/>
  <c r="U1227" i="11"/>
  <c r="W1227" i="11"/>
  <c r="Y1227" i="11"/>
  <c r="Z1227" i="11"/>
  <c r="V1227" i="11"/>
  <c r="N1067" i="11"/>
  <c r="V1067" i="11"/>
  <c r="Z1067" i="11"/>
  <c r="U1067" i="11"/>
  <c r="Y1067" i="11"/>
  <c r="W1067" i="11"/>
  <c r="X1067" i="11"/>
  <c r="N948" i="11"/>
  <c r="V948" i="11"/>
  <c r="W948" i="11"/>
  <c r="Z948" i="11"/>
  <c r="U948" i="11"/>
  <c r="X948" i="11"/>
  <c r="Y948" i="11"/>
  <c r="N756" i="11"/>
  <c r="W756" i="11"/>
  <c r="X756" i="11"/>
  <c r="Y756" i="11"/>
  <c r="Z756" i="11"/>
  <c r="U756" i="11"/>
  <c r="V756" i="11"/>
  <c r="N641" i="11"/>
  <c r="X641" i="11"/>
  <c r="U641" i="11"/>
  <c r="W641" i="11"/>
  <c r="V641" i="11"/>
  <c r="Y641" i="11"/>
  <c r="Z641" i="11"/>
  <c r="N1031" i="11"/>
  <c r="X1031" i="11"/>
  <c r="U1031" i="11"/>
  <c r="W1031" i="11"/>
  <c r="V1031" i="11"/>
  <c r="Y1031" i="11"/>
  <c r="Z1031" i="11"/>
  <c r="N688" i="11"/>
  <c r="Z688" i="11"/>
  <c r="V688" i="11"/>
  <c r="W688" i="11"/>
  <c r="Y688" i="11"/>
  <c r="U688" i="11"/>
  <c r="X688" i="11"/>
  <c r="N909" i="11"/>
  <c r="X909" i="11"/>
  <c r="Y909" i="11"/>
  <c r="U909" i="11"/>
  <c r="V909" i="11"/>
  <c r="W909" i="11"/>
  <c r="Z909" i="11"/>
  <c r="N796" i="11"/>
  <c r="Y796" i="11"/>
  <c r="Z796" i="11"/>
  <c r="U796" i="11"/>
  <c r="V796" i="11"/>
  <c r="W796" i="11"/>
  <c r="X796" i="11"/>
  <c r="N651" i="11"/>
  <c r="Z651" i="11"/>
  <c r="V651" i="11"/>
  <c r="W651" i="11"/>
  <c r="Y651" i="11"/>
  <c r="U651" i="11"/>
  <c r="X651" i="11"/>
  <c r="N588" i="11"/>
  <c r="Z588" i="11"/>
  <c r="V588" i="11"/>
  <c r="W588" i="11"/>
  <c r="X588" i="11"/>
  <c r="Y588" i="11"/>
  <c r="U588" i="11"/>
  <c r="N546" i="11"/>
  <c r="Y546" i="11"/>
  <c r="U546" i="11"/>
  <c r="V546" i="11"/>
  <c r="W546" i="11"/>
  <c r="X546" i="11"/>
  <c r="Z546" i="11"/>
  <c r="Z208" i="11"/>
  <c r="U208" i="11"/>
  <c r="V208" i="11"/>
  <c r="W208" i="11"/>
  <c r="X208" i="11"/>
  <c r="Y208" i="11"/>
  <c r="N121" i="11"/>
  <c r="Y121" i="11"/>
  <c r="U121" i="11"/>
  <c r="V121" i="11"/>
  <c r="W121" i="11"/>
  <c r="X121" i="11"/>
  <c r="Z121" i="11"/>
  <c r="N98" i="11"/>
  <c r="Y98" i="11"/>
  <c r="U98" i="11"/>
  <c r="V98" i="11"/>
  <c r="W98" i="11"/>
  <c r="X98" i="11"/>
  <c r="Z98" i="11"/>
  <c r="N5" i="11"/>
  <c r="Y5" i="11"/>
  <c r="X5" i="11"/>
  <c r="U5" i="11"/>
  <c r="W5" i="11"/>
  <c r="Z5" i="11"/>
  <c r="V5" i="11"/>
  <c r="N228" i="11"/>
  <c r="Z228" i="11"/>
  <c r="U228" i="11"/>
  <c r="V228" i="11"/>
  <c r="W228" i="11"/>
  <c r="X228" i="11"/>
  <c r="Y228" i="11"/>
  <c r="N92" i="11"/>
  <c r="W92" i="11"/>
  <c r="U92" i="11"/>
  <c r="Y92" i="11"/>
  <c r="V92" i="11"/>
  <c r="X92" i="11"/>
  <c r="Z92" i="11"/>
  <c r="N18" i="11"/>
  <c r="W18" i="11"/>
  <c r="U18" i="11"/>
  <c r="Y18" i="11"/>
  <c r="V18" i="11"/>
  <c r="X18" i="11"/>
  <c r="Z18" i="11"/>
  <c r="N63" i="11"/>
  <c r="U63" i="11"/>
  <c r="Y63" i="11"/>
  <c r="Z63" i="11"/>
  <c r="V63" i="11"/>
  <c r="W63" i="11"/>
  <c r="X63" i="11"/>
  <c r="N95" i="11"/>
  <c r="U95" i="11"/>
  <c r="Y95" i="11"/>
  <c r="Z95" i="11"/>
  <c r="W95" i="11"/>
  <c r="V95" i="11"/>
  <c r="X95" i="11"/>
  <c r="N160" i="11"/>
  <c r="Y160" i="11"/>
  <c r="U160" i="11"/>
  <c r="V160" i="11"/>
  <c r="W160" i="11"/>
  <c r="X160" i="11"/>
  <c r="Z160" i="11"/>
  <c r="N97" i="11"/>
  <c r="W97" i="11"/>
  <c r="U97" i="11"/>
  <c r="X97" i="11"/>
  <c r="Y97" i="11"/>
  <c r="Z97" i="11"/>
  <c r="V97" i="11"/>
  <c r="N16" i="11"/>
  <c r="U16" i="11"/>
  <c r="Y16" i="11"/>
  <c r="Z16" i="11"/>
  <c r="V16" i="11"/>
  <c r="W16" i="11"/>
  <c r="X16" i="11"/>
  <c r="N1244" i="11"/>
  <c r="Z1244" i="11"/>
  <c r="V1244" i="11"/>
  <c r="W1244" i="11"/>
  <c r="Y1244" i="11"/>
  <c r="U1244" i="11"/>
  <c r="X1244" i="11"/>
  <c r="X1249" i="11"/>
  <c r="Y1249" i="11"/>
  <c r="U1249" i="11"/>
  <c r="V1249" i="11"/>
  <c r="W1249" i="11"/>
  <c r="Z1249" i="11"/>
  <c r="N1181" i="11"/>
  <c r="V1181" i="11"/>
  <c r="Z1181" i="11"/>
  <c r="U1181" i="11"/>
  <c r="W1181" i="11"/>
  <c r="X1181" i="11"/>
  <c r="Y1181" i="11"/>
  <c r="N1060" i="11"/>
  <c r="X1060" i="11"/>
  <c r="U1060" i="11"/>
  <c r="W1060" i="11"/>
  <c r="V1060" i="11"/>
  <c r="Y1060" i="11"/>
  <c r="Z1060" i="11"/>
  <c r="X917" i="11"/>
  <c r="Y917" i="11"/>
  <c r="U917" i="11"/>
  <c r="V917" i="11"/>
  <c r="W917" i="11"/>
  <c r="Z917" i="11"/>
  <c r="N829" i="11"/>
  <c r="Y829" i="11"/>
  <c r="Z829" i="11"/>
  <c r="U829" i="11"/>
  <c r="V829" i="11"/>
  <c r="W829" i="11"/>
  <c r="X829" i="11"/>
  <c r="N1232" i="11"/>
  <c r="Z1232" i="11"/>
  <c r="V1232" i="11"/>
  <c r="W1232" i="11"/>
  <c r="Y1232" i="11"/>
  <c r="X1232" i="11"/>
  <c r="U1232" i="11"/>
  <c r="N1066" i="11"/>
  <c r="X1066" i="11"/>
  <c r="Y1066" i="11"/>
  <c r="U1066" i="11"/>
  <c r="V1066" i="11"/>
  <c r="W1066" i="11"/>
  <c r="Z1066" i="11"/>
  <c r="N1019" i="11"/>
  <c r="X1019" i="11"/>
  <c r="U1019" i="11"/>
  <c r="W1019" i="11"/>
  <c r="V1019" i="11"/>
  <c r="Y1019" i="11"/>
  <c r="Z1019" i="11"/>
  <c r="U939" i="11"/>
  <c r="X939" i="11"/>
  <c r="Y939" i="11"/>
  <c r="Z939" i="11"/>
  <c r="W939" i="11"/>
  <c r="V939" i="11"/>
  <c r="W336" i="11"/>
  <c r="X336" i="11"/>
  <c r="Y336" i="11"/>
  <c r="U336" i="11"/>
  <c r="V336" i="11"/>
  <c r="Z336" i="11"/>
  <c r="V137" i="11"/>
  <c r="W137" i="11"/>
  <c r="X137" i="11"/>
  <c r="Y137" i="11"/>
  <c r="U137" i="11"/>
  <c r="Z137" i="11"/>
  <c r="N1126" i="11"/>
  <c r="Z1126" i="11"/>
  <c r="U1126" i="11"/>
  <c r="V1126" i="11"/>
  <c r="W1126" i="11"/>
  <c r="X1126" i="11"/>
  <c r="Y1126" i="11"/>
  <c r="N947" i="11"/>
  <c r="U947" i="11"/>
  <c r="X947" i="11"/>
  <c r="Y947" i="11"/>
  <c r="Z947" i="11"/>
  <c r="V947" i="11"/>
  <c r="W947" i="11"/>
  <c r="W826" i="11"/>
  <c r="X826" i="11"/>
  <c r="Y826" i="11"/>
  <c r="Z826" i="11"/>
  <c r="U826" i="11"/>
  <c r="V826" i="11"/>
  <c r="N663" i="11"/>
  <c r="Z663" i="11"/>
  <c r="V663" i="11"/>
  <c r="W663" i="11"/>
  <c r="Y663" i="11"/>
  <c r="U663" i="11"/>
  <c r="X663" i="11"/>
  <c r="U585" i="11"/>
  <c r="X585" i="11"/>
  <c r="Y585" i="11"/>
  <c r="Z585" i="11"/>
  <c r="W585" i="11"/>
  <c r="V585" i="11"/>
  <c r="W371" i="11"/>
  <c r="X371" i="11"/>
  <c r="Y371" i="11"/>
  <c r="U371" i="11"/>
  <c r="V371" i="11"/>
  <c r="Z371" i="11"/>
  <c r="Z282" i="11"/>
  <c r="V282" i="11"/>
  <c r="U282" i="11"/>
  <c r="Y282" i="11"/>
  <c r="W282" i="11"/>
  <c r="X282" i="11"/>
  <c r="N154" i="11"/>
  <c r="V154" i="11"/>
  <c r="W154" i="11"/>
  <c r="X154" i="11"/>
  <c r="Y154" i="11"/>
  <c r="U154" i="11"/>
  <c r="Z154" i="11"/>
  <c r="N550" i="11"/>
  <c r="Y550" i="11"/>
  <c r="V550" i="11"/>
  <c r="W550" i="11"/>
  <c r="X550" i="11"/>
  <c r="Z550" i="11"/>
  <c r="U550" i="11"/>
  <c r="N493" i="11"/>
  <c r="W493" i="11"/>
  <c r="V493" i="11"/>
  <c r="U493" i="11"/>
  <c r="X493" i="11"/>
  <c r="Y493" i="11"/>
  <c r="Z493" i="11"/>
  <c r="N434" i="11"/>
  <c r="V434" i="11"/>
  <c r="W434" i="11"/>
  <c r="U434" i="11"/>
  <c r="Z434" i="11"/>
  <c r="X434" i="11"/>
  <c r="Y434" i="11"/>
  <c r="W334" i="11"/>
  <c r="U334" i="11"/>
  <c r="V334" i="11"/>
  <c r="X334" i="11"/>
  <c r="Y334" i="11"/>
  <c r="Z334" i="11"/>
  <c r="Z274" i="11"/>
  <c r="V274" i="11"/>
  <c r="U274" i="11"/>
  <c r="W274" i="11"/>
  <c r="X274" i="11"/>
  <c r="Y274" i="11"/>
  <c r="N133" i="11"/>
  <c r="W133" i="11"/>
  <c r="U133" i="11"/>
  <c r="V133" i="11"/>
  <c r="X133" i="11"/>
  <c r="Y133" i="11"/>
  <c r="Z133" i="11"/>
  <c r="N107" i="11"/>
  <c r="Y107" i="11"/>
  <c r="U107" i="11"/>
  <c r="V107" i="11"/>
  <c r="W107" i="11"/>
  <c r="X107" i="11"/>
  <c r="Z107" i="11"/>
  <c r="N189" i="11"/>
  <c r="W189" i="11"/>
  <c r="U189" i="11"/>
  <c r="V189" i="11"/>
  <c r="X189" i="11"/>
  <c r="Y189" i="11"/>
  <c r="Z189" i="11"/>
  <c r="N902" i="11"/>
  <c r="Z902" i="11"/>
  <c r="U902" i="11"/>
  <c r="V902" i="11"/>
  <c r="W902" i="11"/>
  <c r="X902" i="11"/>
  <c r="Y902" i="11"/>
  <c r="N1191" i="11"/>
  <c r="Z1191" i="11"/>
  <c r="V1191" i="11"/>
  <c r="W1191" i="11"/>
  <c r="Y1191" i="11"/>
  <c r="X1191" i="11"/>
  <c r="U1191" i="11"/>
  <c r="V1054" i="11"/>
  <c r="Z1054" i="11"/>
  <c r="U1054" i="11"/>
  <c r="W1054" i="11"/>
  <c r="X1054" i="11"/>
  <c r="Y1054" i="11"/>
  <c r="N485" i="11"/>
  <c r="W485" i="11"/>
  <c r="V485" i="11"/>
  <c r="U485" i="11"/>
  <c r="X485" i="11"/>
  <c r="Y485" i="11"/>
  <c r="Z485" i="11"/>
  <c r="V304" i="11"/>
  <c r="W304" i="11"/>
  <c r="X304" i="11"/>
  <c r="Y304" i="11"/>
  <c r="U304" i="11"/>
  <c r="Z304" i="11"/>
  <c r="N1220" i="11"/>
  <c r="Z1220" i="11"/>
  <c r="V1220" i="11"/>
  <c r="W1220" i="11"/>
  <c r="Y1220" i="11"/>
  <c r="X1220" i="11"/>
  <c r="U1220" i="11"/>
  <c r="N974" i="11"/>
  <c r="X974" i="11"/>
  <c r="Y974" i="11"/>
  <c r="U974" i="11"/>
  <c r="V974" i="11"/>
  <c r="W974" i="11"/>
  <c r="Z974" i="11"/>
  <c r="N489" i="11"/>
  <c r="W489" i="11"/>
  <c r="V489" i="11"/>
  <c r="X489" i="11"/>
  <c r="Y489" i="11"/>
  <c r="Z489" i="11"/>
  <c r="U489" i="11"/>
  <c r="X259" i="11"/>
  <c r="U259" i="11"/>
  <c r="V259" i="11"/>
  <c r="Y259" i="11"/>
  <c r="W259" i="11"/>
  <c r="Z259" i="11"/>
  <c r="N166" i="11"/>
  <c r="V166" i="11"/>
  <c r="W166" i="11"/>
  <c r="X166" i="11"/>
  <c r="Y166" i="11"/>
  <c r="Z166" i="11"/>
  <c r="U166" i="11"/>
  <c r="N1235" i="11"/>
  <c r="X1235" i="11"/>
  <c r="U1235" i="11"/>
  <c r="W1235" i="11"/>
  <c r="V1235" i="11"/>
  <c r="Y1235" i="11"/>
  <c r="Z1235" i="11"/>
  <c r="U1123" i="11"/>
  <c r="V1123" i="11"/>
  <c r="W1123" i="11"/>
  <c r="X1123" i="11"/>
  <c r="Y1123" i="11"/>
  <c r="Z1123" i="11"/>
  <c r="N634" i="11"/>
  <c r="Z634" i="11"/>
  <c r="V634" i="11"/>
  <c r="W634" i="11"/>
  <c r="X634" i="11"/>
  <c r="Y634" i="11"/>
  <c r="U634" i="11"/>
  <c r="X615" i="11"/>
  <c r="Y615" i="11"/>
  <c r="U615" i="11"/>
  <c r="V615" i="11"/>
  <c r="W615" i="11"/>
  <c r="Z615" i="11"/>
  <c r="U423" i="11"/>
  <c r="V423" i="11"/>
  <c r="W423" i="11"/>
  <c r="X423" i="11"/>
  <c r="Y423" i="11"/>
  <c r="Z423" i="11"/>
  <c r="Z264" i="11"/>
  <c r="V264" i="11"/>
  <c r="U264" i="11"/>
  <c r="W264" i="11"/>
  <c r="X264" i="11"/>
  <c r="Y264" i="11"/>
  <c r="N28" i="11"/>
  <c r="Y28" i="11"/>
  <c r="U28" i="11"/>
  <c r="V28" i="11"/>
  <c r="W28" i="11"/>
  <c r="Z28" i="11"/>
  <c r="X28" i="11"/>
  <c r="Z995" i="11"/>
  <c r="V995" i="11"/>
  <c r="W995" i="11"/>
  <c r="Y995" i="11"/>
  <c r="U995" i="11"/>
  <c r="X995" i="11"/>
  <c r="X673" i="11"/>
  <c r="Y673" i="11"/>
  <c r="U673" i="11"/>
  <c r="V673" i="11"/>
  <c r="W673" i="11"/>
  <c r="Z673" i="11"/>
  <c r="U605" i="11"/>
  <c r="X605" i="11"/>
  <c r="Y605" i="11"/>
  <c r="Z605" i="11"/>
  <c r="V605" i="11"/>
  <c r="W605" i="11"/>
  <c r="N613" i="11"/>
  <c r="U613" i="11"/>
  <c r="X613" i="11"/>
  <c r="Y613" i="11"/>
  <c r="Z613" i="11"/>
  <c r="V613" i="11"/>
  <c r="W613" i="11"/>
  <c r="Y486" i="11"/>
  <c r="U486" i="11"/>
  <c r="V486" i="11"/>
  <c r="X486" i="11"/>
  <c r="Z486" i="11"/>
  <c r="W486" i="11"/>
  <c r="Z1216" i="11"/>
  <c r="V1216" i="11"/>
  <c r="W1216" i="11"/>
  <c r="Y1216" i="11"/>
  <c r="U1216" i="11"/>
  <c r="X1216" i="11"/>
  <c r="X648" i="11"/>
  <c r="Y648" i="11"/>
  <c r="U648" i="11"/>
  <c r="V648" i="11"/>
  <c r="W648" i="11"/>
  <c r="Z648" i="11"/>
  <c r="Z963" i="11"/>
  <c r="V963" i="11"/>
  <c r="W963" i="11"/>
  <c r="X963" i="11"/>
  <c r="Y963" i="11"/>
  <c r="U963" i="11"/>
  <c r="N814" i="11"/>
  <c r="W814" i="11"/>
  <c r="X814" i="11"/>
  <c r="Y814" i="11"/>
  <c r="Z814" i="11"/>
  <c r="U814" i="11"/>
  <c r="V814" i="11"/>
  <c r="U413" i="11"/>
  <c r="Y413" i="11"/>
  <c r="Z413" i="11"/>
  <c r="V413" i="11"/>
  <c r="W413" i="11"/>
  <c r="X413" i="11"/>
  <c r="X281" i="11"/>
  <c r="U281" i="11"/>
  <c r="V281" i="11"/>
  <c r="W281" i="11"/>
  <c r="Y281" i="11"/>
  <c r="Z281" i="11"/>
  <c r="W810" i="11"/>
  <c r="X810" i="11"/>
  <c r="Y810" i="11"/>
  <c r="Z810" i="11"/>
  <c r="U810" i="11"/>
  <c r="V810" i="11"/>
  <c r="N572" i="11"/>
  <c r="Z572" i="11"/>
  <c r="V572" i="11"/>
  <c r="W572" i="11"/>
  <c r="X572" i="11"/>
  <c r="Y572" i="11"/>
  <c r="U572" i="11"/>
  <c r="Y527" i="11"/>
  <c r="U527" i="11"/>
  <c r="V527" i="11"/>
  <c r="X527" i="11"/>
  <c r="Z527" i="11"/>
  <c r="W527" i="11"/>
  <c r="Z1105" i="11"/>
  <c r="U1105" i="11"/>
  <c r="V1105" i="11"/>
  <c r="W1105" i="11"/>
  <c r="X1105" i="11"/>
  <c r="Y1105" i="11"/>
  <c r="N1154" i="11"/>
  <c r="Z1154" i="11"/>
  <c r="V1154" i="11"/>
  <c r="W1154" i="11"/>
  <c r="Y1154" i="11"/>
  <c r="X1154" i="11"/>
  <c r="U1154" i="11"/>
  <c r="W353" i="11"/>
  <c r="X353" i="11"/>
  <c r="Y353" i="11"/>
  <c r="U353" i="11"/>
  <c r="V353" i="11"/>
  <c r="Z353" i="11"/>
  <c r="W217" i="11"/>
  <c r="X217" i="11"/>
  <c r="Y217" i="11"/>
  <c r="Z217" i="11"/>
  <c r="V217" i="11"/>
  <c r="U217" i="11"/>
  <c r="N1184" i="11"/>
  <c r="X1184" i="11"/>
  <c r="Y1184" i="11"/>
  <c r="U1184" i="11"/>
  <c r="V1184" i="11"/>
  <c r="Z1184" i="11"/>
  <c r="W1184" i="11"/>
  <c r="N1050" i="11"/>
  <c r="V1050" i="11"/>
  <c r="Z1050" i="11"/>
  <c r="U1050" i="11"/>
  <c r="Y1050" i="11"/>
  <c r="W1050" i="11"/>
  <c r="X1050" i="11"/>
  <c r="N1022" i="11"/>
  <c r="V1022" i="11"/>
  <c r="Z1022" i="11"/>
  <c r="U1022" i="11"/>
  <c r="W1022" i="11"/>
  <c r="X1022" i="11"/>
  <c r="Y1022" i="11"/>
  <c r="N1155" i="11"/>
  <c r="X1155" i="11"/>
  <c r="Y1155" i="11"/>
  <c r="V1155" i="11"/>
  <c r="W1155" i="11"/>
  <c r="Z1155" i="11"/>
  <c r="U1155" i="11"/>
  <c r="N985" i="11"/>
  <c r="V985" i="11"/>
  <c r="Z985" i="11"/>
  <c r="U985" i="11"/>
  <c r="W985" i="11"/>
  <c r="X985" i="11"/>
  <c r="Y985" i="11"/>
  <c r="N932" i="11"/>
  <c r="V932" i="11"/>
  <c r="W932" i="11"/>
  <c r="Z932" i="11"/>
  <c r="U932" i="11"/>
  <c r="X932" i="11"/>
  <c r="Y932" i="11"/>
  <c r="N671" i="11"/>
  <c r="Z671" i="11"/>
  <c r="V671" i="11"/>
  <c r="W671" i="11"/>
  <c r="Y671" i="11"/>
  <c r="U671" i="11"/>
  <c r="X671" i="11"/>
  <c r="N845" i="11"/>
  <c r="Y845" i="11"/>
  <c r="Z845" i="11"/>
  <c r="U845" i="11"/>
  <c r="V845" i="11"/>
  <c r="W845" i="11"/>
  <c r="X845" i="11"/>
  <c r="N736" i="11"/>
  <c r="W736" i="11"/>
  <c r="X736" i="11"/>
  <c r="Y736" i="11"/>
  <c r="Z736" i="11"/>
  <c r="U736" i="11"/>
  <c r="V736" i="11"/>
  <c r="N525" i="11"/>
  <c r="U525" i="11"/>
  <c r="Y525" i="11"/>
  <c r="Z525" i="11"/>
  <c r="V525" i="11"/>
  <c r="W525" i="11"/>
  <c r="X525" i="11"/>
  <c r="N459" i="11"/>
  <c r="U459" i="11"/>
  <c r="Y459" i="11"/>
  <c r="Z459" i="11"/>
  <c r="V459" i="11"/>
  <c r="W459" i="11"/>
  <c r="X459" i="11"/>
  <c r="N547" i="11"/>
  <c r="V547" i="11"/>
  <c r="W547" i="11"/>
  <c r="X547" i="11"/>
  <c r="Y547" i="11"/>
  <c r="Z547" i="11"/>
  <c r="U547" i="11"/>
  <c r="N386" i="11"/>
  <c r="Y386" i="11"/>
  <c r="U386" i="11"/>
  <c r="V386" i="11"/>
  <c r="W386" i="11"/>
  <c r="X386" i="11"/>
  <c r="Z386" i="11"/>
  <c r="N287" i="11"/>
  <c r="Y287" i="11"/>
  <c r="U287" i="11"/>
  <c r="V287" i="11"/>
  <c r="W287" i="11"/>
  <c r="X287" i="11"/>
  <c r="Z287" i="11"/>
  <c r="N579" i="11"/>
  <c r="X579" i="11"/>
  <c r="Y579" i="11"/>
  <c r="U579" i="11"/>
  <c r="V579" i="11"/>
  <c r="W579" i="11"/>
  <c r="Z579" i="11"/>
  <c r="N563" i="11"/>
  <c r="X563" i="11"/>
  <c r="Y563" i="11"/>
  <c r="U563" i="11"/>
  <c r="V563" i="11"/>
  <c r="W563" i="11"/>
  <c r="Z563" i="11"/>
  <c r="N479" i="11"/>
  <c r="U479" i="11"/>
  <c r="Y479" i="11"/>
  <c r="Z479" i="11"/>
  <c r="V479" i="11"/>
  <c r="W479" i="11"/>
  <c r="X479" i="11"/>
  <c r="N441" i="11"/>
  <c r="Y441" i="11"/>
  <c r="Z441" i="11"/>
  <c r="U441" i="11"/>
  <c r="X441" i="11"/>
  <c r="V441" i="11"/>
  <c r="W441" i="11"/>
  <c r="N425" i="11"/>
  <c r="Y425" i="11"/>
  <c r="Z425" i="11"/>
  <c r="U425" i="11"/>
  <c r="V425" i="11"/>
  <c r="W425" i="11"/>
  <c r="X425" i="11"/>
  <c r="N852" i="11"/>
  <c r="U852" i="11"/>
  <c r="V852" i="11"/>
  <c r="Y852" i="11"/>
  <c r="Z852" i="11"/>
  <c r="W852" i="11"/>
  <c r="X852" i="11"/>
  <c r="N224" i="11"/>
  <c r="Z224" i="11"/>
  <c r="U224" i="11"/>
  <c r="V224" i="11"/>
  <c r="W224" i="11"/>
  <c r="X224" i="11"/>
  <c r="Y224" i="11"/>
  <c r="N152" i="11"/>
  <c r="W152" i="11"/>
  <c r="Z152" i="11"/>
  <c r="U152" i="11"/>
  <c r="X152" i="11"/>
  <c r="V152" i="11"/>
  <c r="Y152" i="11"/>
  <c r="N85" i="11"/>
  <c r="U85" i="11"/>
  <c r="Y85" i="11"/>
  <c r="Z85" i="11"/>
  <c r="W85" i="11"/>
  <c r="X85" i="11"/>
  <c r="V85" i="11"/>
  <c r="N12" i="11"/>
  <c r="U12" i="11"/>
  <c r="Y12" i="11"/>
  <c r="Z12" i="11"/>
  <c r="W12" i="11"/>
  <c r="X12" i="11"/>
  <c r="V12" i="11"/>
  <c r="N82" i="11"/>
  <c r="W82" i="11"/>
  <c r="U82" i="11"/>
  <c r="Y82" i="11"/>
  <c r="V82" i="11"/>
  <c r="Z82" i="11"/>
  <c r="X82" i="11"/>
  <c r="N136" i="11"/>
  <c r="Y136" i="11"/>
  <c r="U136" i="11"/>
  <c r="V136" i="11"/>
  <c r="W136" i="11"/>
  <c r="X136" i="11"/>
  <c r="Z136" i="11"/>
  <c r="N49" i="11"/>
  <c r="W49" i="11"/>
  <c r="U49" i="11"/>
  <c r="X49" i="11"/>
  <c r="Y49" i="11"/>
  <c r="Z49" i="11"/>
  <c r="V49" i="11"/>
  <c r="N77" i="11"/>
  <c r="U77" i="11"/>
  <c r="Y77" i="11"/>
  <c r="Z77" i="11"/>
  <c r="W77" i="11"/>
  <c r="V77" i="11"/>
  <c r="X77" i="11"/>
  <c r="N156" i="11"/>
  <c r="W156" i="11"/>
  <c r="Z156" i="11"/>
  <c r="U156" i="11"/>
  <c r="V156" i="11"/>
  <c r="Y156" i="11"/>
  <c r="X156" i="11"/>
  <c r="N90" i="11"/>
  <c r="U90" i="11"/>
  <c r="Y90" i="11"/>
  <c r="Z90" i="11"/>
  <c r="V90" i="11"/>
  <c r="W90" i="11"/>
  <c r="X90" i="11"/>
  <c r="N159" i="11"/>
  <c r="W159" i="11"/>
  <c r="Z159" i="11"/>
  <c r="U159" i="11"/>
  <c r="Y159" i="11"/>
  <c r="V159" i="11"/>
  <c r="X159" i="11"/>
  <c r="N1169" i="11"/>
  <c r="V1169" i="11"/>
  <c r="Z1169" i="11"/>
  <c r="U1169" i="11"/>
  <c r="X1169" i="11"/>
  <c r="Y1169" i="11"/>
  <c r="W1169" i="11"/>
  <c r="N1158" i="11"/>
  <c r="Z1158" i="11"/>
  <c r="V1158" i="11"/>
  <c r="W1158" i="11"/>
  <c r="Y1158" i="11"/>
  <c r="X1158" i="11"/>
  <c r="U1158" i="11"/>
  <c r="N1099" i="11"/>
  <c r="V1099" i="11"/>
  <c r="W1099" i="11"/>
  <c r="X1099" i="11"/>
  <c r="Y1099" i="11"/>
  <c r="Z1099" i="11"/>
  <c r="U1099" i="11"/>
  <c r="N1175" i="11"/>
  <c r="Z1175" i="11"/>
  <c r="V1175" i="11"/>
  <c r="W1175" i="11"/>
  <c r="Y1175" i="11"/>
  <c r="U1175" i="11"/>
  <c r="X1175" i="11"/>
  <c r="N1132" i="11"/>
  <c r="V1132" i="11"/>
  <c r="Z1132" i="11"/>
  <c r="U1132" i="11"/>
  <c r="W1132" i="11"/>
  <c r="X1132" i="11"/>
  <c r="Y1132" i="11"/>
  <c r="Z1040" i="11"/>
  <c r="V1040" i="11"/>
  <c r="W1040" i="11"/>
  <c r="Y1040" i="11"/>
  <c r="U1040" i="11"/>
  <c r="X1040" i="11"/>
  <c r="V940" i="11"/>
  <c r="W940" i="11"/>
  <c r="Z940" i="11"/>
  <c r="U940" i="11"/>
  <c r="X940" i="11"/>
  <c r="Y940" i="11"/>
  <c r="V961" i="11"/>
  <c r="W961" i="11"/>
  <c r="Z961" i="11"/>
  <c r="U961" i="11"/>
  <c r="Y961" i="11"/>
  <c r="X961" i="11"/>
  <c r="W844" i="11"/>
  <c r="X844" i="11"/>
  <c r="U844" i="11"/>
  <c r="V844" i="11"/>
  <c r="Y844" i="11"/>
  <c r="Z844" i="11"/>
  <c r="N820" i="11"/>
  <c r="W820" i="11"/>
  <c r="X820" i="11"/>
  <c r="U820" i="11"/>
  <c r="V820" i="11"/>
  <c r="Y820" i="11"/>
  <c r="Z820" i="11"/>
  <c r="N721" i="11"/>
  <c r="Z721" i="11"/>
  <c r="V721" i="11"/>
  <c r="U721" i="11"/>
  <c r="W721" i="11"/>
  <c r="X721" i="11"/>
  <c r="Y721" i="11"/>
  <c r="W402" i="11"/>
  <c r="U402" i="11"/>
  <c r="V402" i="11"/>
  <c r="X402" i="11"/>
  <c r="Y402" i="11"/>
  <c r="Z402" i="11"/>
  <c r="N46" i="11"/>
  <c r="W46" i="11"/>
  <c r="X46" i="11"/>
  <c r="Y46" i="11"/>
  <c r="U46" i="11"/>
  <c r="V46" i="11"/>
  <c r="Z46" i="11"/>
  <c r="N1077" i="11"/>
  <c r="V1077" i="11"/>
  <c r="Z1077" i="11"/>
  <c r="U1077" i="11"/>
  <c r="W1077" i="11"/>
  <c r="X1077" i="11"/>
  <c r="Y1077" i="11"/>
  <c r="Z1016" i="11"/>
  <c r="V1016" i="11"/>
  <c r="W1016" i="11"/>
  <c r="Y1016" i="11"/>
  <c r="U1016" i="11"/>
  <c r="X1016" i="11"/>
  <c r="W877" i="11"/>
  <c r="X877" i="11"/>
  <c r="U877" i="11"/>
  <c r="V877" i="11"/>
  <c r="Y877" i="11"/>
  <c r="Z877" i="11"/>
  <c r="Y821" i="11"/>
  <c r="Z821" i="11"/>
  <c r="U821" i="11"/>
  <c r="V821" i="11"/>
  <c r="W821" i="11"/>
  <c r="X821" i="11"/>
  <c r="W779" i="11"/>
  <c r="X779" i="11"/>
  <c r="U779" i="11"/>
  <c r="V779" i="11"/>
  <c r="Y779" i="11"/>
  <c r="Z779" i="11"/>
  <c r="X706" i="11"/>
  <c r="Y706" i="11"/>
  <c r="U706" i="11"/>
  <c r="V706" i="11"/>
  <c r="W706" i="11"/>
  <c r="Z706" i="11"/>
  <c r="N584" i="11"/>
  <c r="Z584" i="11"/>
  <c r="V584" i="11"/>
  <c r="W584" i="11"/>
  <c r="X584" i="11"/>
  <c r="Y584" i="11"/>
  <c r="U584" i="11"/>
  <c r="W408" i="11"/>
  <c r="X408" i="11"/>
  <c r="Y408" i="11"/>
  <c r="Z408" i="11"/>
  <c r="U408" i="11"/>
  <c r="V408" i="11"/>
  <c r="N31" i="11"/>
  <c r="W31" i="11"/>
  <c r="U31" i="11"/>
  <c r="X31" i="11"/>
  <c r="Y31" i="11"/>
  <c r="Z31" i="11"/>
  <c r="V31" i="11"/>
  <c r="Y536" i="11"/>
  <c r="U536" i="11"/>
  <c r="V536" i="11"/>
  <c r="X536" i="11"/>
  <c r="Z536" i="11"/>
  <c r="W536" i="11"/>
  <c r="V312" i="11"/>
  <c r="W312" i="11"/>
  <c r="X312" i="11"/>
  <c r="Y312" i="11"/>
  <c r="U312" i="11"/>
  <c r="Z312" i="11"/>
  <c r="N214" i="11"/>
  <c r="V214" i="11"/>
  <c r="Y214" i="11"/>
  <c r="Z214" i="11"/>
  <c r="U214" i="11"/>
  <c r="W214" i="11"/>
  <c r="X214" i="11"/>
  <c r="V952" i="11"/>
  <c r="W952" i="11"/>
  <c r="Z952" i="11"/>
  <c r="U952" i="11"/>
  <c r="X952" i="11"/>
  <c r="Y952" i="11"/>
  <c r="N753" i="11"/>
  <c r="U753" i="11"/>
  <c r="V753" i="11"/>
  <c r="Y753" i="11"/>
  <c r="Z753" i="11"/>
  <c r="W753" i="11"/>
  <c r="X753" i="11"/>
  <c r="X1261" i="11"/>
  <c r="Y1261" i="11"/>
  <c r="V1261" i="11"/>
  <c r="Z1261" i="11"/>
  <c r="U1261" i="11"/>
  <c r="W1261" i="11"/>
  <c r="X949" i="11"/>
  <c r="Y949" i="11"/>
  <c r="U949" i="11"/>
  <c r="V949" i="11"/>
  <c r="W949" i="11"/>
  <c r="Z949" i="11"/>
  <c r="N61" i="11"/>
  <c r="Y61" i="11"/>
  <c r="U61" i="11"/>
  <c r="V61" i="11"/>
  <c r="W61" i="11"/>
  <c r="X61" i="11"/>
  <c r="Z61" i="11"/>
  <c r="N627" i="11"/>
  <c r="U627" i="11"/>
  <c r="X627" i="11"/>
  <c r="Y627" i="11"/>
  <c r="Z627" i="11"/>
  <c r="V627" i="11"/>
  <c r="W627" i="11"/>
  <c r="N64" i="11"/>
  <c r="W64" i="11"/>
  <c r="U64" i="11"/>
  <c r="Y64" i="11"/>
  <c r="V64" i="11"/>
  <c r="X64" i="11"/>
  <c r="Z64" i="11"/>
  <c r="N242" i="11"/>
  <c r="W242" i="11"/>
  <c r="X242" i="11"/>
  <c r="Y242" i="11"/>
  <c r="Z242" i="11"/>
  <c r="U242" i="11"/>
  <c r="V242" i="11"/>
  <c r="V1124" i="11"/>
  <c r="W1124" i="11"/>
  <c r="X1124" i="11"/>
  <c r="Y1124" i="11"/>
  <c r="Z1124" i="11"/>
  <c r="U1124" i="11"/>
  <c r="N1135" i="11"/>
  <c r="X1135" i="11"/>
  <c r="Y1135" i="11"/>
  <c r="U1135" i="11"/>
  <c r="V1135" i="11"/>
  <c r="Z1135" i="11"/>
  <c r="W1135" i="11"/>
  <c r="Z1000" i="11"/>
  <c r="V1000" i="11"/>
  <c r="W1000" i="11"/>
  <c r="Y1000" i="11"/>
  <c r="U1000" i="11"/>
  <c r="X1000" i="11"/>
  <c r="N884" i="11"/>
  <c r="U884" i="11"/>
  <c r="V884" i="11"/>
  <c r="Y884" i="11"/>
  <c r="Z884" i="11"/>
  <c r="W884" i="11"/>
  <c r="X884" i="11"/>
  <c r="W783" i="11"/>
  <c r="X783" i="11"/>
  <c r="U783" i="11"/>
  <c r="V783" i="11"/>
  <c r="Y783" i="11"/>
  <c r="Z783" i="11"/>
  <c r="N733" i="11"/>
  <c r="U733" i="11"/>
  <c r="V733" i="11"/>
  <c r="Y733" i="11"/>
  <c r="Z733" i="11"/>
  <c r="W733" i="11"/>
  <c r="X733" i="11"/>
  <c r="Y378" i="11"/>
  <c r="U378" i="11"/>
  <c r="V378" i="11"/>
  <c r="W378" i="11"/>
  <c r="X378" i="11"/>
  <c r="Z378" i="11"/>
  <c r="N1042" i="11"/>
  <c r="V1042" i="11"/>
  <c r="Z1042" i="11"/>
  <c r="U1042" i="11"/>
  <c r="Y1042" i="11"/>
  <c r="W1042" i="11"/>
  <c r="X1042" i="11"/>
  <c r="N895" i="11"/>
  <c r="Z895" i="11"/>
  <c r="U895" i="11"/>
  <c r="V895" i="11"/>
  <c r="W895" i="11"/>
  <c r="X895" i="11"/>
  <c r="Y895" i="11"/>
  <c r="W764" i="11"/>
  <c r="X764" i="11"/>
  <c r="Y764" i="11"/>
  <c r="Z764" i="11"/>
  <c r="U764" i="11"/>
  <c r="V764" i="11"/>
  <c r="Y473" i="11"/>
  <c r="U473" i="11"/>
  <c r="V473" i="11"/>
  <c r="X473" i="11"/>
  <c r="W473" i="11"/>
  <c r="Z473" i="11"/>
  <c r="U439" i="11"/>
  <c r="V439" i="11"/>
  <c r="X439" i="11"/>
  <c r="Y439" i="11"/>
  <c r="W439" i="11"/>
  <c r="Z439" i="11"/>
  <c r="N464" i="11"/>
  <c r="W464" i="11"/>
  <c r="V464" i="11"/>
  <c r="X464" i="11"/>
  <c r="Y464" i="11"/>
  <c r="Z464" i="11"/>
  <c r="U464" i="11"/>
  <c r="Y307" i="11"/>
  <c r="U307" i="11"/>
  <c r="V307" i="11"/>
  <c r="W307" i="11"/>
  <c r="X307" i="11"/>
  <c r="Z307" i="11"/>
  <c r="N75" i="11"/>
  <c r="Y75" i="11"/>
  <c r="U75" i="11"/>
  <c r="V75" i="11"/>
  <c r="W75" i="11"/>
  <c r="Z75" i="11"/>
  <c r="X75" i="11"/>
  <c r="N1204" i="11"/>
  <c r="X1204" i="11"/>
  <c r="Y1204" i="11"/>
  <c r="V1204" i="11"/>
  <c r="Z1204" i="11"/>
  <c r="U1204" i="11"/>
  <c r="W1204" i="11"/>
  <c r="N835" i="11"/>
  <c r="U835" i="11"/>
  <c r="V835" i="11"/>
  <c r="Y835" i="11"/>
  <c r="Z835" i="11"/>
  <c r="W835" i="11"/>
  <c r="X835" i="11"/>
  <c r="N460" i="11"/>
  <c r="W460" i="11"/>
  <c r="V460" i="11"/>
  <c r="U460" i="11"/>
  <c r="X460" i="11"/>
  <c r="Y460" i="11"/>
  <c r="Z460" i="11"/>
  <c r="N994" i="11"/>
  <c r="X994" i="11"/>
  <c r="U994" i="11"/>
  <c r="W994" i="11"/>
  <c r="V994" i="11"/>
  <c r="Y994" i="11"/>
  <c r="Z994" i="11"/>
  <c r="Z906" i="11"/>
  <c r="V906" i="11"/>
  <c r="W906" i="11"/>
  <c r="X906" i="11"/>
  <c r="Y906" i="11"/>
  <c r="U906" i="11"/>
  <c r="N1199" i="11"/>
  <c r="Z1199" i="11"/>
  <c r="V1199" i="11"/>
  <c r="W1199" i="11"/>
  <c r="Y1199" i="11"/>
  <c r="X1199" i="11"/>
  <c r="U1199" i="11"/>
  <c r="X966" i="11"/>
  <c r="Y966" i="11"/>
  <c r="U966" i="11"/>
  <c r="V966" i="11"/>
  <c r="W966" i="11"/>
  <c r="Z966" i="11"/>
  <c r="Y461" i="11"/>
  <c r="U461" i="11"/>
  <c r="V461" i="11"/>
  <c r="X461" i="11"/>
  <c r="Z461" i="11"/>
  <c r="W461" i="11"/>
  <c r="U1090" i="11"/>
  <c r="V1090" i="11"/>
  <c r="W1090" i="11"/>
  <c r="X1090" i="11"/>
  <c r="Y1090" i="11"/>
  <c r="Z1090" i="11"/>
  <c r="Z954" i="11"/>
  <c r="V954" i="11"/>
  <c r="W954" i="11"/>
  <c r="X954" i="11"/>
  <c r="Y954" i="11"/>
  <c r="U954" i="11"/>
  <c r="W294" i="11"/>
  <c r="Z294" i="11"/>
  <c r="U294" i="11"/>
  <c r="X294" i="11"/>
  <c r="Y294" i="11"/>
  <c r="V294" i="11"/>
  <c r="N878" i="11"/>
  <c r="Y878" i="11"/>
  <c r="Z878" i="11"/>
  <c r="U878" i="11"/>
  <c r="V878" i="11"/>
  <c r="W878" i="11"/>
  <c r="X878" i="11"/>
  <c r="N426" i="11"/>
  <c r="U426" i="11"/>
  <c r="V426" i="11"/>
  <c r="W426" i="11"/>
  <c r="X426" i="11"/>
  <c r="Y426" i="11"/>
  <c r="Z426" i="11"/>
  <c r="U337" i="11"/>
  <c r="Y337" i="11"/>
  <c r="Z337" i="11"/>
  <c r="V337" i="11"/>
  <c r="W337" i="11"/>
  <c r="X337" i="11"/>
  <c r="X689" i="11"/>
  <c r="Y689" i="11"/>
  <c r="U689" i="11"/>
  <c r="V689" i="11"/>
  <c r="W689" i="11"/>
  <c r="Z689" i="11"/>
  <c r="W883" i="11"/>
  <c r="X883" i="11"/>
  <c r="Y883" i="11"/>
  <c r="Z883" i="11"/>
  <c r="U883" i="11"/>
  <c r="V883" i="11"/>
  <c r="Z1024" i="11"/>
  <c r="V1024" i="11"/>
  <c r="W1024" i="11"/>
  <c r="Y1024" i="11"/>
  <c r="U1024" i="11"/>
  <c r="X1024" i="11"/>
  <c r="W838" i="11"/>
  <c r="X838" i="11"/>
  <c r="Y838" i="11"/>
  <c r="Z838" i="11"/>
  <c r="U838" i="11"/>
  <c r="V838" i="11"/>
  <c r="X693" i="11"/>
  <c r="Y693" i="11"/>
  <c r="U693" i="11"/>
  <c r="V693" i="11"/>
  <c r="W693" i="11"/>
  <c r="Z693" i="11"/>
  <c r="N79" i="13"/>
  <c r="S79" i="13"/>
  <c r="T79" i="13"/>
  <c r="R79" i="13"/>
  <c r="N80" i="13"/>
  <c r="S80" i="13"/>
  <c r="R80" i="13"/>
  <c r="T80" i="13"/>
  <c r="N98" i="13"/>
  <c r="R98" i="13"/>
  <c r="S98" i="13"/>
  <c r="T98" i="13"/>
  <c r="N48" i="13"/>
  <c r="R48" i="13"/>
  <c r="S48" i="13"/>
  <c r="T48" i="13"/>
  <c r="N91" i="13"/>
  <c r="R91" i="13"/>
  <c r="T91" i="13"/>
  <c r="S91" i="13"/>
  <c r="R74" i="13"/>
  <c r="S74" i="13"/>
  <c r="T74" i="13"/>
  <c r="T84" i="13"/>
  <c r="R84" i="13"/>
  <c r="S84" i="13"/>
  <c r="R58" i="13"/>
  <c r="S58" i="13"/>
  <c r="T58" i="13"/>
  <c r="N93" i="13"/>
  <c r="T93" i="13"/>
  <c r="R93" i="13"/>
  <c r="S93" i="13"/>
  <c r="N68" i="13"/>
  <c r="T68" i="13"/>
  <c r="R68" i="13"/>
  <c r="S68" i="13"/>
  <c r="N22" i="13"/>
  <c r="T22" i="13"/>
  <c r="R22" i="13"/>
  <c r="S22" i="13"/>
  <c r="N42" i="13"/>
  <c r="R42" i="13"/>
  <c r="S42" i="13"/>
  <c r="T42" i="13"/>
  <c r="N87" i="13"/>
  <c r="S87" i="13"/>
  <c r="T87" i="13"/>
  <c r="R87" i="13"/>
  <c r="R115" i="13"/>
  <c r="S115" i="13"/>
  <c r="T115" i="13"/>
  <c r="S70" i="13"/>
  <c r="T70" i="13"/>
  <c r="R70" i="13"/>
  <c r="N85" i="13"/>
  <c r="T85" i="13"/>
  <c r="R85" i="13"/>
  <c r="S85" i="13"/>
  <c r="N8" i="13"/>
  <c r="R8" i="13"/>
  <c r="S8" i="13"/>
  <c r="T8" i="13"/>
  <c r="R39" i="13"/>
  <c r="S39" i="13"/>
  <c r="T39" i="13"/>
  <c r="N122" i="13"/>
  <c r="R122" i="13"/>
  <c r="S122" i="13"/>
  <c r="T122" i="13"/>
  <c r="N49" i="13"/>
  <c r="R49" i="13"/>
  <c r="T49" i="13"/>
  <c r="S49" i="13"/>
  <c r="R50" i="13"/>
  <c r="S50" i="13"/>
  <c r="T50" i="13"/>
  <c r="N62" i="13"/>
  <c r="N15" i="13"/>
  <c r="S15" i="13"/>
  <c r="T15" i="13"/>
  <c r="R15" i="13"/>
  <c r="N88" i="13"/>
  <c r="S88" i="13"/>
  <c r="R88" i="13"/>
  <c r="T88" i="13"/>
  <c r="N106" i="13"/>
  <c r="R106" i="13"/>
  <c r="S106" i="13"/>
  <c r="T106" i="13"/>
  <c r="N37" i="13"/>
  <c r="S37" i="13"/>
  <c r="T37" i="13"/>
  <c r="R37" i="13"/>
  <c r="N69" i="13"/>
  <c r="R69" i="13"/>
  <c r="S69" i="13"/>
  <c r="T69" i="13"/>
  <c r="S63" i="13"/>
  <c r="T63" i="13"/>
  <c r="R63" i="13"/>
  <c r="N72" i="13"/>
  <c r="S72" i="13"/>
  <c r="R72" i="13"/>
  <c r="T72" i="13"/>
  <c r="S94" i="13"/>
  <c r="T94" i="13"/>
  <c r="R94" i="13"/>
  <c r="N97" i="13"/>
  <c r="R97" i="13"/>
  <c r="S97" i="13"/>
  <c r="T97" i="13"/>
  <c r="N123" i="13"/>
  <c r="S123" i="13"/>
  <c r="T123" i="13"/>
  <c r="R123" i="13"/>
  <c r="N127" i="13"/>
  <c r="S127" i="13"/>
  <c r="R127" i="13"/>
  <c r="T127" i="13"/>
  <c r="S86" i="13"/>
  <c r="T86" i="13"/>
  <c r="R86" i="13"/>
  <c r="R62" i="13"/>
  <c r="T62" i="13"/>
  <c r="S62" i="13"/>
  <c r="R61" i="13"/>
  <c r="T61" i="13"/>
  <c r="S61" i="13"/>
  <c r="N111" i="13"/>
  <c r="T111" i="13"/>
  <c r="R111" i="13"/>
  <c r="S111" i="13"/>
  <c r="N65" i="13"/>
  <c r="R65" i="13"/>
  <c r="S65" i="13"/>
  <c r="T65" i="13"/>
  <c r="L149" i="13"/>
  <c r="R107" i="13"/>
  <c r="S107" i="13"/>
  <c r="T107" i="13"/>
  <c r="R33" i="13"/>
  <c r="S33" i="13"/>
  <c r="T33" i="13"/>
  <c r="N64" i="13"/>
  <c r="R64" i="13"/>
  <c r="S64" i="13"/>
  <c r="T64" i="13"/>
  <c r="N138" i="13"/>
  <c r="R138" i="13"/>
  <c r="S138" i="13"/>
  <c r="T138" i="13"/>
  <c r="U137" i="13" s="1"/>
  <c r="P84" i="14" s="1"/>
  <c r="R84" i="14" s="1"/>
  <c r="R54" i="13"/>
  <c r="S54" i="13"/>
  <c r="T54" i="13"/>
  <c r="N44" i="13"/>
  <c r="T44" i="13"/>
  <c r="R44" i="13"/>
  <c r="S44" i="13"/>
  <c r="T57" i="13"/>
  <c r="S57" i="13"/>
  <c r="R57" i="13"/>
  <c r="R146" i="13"/>
  <c r="S146" i="13"/>
  <c r="T146" i="13"/>
  <c r="T121" i="13"/>
  <c r="R121" i="13"/>
  <c r="S121" i="13"/>
  <c r="T45" i="13"/>
  <c r="R45" i="13"/>
  <c r="S45" i="13"/>
  <c r="R46" i="13"/>
  <c r="S46" i="13"/>
  <c r="T46" i="13"/>
  <c r="R82" i="13"/>
  <c r="S82" i="13"/>
  <c r="T82" i="13"/>
  <c r="S103" i="13"/>
  <c r="T103" i="13"/>
  <c r="R103" i="13"/>
  <c r="N56" i="13"/>
  <c r="T56" i="13"/>
  <c r="R56" i="13"/>
  <c r="S56" i="13"/>
  <c r="N35" i="13"/>
  <c r="R35" i="13"/>
  <c r="S35" i="13"/>
  <c r="T35" i="13"/>
  <c r="R66" i="13"/>
  <c r="S66" i="13"/>
  <c r="T66" i="13"/>
  <c r="N112" i="13"/>
  <c r="T112" i="13"/>
  <c r="R112" i="13"/>
  <c r="S112" i="13"/>
  <c r="N28" i="13"/>
  <c r="T28" i="13"/>
  <c r="R28" i="13"/>
  <c r="S28" i="13"/>
  <c r="R99" i="13"/>
  <c r="S99" i="13"/>
  <c r="T99" i="13"/>
  <c r="N129" i="13"/>
  <c r="R129" i="13"/>
  <c r="S129" i="13"/>
  <c r="T129" i="13"/>
  <c r="S43" i="13"/>
  <c r="R43" i="13"/>
  <c r="T43" i="13"/>
  <c r="N6" i="13"/>
  <c r="R6" i="13"/>
  <c r="S6" i="13"/>
  <c r="T6" i="13"/>
  <c r="N117" i="13"/>
  <c r="R117" i="13"/>
  <c r="S117" i="13"/>
  <c r="T117" i="13"/>
  <c r="S31" i="13"/>
  <c r="T31" i="13"/>
  <c r="R31" i="13"/>
  <c r="N147" i="13"/>
  <c r="S147" i="13"/>
  <c r="T147" i="13"/>
  <c r="R147" i="13"/>
  <c r="N133" i="13"/>
  <c r="T133" i="13"/>
  <c r="R133" i="13"/>
  <c r="S133" i="13"/>
  <c r="N100" i="13"/>
  <c r="R100" i="13"/>
  <c r="S100" i="13"/>
  <c r="T100" i="13"/>
  <c r="R23" i="13"/>
  <c r="S23" i="13"/>
  <c r="T23" i="13"/>
  <c r="N40" i="13"/>
  <c r="R40" i="13"/>
  <c r="S40" i="13"/>
  <c r="T40" i="13"/>
  <c r="R78" i="13"/>
  <c r="T78" i="13"/>
  <c r="S78" i="13"/>
  <c r="S136" i="13"/>
  <c r="R136" i="13"/>
  <c r="T136" i="13"/>
  <c r="R90" i="13"/>
  <c r="S90" i="13"/>
  <c r="T90" i="13"/>
  <c r="N126" i="13"/>
  <c r="S126" i="13"/>
  <c r="R126" i="13"/>
  <c r="T126" i="13"/>
  <c r="N66" i="13"/>
  <c r="N107" i="13"/>
  <c r="N58" i="13"/>
  <c r="N84" i="13"/>
  <c r="N90" i="13"/>
  <c r="N136" i="13"/>
  <c r="N43" i="13"/>
  <c r="N82" i="13"/>
  <c r="N31" i="13"/>
  <c r="N63" i="13"/>
  <c r="N61" i="13"/>
  <c r="N115" i="13"/>
  <c r="N74" i="13"/>
  <c r="N70" i="13"/>
  <c r="M73" i="13"/>
  <c r="N45" i="13"/>
  <c r="N121" i="13"/>
  <c r="M75" i="13"/>
  <c r="N103" i="13"/>
  <c r="N46" i="13"/>
  <c r="M18" i="13"/>
  <c r="M95" i="13"/>
  <c r="N78" i="13"/>
  <c r="N23" i="13"/>
  <c r="M47" i="13"/>
  <c r="M67" i="13"/>
  <c r="M83" i="13"/>
  <c r="N146" i="13"/>
  <c r="M92" i="13"/>
  <c r="M144" i="13"/>
  <c r="M51" i="13"/>
  <c r="M102" i="13"/>
  <c r="N86" i="13"/>
  <c r="M71" i="13"/>
  <c r="M104" i="13"/>
  <c r="M59" i="13"/>
  <c r="M53" i="13"/>
  <c r="M81" i="13"/>
  <c r="N99" i="13"/>
  <c r="M77" i="13"/>
  <c r="M60" i="13"/>
  <c r="M89" i="13"/>
  <c r="M55" i="13"/>
  <c r="M131" i="13"/>
  <c r="M101" i="13"/>
  <c r="M135" i="13"/>
  <c r="M16" i="13"/>
  <c r="M27" i="13"/>
  <c r="M119" i="13"/>
  <c r="M110" i="13"/>
  <c r="M5" i="13"/>
  <c r="M11" i="13"/>
  <c r="M142" i="13"/>
  <c r="M108" i="13"/>
  <c r="M130" i="13"/>
  <c r="M14" i="13"/>
  <c r="M114" i="13"/>
  <c r="M21" i="13"/>
  <c r="M17" i="13"/>
  <c r="M12" i="13"/>
  <c r="M29" i="13"/>
  <c r="M124" i="13"/>
  <c r="M38" i="13"/>
  <c r="M32" i="13"/>
  <c r="M19" i="13"/>
  <c r="M26" i="13"/>
  <c r="M25" i="13"/>
  <c r="M10" i="13"/>
  <c r="N802" i="11"/>
  <c r="N730" i="11"/>
  <c r="N296" i="11"/>
  <c r="N209" i="11"/>
  <c r="N139" i="11"/>
  <c r="N1100" i="11"/>
  <c r="N961" i="11"/>
  <c r="N939" i="11"/>
  <c r="N778" i="11"/>
  <c r="N828" i="11"/>
  <c r="N920" i="11"/>
  <c r="N656" i="11"/>
  <c r="N702" i="11"/>
  <c r="N652" i="11"/>
  <c r="N643" i="11"/>
  <c r="N623" i="11"/>
  <c r="N515" i="11"/>
  <c r="N507" i="11"/>
  <c r="N469" i="11"/>
  <c r="N325" i="11"/>
  <c r="N262" i="11"/>
  <c r="N1279" i="11"/>
  <c r="N834" i="11"/>
  <c r="N1008" i="11"/>
  <c r="N625" i="11"/>
  <c r="N758" i="11"/>
  <c r="N490" i="11"/>
  <c r="N406" i="11"/>
  <c r="N362" i="11"/>
  <c r="N1069" i="11"/>
  <c r="N1281" i="11"/>
  <c r="N1128" i="11"/>
  <c r="N901" i="11"/>
  <c r="N865" i="11"/>
  <c r="N854" i="11"/>
  <c r="N908" i="11"/>
  <c r="N1040" i="11"/>
  <c r="N718" i="11"/>
  <c r="N710" i="11"/>
  <c r="N277" i="11"/>
  <c r="N246" i="11"/>
  <c r="N772" i="11"/>
  <c r="N1209" i="11"/>
  <c r="N843" i="11"/>
  <c r="N832" i="11"/>
  <c r="N1134" i="11"/>
  <c r="N967" i="11"/>
  <c r="N380" i="1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N1156" i="11"/>
  <c r="N1222" i="11"/>
  <c r="N821" i="11"/>
  <c r="N794" i="11"/>
  <c r="N639" i="11"/>
  <c r="N371" i="11"/>
  <c r="N328" i="11"/>
  <c r="N917" i="11"/>
  <c r="N907" i="11"/>
  <c r="N610" i="11"/>
  <c r="N336" i="11"/>
  <c r="N585" i="11"/>
  <c r="N344" i="11"/>
  <c r="N1255" i="11"/>
  <c r="N1090" i="11"/>
  <c r="N1079" i="11"/>
  <c r="N1051" i="11"/>
  <c r="N811" i="11"/>
  <c r="N800" i="11"/>
  <c r="N788" i="11"/>
  <c r="N940" i="11"/>
  <c r="N1000" i="11"/>
  <c r="N906" i="11"/>
  <c r="N824" i="11"/>
  <c r="N791" i="11"/>
  <c r="N742" i="11"/>
  <c r="N240" i="11"/>
  <c r="N511" i="11"/>
  <c r="N503" i="11"/>
  <c r="N486" i="11"/>
  <c r="N318" i="11"/>
  <c r="N256" i="11"/>
  <c r="N1110" i="11"/>
  <c r="N257" i="11"/>
  <c r="N177" i="11"/>
  <c r="N810" i="11"/>
  <c r="N378" i="11"/>
  <c r="N527" i="11"/>
  <c r="N390" i="11"/>
  <c r="N351" i="11"/>
  <c r="N1054" i="11"/>
  <c r="N898" i="11"/>
  <c r="N876" i="11"/>
  <c r="N1016" i="11"/>
  <c r="N842" i="11"/>
  <c r="N1277" i="11"/>
  <c r="N1261" i="11"/>
  <c r="N1245" i="11"/>
  <c r="N1105" i="11"/>
  <c r="N1020" i="11"/>
  <c r="N1012" i="11"/>
  <c r="N928" i="11"/>
  <c r="N783" i="11"/>
  <c r="N812" i="11"/>
  <c r="N889" i="11"/>
  <c r="N620" i="11"/>
  <c r="N342" i="11"/>
  <c r="N552" i="11"/>
  <c r="N241" i="11"/>
  <c r="N72" i="11"/>
  <c r="N786" i="11"/>
  <c r="N1043" i="11"/>
  <c r="N891" i="11"/>
  <c r="N857" i="11"/>
  <c r="N1211" i="11"/>
  <c r="N1142" i="11"/>
  <c r="N384" i="11"/>
  <c r="N310" i="11"/>
  <c r="N453" i="11"/>
  <c r="N334" i="11"/>
  <c r="N273" i="11"/>
  <c r="N605" i="11"/>
  <c r="N1018" i="11"/>
  <c r="N1152" i="11"/>
  <c r="N855" i="11"/>
  <c r="N1205" i="11"/>
  <c r="N1065" i="11"/>
  <c r="N1193" i="11"/>
  <c r="N923" i="11"/>
  <c r="N827" i="11"/>
  <c r="M986" i="11"/>
  <c r="N875" i="11"/>
  <c r="N307" i="11"/>
  <c r="M1085" i="11"/>
  <c r="N977" i="11"/>
  <c r="N844" i="11"/>
  <c r="N779" i="11"/>
  <c r="N617" i="11"/>
  <c r="N635" i="11"/>
  <c r="N416" i="11"/>
  <c r="N398" i="11"/>
  <c r="N377" i="11"/>
  <c r="N320" i="11"/>
  <c r="N261" i="11"/>
  <c r="N408" i="11"/>
  <c r="N402" i="11"/>
  <c r="N543" i="11"/>
  <c r="N740" i="11"/>
  <c r="N1124" i="11"/>
  <c r="N922" i="11"/>
  <c r="N722" i="11"/>
  <c r="N706" i="11"/>
  <c r="N317" i="11"/>
  <c r="N259" i="11"/>
  <c r="N221" i="11"/>
  <c r="N279" i="11"/>
  <c r="N208" i="11"/>
  <c r="N137" i="11"/>
  <c r="N71" i="11"/>
  <c r="M1291" i="11"/>
  <c r="M1275" i="11"/>
  <c r="M372" i="11"/>
  <c r="M283" i="11"/>
  <c r="M1183" i="11"/>
  <c r="M863" i="11"/>
  <c r="M822" i="11"/>
  <c r="M1247" i="11"/>
  <c r="M67" i="11"/>
  <c r="N414" i="11"/>
  <c r="M231" i="11"/>
  <c r="M559" i="11"/>
  <c r="M59" i="11"/>
  <c r="M1224" i="11"/>
  <c r="M1187" i="11"/>
  <c r="M1101" i="11"/>
  <c r="M1093" i="11"/>
  <c r="M789" i="11"/>
  <c r="M409" i="11"/>
  <c r="M88" i="11"/>
  <c r="M34" i="11"/>
  <c r="N274" i="11"/>
  <c r="N248" i="11"/>
  <c r="N536" i="11"/>
  <c r="N915" i="11"/>
  <c r="M188" i="11"/>
  <c r="M1259" i="11"/>
  <c r="M1052" i="11"/>
  <c r="M155" i="11"/>
  <c r="M172" i="11"/>
  <c r="M15" i="11"/>
  <c r="M62" i="11"/>
  <c r="N1249" i="11"/>
  <c r="N1228" i="11"/>
  <c r="N1068" i="11"/>
  <c r="N930" i="11"/>
  <c r="N877" i="11"/>
  <c r="N519" i="11"/>
  <c r="N379" i="11"/>
  <c r="N368" i="11"/>
  <c r="N312" i="11"/>
  <c r="N302" i="11"/>
  <c r="M1150" i="11"/>
  <c r="M1163" i="11"/>
  <c r="M950" i="11"/>
  <c r="M249" i="11"/>
  <c r="M313" i="11"/>
  <c r="M275" i="11"/>
  <c r="M108" i="11"/>
  <c r="M1278" i="11"/>
  <c r="M1194" i="11"/>
  <c r="M1182" i="11"/>
  <c r="M1029" i="11"/>
  <c r="M761" i="11"/>
  <c r="M1086" i="11"/>
  <c r="M715" i="11"/>
  <c r="M913" i="11"/>
  <c r="M784" i="11"/>
  <c r="M751" i="11"/>
  <c r="M557" i="11"/>
  <c r="M491" i="11"/>
  <c r="M397" i="11"/>
  <c r="M278" i="11"/>
  <c r="M562" i="11"/>
  <c r="M1250" i="11"/>
  <c r="M1286" i="11"/>
  <c r="M1162" i="11"/>
  <c r="M1129" i="11"/>
  <c r="M1121" i="11"/>
  <c r="M1111" i="11"/>
  <c r="M1088" i="11"/>
  <c r="M1078" i="11"/>
  <c r="M1055" i="11"/>
  <c r="M1198" i="11"/>
  <c r="M1133" i="11"/>
  <c r="M1170" i="11"/>
  <c r="M1037" i="11"/>
  <c r="M1005" i="11"/>
  <c r="M970" i="11"/>
  <c r="M960" i="11"/>
  <c r="M937" i="11"/>
  <c r="M927" i="11"/>
  <c r="M905" i="11"/>
  <c r="M896" i="11"/>
  <c r="M874" i="11"/>
  <c r="M864" i="11"/>
  <c r="M841" i="11"/>
  <c r="M831" i="11"/>
  <c r="M809" i="11"/>
  <c r="M799" i="11"/>
  <c r="M775" i="11"/>
  <c r="M765" i="11"/>
  <c r="M1096" i="11"/>
  <c r="M1064" i="11"/>
  <c r="M1041" i="11"/>
  <c r="M1009" i="11"/>
  <c r="M1206" i="11"/>
  <c r="M755" i="11"/>
  <c r="M723" i="11"/>
  <c r="M690" i="11"/>
  <c r="M657" i="11"/>
  <c r="M614" i="11"/>
  <c r="M762" i="11"/>
  <c r="M759" i="11"/>
  <c r="M727" i="11"/>
  <c r="M694" i="11"/>
  <c r="M661" i="11"/>
  <c r="M566" i="11"/>
  <c r="M533" i="11"/>
  <c r="M499" i="11"/>
  <c r="M466" i="11"/>
  <c r="M436" i="11"/>
  <c r="M630" i="11"/>
  <c r="M602" i="11"/>
  <c r="M622" i="11"/>
  <c r="M606" i="11"/>
  <c r="M570" i="11"/>
  <c r="M537" i="11"/>
  <c r="M504" i="11"/>
  <c r="M470" i="11"/>
  <c r="M440" i="11"/>
  <c r="M412" i="11"/>
  <c r="M383" i="11"/>
  <c r="M373" i="11"/>
  <c r="M349" i="11"/>
  <c r="M338" i="11"/>
  <c r="M316" i="11"/>
  <c r="M306" i="11"/>
  <c r="M286" i="11"/>
  <c r="M276" i="11"/>
  <c r="M260" i="11"/>
  <c r="M250" i="11"/>
  <c r="M1234" i="11"/>
  <c r="M1270" i="11"/>
  <c r="M1290" i="11"/>
  <c r="M1153" i="11"/>
  <c r="M1190" i="11"/>
  <c r="M1119" i="11"/>
  <c r="M1070" i="11"/>
  <c r="M1033" i="11"/>
  <c r="M649" i="11"/>
  <c r="M978" i="11"/>
  <c r="M850" i="11"/>
  <c r="M719" i="11"/>
  <c r="M653" i="11"/>
  <c r="M524" i="11"/>
  <c r="M428" i="11"/>
  <c r="M404" i="11"/>
  <c r="M375" i="11"/>
  <c r="M364" i="11"/>
  <c r="M330" i="11"/>
  <c r="M298" i="11"/>
  <c r="M271" i="11"/>
  <c r="M252" i="11"/>
  <c r="M594" i="11"/>
  <c r="M528" i="11"/>
  <c r="M432" i="11"/>
  <c r="M1262" i="11"/>
  <c r="M1282" i="11"/>
  <c r="M1254" i="11"/>
  <c r="M1274" i="11"/>
  <c r="M1145" i="11"/>
  <c r="M1104" i="11"/>
  <c r="M1094" i="11"/>
  <c r="M1072" i="11"/>
  <c r="M1062" i="11"/>
  <c r="M1166" i="11"/>
  <c r="M1242" i="11"/>
  <c r="M1202" i="11"/>
  <c r="M1137" i="11"/>
  <c r="M1141" i="11"/>
  <c r="M1021" i="11"/>
  <c r="M988" i="11"/>
  <c r="N988" i="11" s="1"/>
  <c r="M976" i="11"/>
  <c r="M953" i="11"/>
  <c r="M943" i="11"/>
  <c r="M921" i="11"/>
  <c r="M911" i="11"/>
  <c r="M890" i="11"/>
  <c r="M880" i="11"/>
  <c r="M858" i="11"/>
  <c r="M848" i="11"/>
  <c r="M825" i="11"/>
  <c r="M815" i="11"/>
  <c r="M792" i="11"/>
  <c r="M782" i="11"/>
  <c r="M1113" i="11"/>
  <c r="M1080" i="11"/>
  <c r="M1047" i="11"/>
  <c r="M1157" i="11"/>
  <c r="M1025" i="11"/>
  <c r="M992" i="11"/>
  <c r="M739" i="11"/>
  <c r="M707" i="11"/>
  <c r="M674" i="11"/>
  <c r="M640" i="11"/>
  <c r="M628" i="11"/>
  <c r="M608" i="11"/>
  <c r="M600" i="11"/>
  <c r="M1174" i="11"/>
  <c r="M743" i="11"/>
  <c r="M711" i="11"/>
  <c r="M678" i="11"/>
  <c r="M644" i="11"/>
  <c r="M582" i="11"/>
  <c r="M549" i="11"/>
  <c r="M516" i="11"/>
  <c r="M483" i="11"/>
  <c r="M450" i="11"/>
  <c r="M420" i="11"/>
  <c r="M616" i="11"/>
  <c r="M586" i="11"/>
  <c r="M553" i="11"/>
  <c r="M520" i="11"/>
  <c r="M487" i="11"/>
  <c r="M454" i="11"/>
  <c r="M424" i="11"/>
  <c r="M400" i="11"/>
  <c r="M389" i="11"/>
  <c r="M366" i="11"/>
  <c r="M356" i="11"/>
  <c r="M332" i="11"/>
  <c r="M322" i="11"/>
  <c r="M300" i="11"/>
  <c r="M290" i="11"/>
  <c r="M266" i="11"/>
  <c r="M244" i="11"/>
  <c r="M1219" i="11"/>
  <c r="M996" i="11"/>
  <c r="M1258" i="11"/>
  <c r="M1102" i="11"/>
  <c r="M1053" i="11"/>
  <c r="M1001" i="11"/>
  <c r="M747" i="11"/>
  <c r="M682" i="11"/>
  <c r="M945" i="11"/>
  <c r="M882" i="11"/>
  <c r="M817" i="11"/>
  <c r="M686" i="11"/>
  <c r="M590" i="11"/>
  <c r="M458" i="11"/>
  <c r="M340" i="11"/>
  <c r="M308" i="11"/>
  <c r="M495" i="11"/>
  <c r="M462" i="11"/>
  <c r="M1246" i="11"/>
  <c r="M1266" i="11"/>
  <c r="M1238" i="11"/>
  <c r="M1230" i="11"/>
  <c r="M1210" i="11"/>
  <c r="M1178" i="11"/>
  <c r="M1215" i="11"/>
  <c r="M1149" i="11"/>
  <c r="M1186" i="11"/>
  <c r="M1013" i="11"/>
  <c r="M980" i="11"/>
  <c r="M1017" i="11"/>
  <c r="M984" i="11"/>
  <c r="M731" i="11"/>
  <c r="M698" i="11"/>
  <c r="M665" i="11"/>
  <c r="M632" i="11"/>
  <c r="M962" i="11"/>
  <c r="M929" i="11"/>
  <c r="M899" i="11"/>
  <c r="M866" i="11"/>
  <c r="M833" i="11"/>
  <c r="M801" i="11"/>
  <c r="M767" i="11"/>
  <c r="M968" i="11"/>
  <c r="M951" i="11"/>
  <c r="M935" i="11"/>
  <c r="M919" i="11"/>
  <c r="M903" i="11"/>
  <c r="M888" i="11"/>
  <c r="M872" i="11"/>
  <c r="M856" i="11"/>
  <c r="M839" i="11"/>
  <c r="M823" i="11"/>
  <c r="M807" i="11"/>
  <c r="M790" i="11"/>
  <c r="M773" i="11"/>
  <c r="M735" i="11"/>
  <c r="M703" i="11"/>
  <c r="M669" i="11"/>
  <c r="M636" i="11"/>
  <c r="M574" i="11"/>
  <c r="M541" i="11"/>
  <c r="M508" i="11"/>
  <c r="M474" i="11"/>
  <c r="M410" i="11"/>
  <c r="M391" i="11"/>
  <c r="M381" i="11"/>
  <c r="M358" i="11"/>
  <c r="M346" i="11"/>
  <c r="M324" i="11"/>
  <c r="M314" i="11"/>
  <c r="M292" i="11"/>
  <c r="M284" i="11"/>
  <c r="M268" i="11"/>
  <c r="M258" i="11"/>
  <c r="M237" i="11"/>
  <c r="M578" i="11"/>
  <c r="M545" i="11"/>
  <c r="M512" i="11"/>
  <c r="M478" i="11"/>
  <c r="M446" i="1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AA91" i="11" l="1"/>
  <c r="AA111" i="11"/>
  <c r="AA197" i="11"/>
  <c r="U145" i="13"/>
  <c r="P92" i="14" s="1"/>
  <c r="R92" i="14" s="1"/>
  <c r="N1149" i="11"/>
  <c r="X1149" i="11"/>
  <c r="U1149" i="11"/>
  <c r="W1149" i="11"/>
  <c r="Z1149" i="11"/>
  <c r="V1149" i="11"/>
  <c r="Y1149" i="11"/>
  <c r="N1242" i="11"/>
  <c r="V1242" i="11"/>
  <c r="Z1242" i="11"/>
  <c r="U1242" i="11"/>
  <c r="X1242" i="11"/>
  <c r="Y1242" i="11"/>
  <c r="W1242" i="11"/>
  <c r="N446" i="11"/>
  <c r="W446" i="11"/>
  <c r="U446" i="11"/>
  <c r="Y446" i="11"/>
  <c r="Z446" i="11"/>
  <c r="V446" i="11"/>
  <c r="X446" i="11"/>
  <c r="N410" i="11"/>
  <c r="W410" i="11"/>
  <c r="V410" i="11"/>
  <c r="X410" i="11"/>
  <c r="Y410" i="11"/>
  <c r="Z410" i="11"/>
  <c r="U410" i="11"/>
  <c r="N801" i="11"/>
  <c r="Y801" i="11"/>
  <c r="Z801" i="11"/>
  <c r="U801" i="11"/>
  <c r="V801" i="11"/>
  <c r="W801" i="11"/>
  <c r="X801" i="11"/>
  <c r="N495" i="11"/>
  <c r="W495" i="11"/>
  <c r="X495" i="11"/>
  <c r="Z495" i="11"/>
  <c r="U495" i="11"/>
  <c r="V495" i="11"/>
  <c r="Y495" i="11"/>
  <c r="N356" i="11"/>
  <c r="W356" i="11"/>
  <c r="U356" i="11"/>
  <c r="V356" i="11"/>
  <c r="X356" i="11"/>
  <c r="Y356" i="11"/>
  <c r="Z356" i="11"/>
  <c r="N608" i="11"/>
  <c r="Z608" i="11"/>
  <c r="V608" i="11"/>
  <c r="W608" i="11"/>
  <c r="X608" i="11"/>
  <c r="Y608" i="11"/>
  <c r="U608" i="11"/>
  <c r="N976" i="11"/>
  <c r="U976" i="11"/>
  <c r="X976" i="11"/>
  <c r="Y976" i="11"/>
  <c r="Z976" i="11"/>
  <c r="V976" i="11"/>
  <c r="W976" i="11"/>
  <c r="N330" i="11"/>
  <c r="W330" i="11"/>
  <c r="U330" i="11"/>
  <c r="V330" i="11"/>
  <c r="X330" i="11"/>
  <c r="Y330" i="11"/>
  <c r="Z330" i="11"/>
  <c r="N470" i="11"/>
  <c r="W470" i="11"/>
  <c r="X470" i="11"/>
  <c r="Z470" i="11"/>
  <c r="U470" i="11"/>
  <c r="V470" i="11"/>
  <c r="Y470" i="11"/>
  <c r="N1206" i="11"/>
  <c r="X1206" i="11"/>
  <c r="U1206" i="11"/>
  <c r="W1206" i="11"/>
  <c r="Z1206" i="11"/>
  <c r="V1206" i="11"/>
  <c r="Y1206" i="11"/>
  <c r="N1055" i="11"/>
  <c r="X1055" i="11"/>
  <c r="U1055" i="11"/>
  <c r="W1055" i="11"/>
  <c r="V1055" i="11"/>
  <c r="Y1055" i="11"/>
  <c r="Z1055" i="11"/>
  <c r="N409" i="11"/>
  <c r="U409" i="11"/>
  <c r="Y409" i="11"/>
  <c r="V409" i="11"/>
  <c r="W409" i="11"/>
  <c r="X409" i="11"/>
  <c r="Z409" i="11"/>
  <c r="N512" i="11"/>
  <c r="W512" i="11"/>
  <c r="X512" i="11"/>
  <c r="Z512" i="11"/>
  <c r="U512" i="11"/>
  <c r="V512" i="11"/>
  <c r="Y512" i="11"/>
  <c r="N314" i="11"/>
  <c r="W314" i="11"/>
  <c r="Z314" i="11"/>
  <c r="U314" i="11"/>
  <c r="V314" i="11"/>
  <c r="X314" i="11"/>
  <c r="Y314" i="11"/>
  <c r="N474" i="11"/>
  <c r="W474" i="11"/>
  <c r="X474" i="11"/>
  <c r="Z474" i="11"/>
  <c r="U474" i="11"/>
  <c r="V474" i="11"/>
  <c r="Y474" i="11"/>
  <c r="N773" i="11"/>
  <c r="U773" i="11"/>
  <c r="V773" i="11"/>
  <c r="Y773" i="11"/>
  <c r="Z773" i="11"/>
  <c r="W773" i="11"/>
  <c r="X773" i="11"/>
  <c r="N903" i="11"/>
  <c r="U903" i="11"/>
  <c r="X903" i="11"/>
  <c r="Y903" i="11"/>
  <c r="Z903" i="11"/>
  <c r="V903" i="11"/>
  <c r="W903" i="11"/>
  <c r="N866" i="11"/>
  <c r="Y866" i="11"/>
  <c r="Z866" i="11"/>
  <c r="U866" i="11"/>
  <c r="V866" i="11"/>
  <c r="W866" i="11"/>
  <c r="X866" i="11"/>
  <c r="N984" i="11"/>
  <c r="U984" i="11"/>
  <c r="X984" i="11"/>
  <c r="Y984" i="11"/>
  <c r="Z984" i="11"/>
  <c r="V984" i="11"/>
  <c r="W984" i="11"/>
  <c r="N1210" i="11"/>
  <c r="X1210" i="11"/>
  <c r="U1210" i="11"/>
  <c r="W1210" i="11"/>
  <c r="Y1210" i="11"/>
  <c r="Z1210" i="11"/>
  <c r="V1210" i="11"/>
  <c r="N340" i="11"/>
  <c r="W340" i="11"/>
  <c r="X340" i="11"/>
  <c r="Y340" i="11"/>
  <c r="Z340" i="11"/>
  <c r="U340" i="11"/>
  <c r="V340" i="11"/>
  <c r="N747" i="11"/>
  <c r="Y747" i="11"/>
  <c r="Z747" i="11"/>
  <c r="U747" i="11"/>
  <c r="V747" i="11"/>
  <c r="W747" i="11"/>
  <c r="X747" i="11"/>
  <c r="N266" i="11"/>
  <c r="V266" i="11"/>
  <c r="Z266" i="11"/>
  <c r="Y266" i="11"/>
  <c r="U266" i="11"/>
  <c r="W266" i="11"/>
  <c r="X266" i="11"/>
  <c r="N389" i="11"/>
  <c r="W389" i="11"/>
  <c r="U389" i="11"/>
  <c r="V389" i="11"/>
  <c r="X389" i="11"/>
  <c r="Y389" i="11"/>
  <c r="Z389" i="11"/>
  <c r="N586" i="11"/>
  <c r="V586" i="11"/>
  <c r="W586" i="11"/>
  <c r="Z586" i="11"/>
  <c r="U586" i="11"/>
  <c r="X586" i="11"/>
  <c r="Y586" i="11"/>
  <c r="N644" i="11"/>
  <c r="V644" i="11"/>
  <c r="Z644" i="11"/>
  <c r="U644" i="11"/>
  <c r="W644" i="11"/>
  <c r="X644" i="11"/>
  <c r="Y644" i="11"/>
  <c r="N640" i="11"/>
  <c r="V640" i="11"/>
  <c r="Z640" i="11"/>
  <c r="U640" i="11"/>
  <c r="W640" i="11"/>
  <c r="X640" i="11"/>
  <c r="Y640" i="11"/>
  <c r="N1080" i="11"/>
  <c r="X1080" i="11"/>
  <c r="Y1080" i="11"/>
  <c r="Z1080" i="11"/>
  <c r="U1080" i="11"/>
  <c r="V1080" i="11"/>
  <c r="W1080" i="11"/>
  <c r="N880" i="11"/>
  <c r="U880" i="11"/>
  <c r="V880" i="11"/>
  <c r="Y880" i="11"/>
  <c r="Z880" i="11"/>
  <c r="W880" i="11"/>
  <c r="X880" i="11"/>
  <c r="X988" i="11"/>
  <c r="Y988" i="11"/>
  <c r="Z988" i="11"/>
  <c r="U988" i="11"/>
  <c r="V988" i="11"/>
  <c r="W988" i="11"/>
  <c r="N1072" i="11"/>
  <c r="X1072" i="11"/>
  <c r="U1072" i="11"/>
  <c r="W1072" i="11"/>
  <c r="V1072" i="11"/>
  <c r="Y1072" i="11"/>
  <c r="Z1072" i="11"/>
  <c r="N432" i="11"/>
  <c r="W432" i="11"/>
  <c r="X432" i="11"/>
  <c r="Z432" i="11"/>
  <c r="U432" i="11"/>
  <c r="V432" i="11"/>
  <c r="Y432" i="11"/>
  <c r="N375" i="11"/>
  <c r="W375" i="11"/>
  <c r="X375" i="11"/>
  <c r="Y375" i="11"/>
  <c r="Z375" i="11"/>
  <c r="U375" i="11"/>
  <c r="V375" i="11"/>
  <c r="N649" i="11"/>
  <c r="V649" i="11"/>
  <c r="Z649" i="11"/>
  <c r="U649" i="11"/>
  <c r="W649" i="11"/>
  <c r="X649" i="11"/>
  <c r="Y649" i="11"/>
  <c r="N1234" i="11"/>
  <c r="V1234" i="11"/>
  <c r="Z1234" i="11"/>
  <c r="U1234" i="11"/>
  <c r="X1234" i="11"/>
  <c r="Y1234" i="11"/>
  <c r="W1234" i="11"/>
  <c r="N349" i="11"/>
  <c r="W349" i="11"/>
  <c r="X349" i="11"/>
  <c r="Y349" i="11"/>
  <c r="Z349" i="11"/>
  <c r="U349" i="11"/>
  <c r="AA348" i="11" s="1"/>
  <c r="V349" i="11"/>
  <c r="N537" i="11"/>
  <c r="W537" i="11"/>
  <c r="X537" i="11"/>
  <c r="Z537" i="11"/>
  <c r="U537" i="11"/>
  <c r="V537" i="11"/>
  <c r="Y537" i="11"/>
  <c r="N499" i="11"/>
  <c r="W499" i="11"/>
  <c r="X499" i="11"/>
  <c r="Z499" i="11"/>
  <c r="U499" i="11"/>
  <c r="V499" i="11"/>
  <c r="Y499" i="11"/>
  <c r="N614" i="11"/>
  <c r="V614" i="11"/>
  <c r="W614" i="11"/>
  <c r="Z614" i="11"/>
  <c r="U614" i="11"/>
  <c r="X614" i="11"/>
  <c r="Y614" i="11"/>
  <c r="N1041" i="11"/>
  <c r="X1041" i="11"/>
  <c r="Y1041" i="11"/>
  <c r="U1041" i="11"/>
  <c r="V1041" i="11"/>
  <c r="W1041" i="11"/>
  <c r="Z1041" i="11"/>
  <c r="N841" i="11"/>
  <c r="Y841" i="11"/>
  <c r="Z841" i="11"/>
  <c r="U841" i="11"/>
  <c r="V841" i="11"/>
  <c r="W841" i="11"/>
  <c r="X841" i="11"/>
  <c r="N970" i="11"/>
  <c r="X970" i="11"/>
  <c r="Y970" i="11"/>
  <c r="U970" i="11"/>
  <c r="V970" i="11"/>
  <c r="W970" i="11"/>
  <c r="Z970" i="11"/>
  <c r="N1088" i="11"/>
  <c r="X1088" i="11"/>
  <c r="Y1088" i="11"/>
  <c r="Z1088" i="11"/>
  <c r="U1088" i="11"/>
  <c r="V1088" i="11"/>
  <c r="W1088" i="11"/>
  <c r="N715" i="11"/>
  <c r="V715" i="11"/>
  <c r="Z715" i="11"/>
  <c r="U715" i="11"/>
  <c r="W715" i="11"/>
  <c r="X715" i="11"/>
  <c r="Y715" i="11"/>
  <c r="N275" i="11"/>
  <c r="X275" i="11"/>
  <c r="U275" i="11"/>
  <c r="Y275" i="11"/>
  <c r="Z275" i="11"/>
  <c r="V275" i="11"/>
  <c r="W275" i="11"/>
  <c r="N62" i="11"/>
  <c r="W62" i="11"/>
  <c r="X62" i="11"/>
  <c r="Y62" i="11"/>
  <c r="U62" i="11"/>
  <c r="V62" i="11"/>
  <c r="Z62" i="11"/>
  <c r="N1093" i="11"/>
  <c r="Z1093" i="11"/>
  <c r="U1093" i="11"/>
  <c r="V1093" i="11"/>
  <c r="W1093" i="11"/>
  <c r="X1093" i="11"/>
  <c r="Y1093" i="11"/>
  <c r="N1275" i="11"/>
  <c r="X1275" i="11"/>
  <c r="U1275" i="11"/>
  <c r="W1275" i="11"/>
  <c r="Y1275" i="11"/>
  <c r="Z1275" i="11"/>
  <c r="V1275" i="11"/>
  <c r="N986" i="11"/>
  <c r="X986" i="11"/>
  <c r="U986" i="11"/>
  <c r="V986" i="11"/>
  <c r="W986" i="11"/>
  <c r="Y986" i="11"/>
  <c r="Z986" i="11"/>
  <c r="N856" i="11"/>
  <c r="U856" i="11"/>
  <c r="V856" i="11"/>
  <c r="Y856" i="11"/>
  <c r="Z856" i="11"/>
  <c r="W856" i="11"/>
  <c r="X856" i="11"/>
  <c r="N825" i="11"/>
  <c r="Y825" i="11"/>
  <c r="Z825" i="11"/>
  <c r="U825" i="11"/>
  <c r="V825" i="11"/>
  <c r="W825" i="11"/>
  <c r="X825" i="11"/>
  <c r="N316" i="11"/>
  <c r="V316" i="11"/>
  <c r="W316" i="11"/>
  <c r="X316" i="11"/>
  <c r="Y316" i="11"/>
  <c r="U316" i="11"/>
  <c r="Z316" i="11"/>
  <c r="N545" i="11"/>
  <c r="W545" i="11"/>
  <c r="Y545" i="11"/>
  <c r="Z545" i="11"/>
  <c r="U545" i="11"/>
  <c r="V545" i="11"/>
  <c r="X545" i="11"/>
  <c r="N919" i="11"/>
  <c r="U919" i="11"/>
  <c r="X919" i="11"/>
  <c r="Y919" i="11"/>
  <c r="Z919" i="11"/>
  <c r="V919" i="11"/>
  <c r="W919" i="11"/>
  <c r="N458" i="11"/>
  <c r="W458" i="11"/>
  <c r="X458" i="11"/>
  <c r="Z458" i="11"/>
  <c r="U458" i="11"/>
  <c r="V458" i="11"/>
  <c r="Y458" i="11"/>
  <c r="N616" i="11"/>
  <c r="Z616" i="11"/>
  <c r="V616" i="11"/>
  <c r="W616" i="11"/>
  <c r="X616" i="11"/>
  <c r="Y616" i="11"/>
  <c r="U616" i="11"/>
  <c r="N1113" i="11"/>
  <c r="X1113" i="11"/>
  <c r="Y1113" i="11"/>
  <c r="Z1113" i="11"/>
  <c r="U1113" i="11"/>
  <c r="V1113" i="11"/>
  <c r="W1113" i="11"/>
  <c r="N1094" i="11"/>
  <c r="U1094" i="11"/>
  <c r="V1094" i="11"/>
  <c r="W1094" i="11"/>
  <c r="X1094" i="11"/>
  <c r="Y1094" i="11"/>
  <c r="Z1094" i="11"/>
  <c r="N1033" i="11"/>
  <c r="X1033" i="11"/>
  <c r="Y1033" i="11"/>
  <c r="U1033" i="11"/>
  <c r="V1033" i="11"/>
  <c r="W1033" i="11"/>
  <c r="Z1033" i="11"/>
  <c r="N570" i="11"/>
  <c r="V570" i="11"/>
  <c r="W570" i="11"/>
  <c r="Z570" i="11"/>
  <c r="U570" i="11"/>
  <c r="X570" i="11"/>
  <c r="Y570" i="11"/>
  <c r="N1005" i="11"/>
  <c r="X1005" i="11"/>
  <c r="Y1005" i="11"/>
  <c r="W1005" i="11"/>
  <c r="Z1005" i="11"/>
  <c r="U1005" i="11"/>
  <c r="V1005" i="11"/>
  <c r="N278" i="11"/>
  <c r="Z278" i="11"/>
  <c r="V278" i="11"/>
  <c r="X278" i="11"/>
  <c r="U278" i="11"/>
  <c r="W278" i="11"/>
  <c r="Y278" i="11"/>
  <c r="N313" i="11"/>
  <c r="U313" i="11"/>
  <c r="X313" i="11"/>
  <c r="Y313" i="11"/>
  <c r="Z313" i="11"/>
  <c r="V313" i="11"/>
  <c r="W313" i="11"/>
  <c r="N1101" i="11"/>
  <c r="Z1101" i="11"/>
  <c r="U1101" i="11"/>
  <c r="V1101" i="11"/>
  <c r="W1101" i="11"/>
  <c r="X1101" i="11"/>
  <c r="Y1101" i="11"/>
  <c r="N67" i="11"/>
  <c r="W67" i="11"/>
  <c r="X67" i="11"/>
  <c r="Y67" i="11"/>
  <c r="U67" i="11"/>
  <c r="V67" i="11"/>
  <c r="Z67" i="11"/>
  <c r="N1291" i="11"/>
  <c r="X1291" i="11"/>
  <c r="U1291" i="11"/>
  <c r="V1291" i="11"/>
  <c r="Y1291" i="11"/>
  <c r="W1291" i="11"/>
  <c r="Z1291" i="11"/>
  <c r="N391" i="11"/>
  <c r="W391" i="11"/>
  <c r="X391" i="11"/>
  <c r="Y391" i="11"/>
  <c r="Z391" i="11"/>
  <c r="U391" i="11"/>
  <c r="V391" i="11"/>
  <c r="N719" i="11"/>
  <c r="V719" i="11"/>
  <c r="Z719" i="11"/>
  <c r="U719" i="11"/>
  <c r="W719" i="11"/>
  <c r="X719" i="11"/>
  <c r="Y719" i="11"/>
  <c r="N872" i="11"/>
  <c r="U872" i="11"/>
  <c r="V872" i="11"/>
  <c r="Y872" i="11"/>
  <c r="Z872" i="11"/>
  <c r="W872" i="11"/>
  <c r="X872" i="11"/>
  <c r="N1250" i="11"/>
  <c r="V1250" i="11"/>
  <c r="Z1250" i="11"/>
  <c r="U1250" i="11"/>
  <c r="X1250" i="11"/>
  <c r="Y1250" i="11"/>
  <c r="W1250" i="11"/>
  <c r="N508" i="11"/>
  <c r="W508" i="11"/>
  <c r="X508" i="11"/>
  <c r="Z508" i="11"/>
  <c r="U508" i="11"/>
  <c r="V508" i="11"/>
  <c r="Y508" i="11"/>
  <c r="N899" i="11"/>
  <c r="X899" i="11"/>
  <c r="Y899" i="11"/>
  <c r="Z899" i="11"/>
  <c r="U899" i="11"/>
  <c r="V899" i="11"/>
  <c r="W899" i="11"/>
  <c r="N1230" i="11"/>
  <c r="V1230" i="11"/>
  <c r="Z1230" i="11"/>
  <c r="U1230" i="11"/>
  <c r="W1230" i="11"/>
  <c r="X1230" i="11"/>
  <c r="Y1230" i="11"/>
  <c r="N674" i="11"/>
  <c r="V674" i="11"/>
  <c r="Z674" i="11"/>
  <c r="U674" i="11"/>
  <c r="W674" i="11"/>
  <c r="X674" i="11"/>
  <c r="Y674" i="11"/>
  <c r="N1021" i="11"/>
  <c r="X1021" i="11"/>
  <c r="Y1021" i="11"/>
  <c r="W1021" i="11"/>
  <c r="Z1021" i="11"/>
  <c r="U1021" i="11"/>
  <c r="V1021" i="11"/>
  <c r="N404" i="11"/>
  <c r="W404" i="11"/>
  <c r="X404" i="11"/>
  <c r="Y404" i="11"/>
  <c r="Z404" i="11"/>
  <c r="U404" i="11"/>
  <c r="V404" i="11"/>
  <c r="N373" i="11"/>
  <c r="W373" i="11"/>
  <c r="U373" i="11"/>
  <c r="V373" i="11"/>
  <c r="X373" i="11"/>
  <c r="Y373" i="11"/>
  <c r="Z373" i="11"/>
  <c r="N533" i="11"/>
  <c r="W533" i="11"/>
  <c r="X533" i="11"/>
  <c r="Z533" i="11"/>
  <c r="U533" i="11"/>
  <c r="V533" i="11"/>
  <c r="Y533" i="11"/>
  <c r="N864" i="11"/>
  <c r="U864" i="11"/>
  <c r="V864" i="11"/>
  <c r="Y864" i="11"/>
  <c r="Z864" i="11"/>
  <c r="W864" i="11"/>
  <c r="X864" i="11"/>
  <c r="N1111" i="11"/>
  <c r="U1111" i="11"/>
  <c r="V1111" i="11"/>
  <c r="W1111" i="11"/>
  <c r="X1111" i="11"/>
  <c r="Y1111" i="11"/>
  <c r="Z1111" i="11"/>
  <c r="N1086" i="11"/>
  <c r="U1086" i="11"/>
  <c r="V1086" i="11"/>
  <c r="W1086" i="11"/>
  <c r="X1086" i="11"/>
  <c r="Y1086" i="11"/>
  <c r="Z1086" i="11"/>
  <c r="N15" i="11"/>
  <c r="W15" i="11"/>
  <c r="X15" i="11"/>
  <c r="Y15" i="11"/>
  <c r="U15" i="11"/>
  <c r="V15" i="11"/>
  <c r="Z15" i="11"/>
  <c r="N578" i="11"/>
  <c r="V578" i="11"/>
  <c r="W578" i="11"/>
  <c r="Z578" i="11"/>
  <c r="U578" i="11"/>
  <c r="X578" i="11"/>
  <c r="Y578" i="11"/>
  <c r="N346" i="11"/>
  <c r="W346" i="11"/>
  <c r="U346" i="11"/>
  <c r="V346" i="11"/>
  <c r="X346" i="11"/>
  <c r="Y346" i="11"/>
  <c r="Z346" i="11"/>
  <c r="N541" i="11"/>
  <c r="W541" i="11"/>
  <c r="X541" i="11"/>
  <c r="Z541" i="11"/>
  <c r="U541" i="11"/>
  <c r="V541" i="11"/>
  <c r="Y541" i="11"/>
  <c r="N807" i="11"/>
  <c r="U807" i="11"/>
  <c r="V807" i="11"/>
  <c r="Y807" i="11"/>
  <c r="Z807" i="11"/>
  <c r="W807" i="11"/>
  <c r="X807" i="11"/>
  <c r="N935" i="11"/>
  <c r="U935" i="11"/>
  <c r="X935" i="11"/>
  <c r="Y935" i="11"/>
  <c r="Z935" i="11"/>
  <c r="V935" i="11"/>
  <c r="W935" i="11"/>
  <c r="N929" i="11"/>
  <c r="X929" i="11"/>
  <c r="Y929" i="11"/>
  <c r="U929" i="11"/>
  <c r="V929" i="11"/>
  <c r="W929" i="11"/>
  <c r="Z929" i="11"/>
  <c r="N980" i="11"/>
  <c r="U980" i="11"/>
  <c r="X980" i="11"/>
  <c r="Y980" i="11"/>
  <c r="Z980" i="11"/>
  <c r="V980" i="11"/>
  <c r="W980" i="11"/>
  <c r="N1238" i="11"/>
  <c r="V1238" i="11"/>
  <c r="Z1238" i="11"/>
  <c r="U1238" i="11"/>
  <c r="W1238" i="11"/>
  <c r="X1238" i="11"/>
  <c r="Y1238" i="11"/>
  <c r="N590" i="11"/>
  <c r="V590" i="11"/>
  <c r="W590" i="11"/>
  <c r="Z590" i="11"/>
  <c r="U590" i="11"/>
  <c r="Y590" i="11"/>
  <c r="X590" i="11"/>
  <c r="N1053" i="11"/>
  <c r="X1053" i="11"/>
  <c r="Y1053" i="11"/>
  <c r="W1053" i="11"/>
  <c r="Z1053" i="11"/>
  <c r="U1053" i="11"/>
  <c r="V1053" i="11"/>
  <c r="N290" i="11"/>
  <c r="W290" i="11"/>
  <c r="Z290" i="11"/>
  <c r="U290" i="11"/>
  <c r="Y290" i="11"/>
  <c r="V290" i="11"/>
  <c r="X290" i="11"/>
  <c r="N420" i="11"/>
  <c r="W420" i="11"/>
  <c r="X420" i="11"/>
  <c r="Y420" i="11"/>
  <c r="Z420" i="11"/>
  <c r="U420" i="11"/>
  <c r="V420" i="11"/>
  <c r="N711" i="11"/>
  <c r="V711" i="11"/>
  <c r="Z711" i="11"/>
  <c r="U711" i="11"/>
  <c r="W711" i="11"/>
  <c r="X711" i="11"/>
  <c r="Y711" i="11"/>
  <c r="N707" i="11"/>
  <c r="V707" i="11"/>
  <c r="Z707" i="11"/>
  <c r="U707" i="11"/>
  <c r="W707" i="11"/>
  <c r="X707" i="11"/>
  <c r="Y707" i="11"/>
  <c r="N782" i="11"/>
  <c r="U782" i="11"/>
  <c r="V782" i="11"/>
  <c r="Y782" i="11"/>
  <c r="Z782" i="11"/>
  <c r="W782" i="11"/>
  <c r="X782" i="11"/>
  <c r="N911" i="11"/>
  <c r="U911" i="11"/>
  <c r="X911" i="11"/>
  <c r="Y911" i="11"/>
  <c r="Z911" i="11"/>
  <c r="V911" i="11"/>
  <c r="W911" i="11"/>
  <c r="N1141" i="11"/>
  <c r="X1141" i="11"/>
  <c r="U1141" i="11"/>
  <c r="W1141" i="11"/>
  <c r="Z1141" i="11"/>
  <c r="V1141" i="11"/>
  <c r="Y1141" i="11"/>
  <c r="N1104" i="11"/>
  <c r="X1104" i="11"/>
  <c r="Y1104" i="11"/>
  <c r="Z1104" i="11"/>
  <c r="U1104" i="11"/>
  <c r="V1104" i="11"/>
  <c r="W1104" i="11"/>
  <c r="N594" i="11"/>
  <c r="V594" i="11"/>
  <c r="W594" i="11"/>
  <c r="Z594" i="11"/>
  <c r="U594" i="11"/>
  <c r="X594" i="11"/>
  <c r="Y594" i="11"/>
  <c r="N428" i="11"/>
  <c r="W428" i="11"/>
  <c r="X428" i="11"/>
  <c r="Z428" i="11"/>
  <c r="V428" i="11"/>
  <c r="Y428" i="11"/>
  <c r="U428" i="11"/>
  <c r="N1070" i="11"/>
  <c r="X1070" i="11"/>
  <c r="Y1070" i="11"/>
  <c r="W1070" i="11"/>
  <c r="Z1070" i="11"/>
  <c r="U1070" i="11"/>
  <c r="V1070" i="11"/>
  <c r="N260" i="11"/>
  <c r="Z260" i="11"/>
  <c r="V260" i="11"/>
  <c r="W260" i="11"/>
  <c r="X260" i="11"/>
  <c r="Y260" i="11"/>
  <c r="U260" i="11"/>
  <c r="N383" i="11"/>
  <c r="W383" i="11"/>
  <c r="X383" i="11"/>
  <c r="Y383" i="11"/>
  <c r="Z383" i="11"/>
  <c r="U383" i="11"/>
  <c r="V383" i="11"/>
  <c r="N606" i="11"/>
  <c r="V606" i="11"/>
  <c r="W606" i="11"/>
  <c r="Z606" i="11"/>
  <c r="U606" i="11"/>
  <c r="Y606" i="11"/>
  <c r="X606" i="11"/>
  <c r="N566" i="11"/>
  <c r="V566" i="11"/>
  <c r="W566" i="11"/>
  <c r="Z566" i="11"/>
  <c r="U566" i="11"/>
  <c r="X566" i="11"/>
  <c r="Y566" i="11"/>
  <c r="N657" i="11"/>
  <c r="V657" i="11"/>
  <c r="Z657" i="11"/>
  <c r="U657" i="11"/>
  <c r="W657" i="11"/>
  <c r="X657" i="11"/>
  <c r="Y657" i="11"/>
  <c r="N1096" i="11"/>
  <c r="X1096" i="11"/>
  <c r="Y1096" i="11"/>
  <c r="Z1096" i="11"/>
  <c r="U1096" i="11"/>
  <c r="V1096" i="11"/>
  <c r="W1096" i="11"/>
  <c r="N874" i="11"/>
  <c r="Y874" i="11"/>
  <c r="Z874" i="11"/>
  <c r="U874" i="11"/>
  <c r="V874" i="11"/>
  <c r="W874" i="11"/>
  <c r="X874" i="11"/>
  <c r="N1037" i="11"/>
  <c r="X1037" i="11"/>
  <c r="Y1037" i="11"/>
  <c r="W1037" i="11"/>
  <c r="Z1037" i="11"/>
  <c r="U1037" i="11"/>
  <c r="V1037" i="11"/>
  <c r="N1121" i="11"/>
  <c r="X1121" i="11"/>
  <c r="Y1121" i="11"/>
  <c r="Z1121" i="11"/>
  <c r="U1121" i="11"/>
  <c r="V1121" i="11"/>
  <c r="W1121" i="11"/>
  <c r="N397" i="11"/>
  <c r="W397" i="11"/>
  <c r="U397" i="11"/>
  <c r="V397" i="11"/>
  <c r="X397" i="11"/>
  <c r="Y397" i="11"/>
  <c r="Z397" i="11"/>
  <c r="N761" i="11"/>
  <c r="U761" i="11"/>
  <c r="V761" i="11"/>
  <c r="Y761" i="11"/>
  <c r="Z761" i="11"/>
  <c r="W761" i="11"/>
  <c r="X761" i="11"/>
  <c r="N249" i="11"/>
  <c r="W249" i="11"/>
  <c r="X249" i="11"/>
  <c r="Y249" i="11"/>
  <c r="Z249" i="11"/>
  <c r="V249" i="11"/>
  <c r="U249" i="11"/>
  <c r="N172" i="11"/>
  <c r="U172" i="11"/>
  <c r="Y172" i="11"/>
  <c r="V172" i="11"/>
  <c r="Z172" i="11"/>
  <c r="W172" i="11"/>
  <c r="X172" i="11"/>
  <c r="N1187" i="11"/>
  <c r="Z1187" i="11"/>
  <c r="V1187" i="11"/>
  <c r="W1187" i="11"/>
  <c r="Y1187" i="11"/>
  <c r="X1187" i="11"/>
  <c r="U1187" i="11"/>
  <c r="N1247" i="11"/>
  <c r="X1247" i="11"/>
  <c r="U1247" i="11"/>
  <c r="W1247" i="11"/>
  <c r="Z1247" i="11"/>
  <c r="V1247" i="11"/>
  <c r="Y1247" i="11"/>
  <c r="M1294" i="11"/>
  <c r="N665" i="11"/>
  <c r="V665" i="11"/>
  <c r="Z665" i="11"/>
  <c r="U665" i="11"/>
  <c r="W665" i="11"/>
  <c r="X665" i="11"/>
  <c r="Y665" i="11"/>
  <c r="N1254" i="11"/>
  <c r="V1254" i="11"/>
  <c r="Z1254" i="11"/>
  <c r="U1254" i="11"/>
  <c r="X1254" i="11"/>
  <c r="W1254" i="11"/>
  <c r="Y1254" i="11"/>
  <c r="N1215" i="11"/>
  <c r="X1215" i="11"/>
  <c r="U1215" i="11"/>
  <c r="W1215" i="11"/>
  <c r="Z1215" i="11"/>
  <c r="V1215" i="11"/>
  <c r="Y1215" i="11"/>
  <c r="N324" i="11"/>
  <c r="V324" i="11"/>
  <c r="W324" i="11"/>
  <c r="X324" i="11"/>
  <c r="Y324" i="11"/>
  <c r="U324" i="11"/>
  <c r="Z324" i="11"/>
  <c r="N790" i="11"/>
  <c r="U790" i="11"/>
  <c r="V790" i="11"/>
  <c r="Y790" i="11"/>
  <c r="Z790" i="11"/>
  <c r="W790" i="11"/>
  <c r="X790" i="11"/>
  <c r="N1017" i="11"/>
  <c r="X1017" i="11"/>
  <c r="Y1017" i="11"/>
  <c r="U1017" i="11"/>
  <c r="V1017" i="11"/>
  <c r="W1017" i="11"/>
  <c r="Z1017" i="11"/>
  <c r="N1001" i="11"/>
  <c r="X1001" i="11"/>
  <c r="Y1001" i="11"/>
  <c r="U1001" i="11"/>
  <c r="V1001" i="11"/>
  <c r="W1001" i="11"/>
  <c r="Z1001" i="11"/>
  <c r="N400" i="11"/>
  <c r="W400" i="11"/>
  <c r="X400" i="11"/>
  <c r="Y400" i="11"/>
  <c r="Z400" i="11"/>
  <c r="U400" i="11"/>
  <c r="V400" i="11"/>
  <c r="N678" i="11"/>
  <c r="V678" i="11"/>
  <c r="Z678" i="11"/>
  <c r="U678" i="11"/>
  <c r="W678" i="11"/>
  <c r="X678" i="11"/>
  <c r="Y678" i="11"/>
  <c r="N890" i="11"/>
  <c r="X890" i="11"/>
  <c r="Y890" i="11"/>
  <c r="Z890" i="11"/>
  <c r="U890" i="11"/>
  <c r="V890" i="11"/>
  <c r="W890" i="11"/>
  <c r="N528" i="11"/>
  <c r="W528" i="11"/>
  <c r="X528" i="11"/>
  <c r="Z528" i="11"/>
  <c r="U528" i="11"/>
  <c r="V528" i="11"/>
  <c r="Y528" i="11"/>
  <c r="N250" i="11"/>
  <c r="V250" i="11"/>
  <c r="Y250" i="11"/>
  <c r="Z250" i="11"/>
  <c r="X250" i="11"/>
  <c r="U250" i="11"/>
  <c r="W250" i="11"/>
  <c r="N1064" i="11"/>
  <c r="X1064" i="11"/>
  <c r="U1064" i="11"/>
  <c r="W1064" i="11"/>
  <c r="V1064" i="11"/>
  <c r="Y1064" i="11"/>
  <c r="Z1064" i="11"/>
  <c r="N237" i="11"/>
  <c r="Z237" i="11"/>
  <c r="U237" i="11"/>
  <c r="V237" i="11"/>
  <c r="W237" i="11"/>
  <c r="X237" i="11"/>
  <c r="Y237" i="11"/>
  <c r="N358" i="11"/>
  <c r="W358" i="11"/>
  <c r="X358" i="11"/>
  <c r="Y358" i="11"/>
  <c r="Z358" i="11"/>
  <c r="U358" i="11"/>
  <c r="AA355" i="11" s="1"/>
  <c r="V358" i="11"/>
  <c r="N574" i="11"/>
  <c r="V574" i="11"/>
  <c r="W574" i="11"/>
  <c r="Z574" i="11"/>
  <c r="U574" i="11"/>
  <c r="Y574" i="11"/>
  <c r="X574" i="11"/>
  <c r="N823" i="11"/>
  <c r="U823" i="11"/>
  <c r="V823" i="11"/>
  <c r="Y823" i="11"/>
  <c r="Z823" i="11"/>
  <c r="W823" i="11"/>
  <c r="X823" i="11"/>
  <c r="N951" i="11"/>
  <c r="U951" i="11"/>
  <c r="X951" i="11"/>
  <c r="Y951" i="11"/>
  <c r="Z951" i="11"/>
  <c r="V951" i="11"/>
  <c r="W951" i="11"/>
  <c r="N962" i="11"/>
  <c r="X962" i="11"/>
  <c r="Y962" i="11"/>
  <c r="U962" i="11"/>
  <c r="V962" i="11"/>
  <c r="W962" i="11"/>
  <c r="Z962" i="11"/>
  <c r="N1013" i="11"/>
  <c r="X1013" i="11"/>
  <c r="Y1013" i="11"/>
  <c r="W1013" i="11"/>
  <c r="Z1013" i="11"/>
  <c r="U1013" i="11"/>
  <c r="V1013" i="11"/>
  <c r="N1266" i="11"/>
  <c r="V1266" i="11"/>
  <c r="Z1266" i="11"/>
  <c r="U1266" i="11"/>
  <c r="X1266" i="11"/>
  <c r="W1266" i="11"/>
  <c r="Y1266" i="11"/>
  <c r="N686" i="11"/>
  <c r="V686" i="11"/>
  <c r="Z686" i="11"/>
  <c r="U686" i="11"/>
  <c r="W686" i="11"/>
  <c r="X686" i="11"/>
  <c r="Y686" i="11"/>
  <c r="N1102" i="11"/>
  <c r="U1102" i="11"/>
  <c r="V1102" i="11"/>
  <c r="W1102" i="11"/>
  <c r="X1102" i="11"/>
  <c r="Y1102" i="11"/>
  <c r="Z1102" i="11"/>
  <c r="N300" i="11"/>
  <c r="V300" i="11"/>
  <c r="W300" i="11"/>
  <c r="X300" i="11"/>
  <c r="Y300" i="11"/>
  <c r="U300" i="11"/>
  <c r="Z300" i="11"/>
  <c r="N424" i="11"/>
  <c r="W424" i="11"/>
  <c r="X424" i="11"/>
  <c r="Y424" i="11"/>
  <c r="Z424" i="11"/>
  <c r="U424" i="11"/>
  <c r="V424" i="11"/>
  <c r="N450" i="11"/>
  <c r="W450" i="11"/>
  <c r="V450" i="11"/>
  <c r="X450" i="11"/>
  <c r="Y450" i="11"/>
  <c r="Z450" i="11"/>
  <c r="U450" i="11"/>
  <c r="N743" i="11"/>
  <c r="Y743" i="11"/>
  <c r="Z743" i="11"/>
  <c r="U743" i="11"/>
  <c r="V743" i="11"/>
  <c r="W743" i="11"/>
  <c r="X743" i="11"/>
  <c r="N739" i="11"/>
  <c r="Y739" i="11"/>
  <c r="Z739" i="11"/>
  <c r="U739" i="11"/>
  <c r="V739" i="11"/>
  <c r="W739" i="11"/>
  <c r="X739" i="11"/>
  <c r="N792" i="11"/>
  <c r="Y792" i="11"/>
  <c r="Z792" i="11"/>
  <c r="U792" i="11"/>
  <c r="V792" i="11"/>
  <c r="W792" i="11"/>
  <c r="X792" i="11"/>
  <c r="N921" i="11"/>
  <c r="X921" i="11"/>
  <c r="Y921" i="11"/>
  <c r="U921" i="11"/>
  <c r="V921" i="11"/>
  <c r="W921" i="11"/>
  <c r="Z921" i="11"/>
  <c r="N1137" i="11"/>
  <c r="X1137" i="11"/>
  <c r="U1137" i="11"/>
  <c r="W1137" i="11"/>
  <c r="V1137" i="11"/>
  <c r="Y1137" i="11"/>
  <c r="Z1137" i="11"/>
  <c r="N1145" i="11"/>
  <c r="X1145" i="11"/>
  <c r="U1145" i="11"/>
  <c r="W1145" i="11"/>
  <c r="V1145" i="11"/>
  <c r="Y1145" i="11"/>
  <c r="Z1145" i="11"/>
  <c r="N252" i="11"/>
  <c r="Z252" i="11"/>
  <c r="U252" i="11"/>
  <c r="V252" i="11"/>
  <c r="W252" i="11"/>
  <c r="X252" i="11"/>
  <c r="Y252" i="11"/>
  <c r="N524" i="11"/>
  <c r="W524" i="11"/>
  <c r="X524" i="11"/>
  <c r="Z524" i="11"/>
  <c r="U524" i="11"/>
  <c r="V524" i="11"/>
  <c r="Y524" i="11"/>
  <c r="N1119" i="11"/>
  <c r="U1119" i="11"/>
  <c r="V1119" i="11"/>
  <c r="W1119" i="11"/>
  <c r="X1119" i="11"/>
  <c r="Y1119" i="11"/>
  <c r="Z1119" i="11"/>
  <c r="N276" i="11"/>
  <c r="V276" i="11"/>
  <c r="Z276" i="11"/>
  <c r="Y276" i="11"/>
  <c r="U276" i="11"/>
  <c r="W276" i="11"/>
  <c r="X276" i="11"/>
  <c r="N622" i="11"/>
  <c r="V622" i="11"/>
  <c r="W622" i="11"/>
  <c r="Z622" i="11"/>
  <c r="U622" i="11"/>
  <c r="Y622" i="11"/>
  <c r="X622" i="11"/>
  <c r="N661" i="11"/>
  <c r="V661" i="11"/>
  <c r="Z661" i="11"/>
  <c r="U661" i="11"/>
  <c r="W661" i="11"/>
  <c r="X661" i="11"/>
  <c r="Y661" i="11"/>
  <c r="N690" i="11"/>
  <c r="V690" i="11"/>
  <c r="Z690" i="11"/>
  <c r="U690" i="11"/>
  <c r="W690" i="11"/>
  <c r="X690" i="11"/>
  <c r="Y690" i="11"/>
  <c r="N765" i="11"/>
  <c r="U765" i="11"/>
  <c r="V765" i="11"/>
  <c r="Y765" i="11"/>
  <c r="Z765" i="11"/>
  <c r="W765" i="11"/>
  <c r="X765" i="11"/>
  <c r="N896" i="11"/>
  <c r="U896" i="11"/>
  <c r="V896" i="11"/>
  <c r="W896" i="11"/>
  <c r="X896" i="11"/>
  <c r="Y896" i="11"/>
  <c r="Z896" i="11"/>
  <c r="N1170" i="11"/>
  <c r="X1170" i="11"/>
  <c r="U1170" i="11"/>
  <c r="W1170" i="11"/>
  <c r="Y1170" i="11"/>
  <c r="Z1170" i="11"/>
  <c r="V1170" i="11"/>
  <c r="N1129" i="11"/>
  <c r="X1129" i="11"/>
  <c r="U1129" i="11"/>
  <c r="V1129" i="11"/>
  <c r="W1129" i="11"/>
  <c r="Y1129" i="11"/>
  <c r="Z1129" i="11"/>
  <c r="N491" i="11"/>
  <c r="W491" i="11"/>
  <c r="X491" i="11"/>
  <c r="Z491" i="11"/>
  <c r="U491" i="11"/>
  <c r="V491" i="11"/>
  <c r="Y491" i="11"/>
  <c r="N1029" i="11"/>
  <c r="X1029" i="11"/>
  <c r="Y1029" i="11"/>
  <c r="W1029" i="11"/>
  <c r="Z1029" i="11"/>
  <c r="U1029" i="11"/>
  <c r="V1029" i="11"/>
  <c r="N950" i="11"/>
  <c r="Z950" i="11"/>
  <c r="V950" i="11"/>
  <c r="W950" i="11"/>
  <c r="X950" i="11"/>
  <c r="Y950" i="11"/>
  <c r="U950" i="11"/>
  <c r="N1224" i="11"/>
  <c r="Z1224" i="11"/>
  <c r="V1224" i="11"/>
  <c r="W1224" i="11"/>
  <c r="Y1224" i="11"/>
  <c r="U1224" i="11"/>
  <c r="X1224" i="11"/>
  <c r="N822" i="11"/>
  <c r="W822" i="11"/>
  <c r="X822" i="11"/>
  <c r="Y822" i="11"/>
  <c r="Z822" i="11"/>
  <c r="U822" i="11"/>
  <c r="V822" i="11"/>
  <c r="N258" i="11"/>
  <c r="V258" i="11"/>
  <c r="Z258" i="11"/>
  <c r="U258" i="11"/>
  <c r="W258" i="11"/>
  <c r="X258" i="11"/>
  <c r="Y258" i="11"/>
  <c r="N381" i="11"/>
  <c r="W381" i="11"/>
  <c r="U381" i="11"/>
  <c r="V381" i="11"/>
  <c r="X381" i="11"/>
  <c r="Y381" i="11"/>
  <c r="Z381" i="11"/>
  <c r="N636" i="11"/>
  <c r="V636" i="11"/>
  <c r="Z636" i="11"/>
  <c r="U636" i="11"/>
  <c r="W636" i="11"/>
  <c r="X636" i="11"/>
  <c r="Y636" i="11"/>
  <c r="N839" i="11"/>
  <c r="U839" i="11"/>
  <c r="V839" i="11"/>
  <c r="Y839" i="11"/>
  <c r="Z839" i="11"/>
  <c r="W839" i="11"/>
  <c r="X839" i="11"/>
  <c r="N968" i="11"/>
  <c r="U968" i="11"/>
  <c r="X968" i="11"/>
  <c r="Y968" i="11"/>
  <c r="Z968" i="11"/>
  <c r="V968" i="11"/>
  <c r="W968" i="11"/>
  <c r="N632" i="11"/>
  <c r="V632" i="11"/>
  <c r="Z632" i="11"/>
  <c r="U632" i="11"/>
  <c r="W632" i="11"/>
  <c r="X632" i="11"/>
  <c r="Y632" i="11"/>
  <c r="N1186" i="11"/>
  <c r="X1186" i="11"/>
  <c r="U1186" i="11"/>
  <c r="W1186" i="11"/>
  <c r="V1186" i="11"/>
  <c r="Y1186" i="11"/>
  <c r="Z1186" i="11"/>
  <c r="N1246" i="11"/>
  <c r="V1246" i="11"/>
  <c r="Z1246" i="11"/>
  <c r="U1246" i="11"/>
  <c r="W1246" i="11"/>
  <c r="X1246" i="11"/>
  <c r="Y1246" i="11"/>
  <c r="N817" i="11"/>
  <c r="Y817" i="11"/>
  <c r="Z817" i="11"/>
  <c r="U817" i="11"/>
  <c r="V817" i="11"/>
  <c r="W817" i="11"/>
  <c r="X817" i="11"/>
  <c r="N1258" i="11"/>
  <c r="V1258" i="11"/>
  <c r="Z1258" i="11"/>
  <c r="U1258" i="11"/>
  <c r="X1258" i="11"/>
  <c r="Y1258" i="11"/>
  <c r="W1258" i="11"/>
  <c r="N322" i="11"/>
  <c r="W322" i="11"/>
  <c r="Z322" i="11"/>
  <c r="U322" i="11"/>
  <c r="Y322" i="11"/>
  <c r="V322" i="11"/>
  <c r="X322" i="11"/>
  <c r="N454" i="11"/>
  <c r="W454" i="11"/>
  <c r="Y454" i="11"/>
  <c r="Z454" i="11"/>
  <c r="U454" i="11"/>
  <c r="X454" i="11"/>
  <c r="V454" i="11"/>
  <c r="N483" i="11"/>
  <c r="W483" i="11"/>
  <c r="X483" i="11"/>
  <c r="Z483" i="11"/>
  <c r="U483" i="11"/>
  <c r="V483" i="11"/>
  <c r="Y483" i="11"/>
  <c r="N1174" i="11"/>
  <c r="X1174" i="11"/>
  <c r="U1174" i="11"/>
  <c r="W1174" i="11"/>
  <c r="Z1174" i="11"/>
  <c r="V1174" i="11"/>
  <c r="Y1174" i="11"/>
  <c r="N992" i="11"/>
  <c r="X992" i="11"/>
  <c r="Y992" i="11"/>
  <c r="U992" i="11"/>
  <c r="V992" i="11"/>
  <c r="W992" i="11"/>
  <c r="Z992" i="11"/>
  <c r="N815" i="11"/>
  <c r="U815" i="11"/>
  <c r="V815" i="11"/>
  <c r="Y815" i="11"/>
  <c r="Z815" i="11"/>
  <c r="W815" i="11"/>
  <c r="X815" i="11"/>
  <c r="N943" i="11"/>
  <c r="U943" i="11"/>
  <c r="X943" i="11"/>
  <c r="Y943" i="11"/>
  <c r="Z943" i="11"/>
  <c r="V943" i="11"/>
  <c r="W943" i="11"/>
  <c r="N1202" i="11"/>
  <c r="X1202" i="11"/>
  <c r="U1202" i="11"/>
  <c r="W1202" i="11"/>
  <c r="Y1202" i="11"/>
  <c r="Z1202" i="11"/>
  <c r="V1202" i="11"/>
  <c r="N1274" i="11"/>
  <c r="V1274" i="11"/>
  <c r="Z1274" i="11"/>
  <c r="U1274" i="11"/>
  <c r="X1274" i="11"/>
  <c r="Y1274" i="11"/>
  <c r="W1274" i="11"/>
  <c r="N271" i="11"/>
  <c r="V271" i="11"/>
  <c r="Z271" i="11"/>
  <c r="X271" i="11"/>
  <c r="Y271" i="11"/>
  <c r="U271" i="11"/>
  <c r="W271" i="11"/>
  <c r="N653" i="11"/>
  <c r="V653" i="11"/>
  <c r="Z653" i="11"/>
  <c r="U653" i="11"/>
  <c r="W653" i="11"/>
  <c r="X653" i="11"/>
  <c r="Y653" i="11"/>
  <c r="N1190" i="11"/>
  <c r="X1190" i="11"/>
  <c r="U1190" i="11"/>
  <c r="W1190" i="11"/>
  <c r="Z1190" i="11"/>
  <c r="V1190" i="11"/>
  <c r="Y1190" i="11"/>
  <c r="N286" i="11"/>
  <c r="V286" i="11"/>
  <c r="W286" i="11"/>
  <c r="X286" i="11"/>
  <c r="Y286" i="11"/>
  <c r="U286" i="11"/>
  <c r="Z286" i="11"/>
  <c r="N412" i="11"/>
  <c r="W412" i="11"/>
  <c r="U412" i="11"/>
  <c r="V412" i="11"/>
  <c r="X412" i="11"/>
  <c r="Y412" i="11"/>
  <c r="Z412" i="11"/>
  <c r="N602" i="11"/>
  <c r="Z602" i="11"/>
  <c r="V602" i="11"/>
  <c r="W602" i="11"/>
  <c r="X602" i="11"/>
  <c r="Y602" i="11"/>
  <c r="U602" i="11"/>
  <c r="N694" i="11"/>
  <c r="V694" i="11"/>
  <c r="Z694" i="11"/>
  <c r="U694" i="11"/>
  <c r="W694" i="11"/>
  <c r="X694" i="11"/>
  <c r="Y694" i="11"/>
  <c r="N723" i="11"/>
  <c r="Y723" i="11"/>
  <c r="Z723" i="11"/>
  <c r="U723" i="11"/>
  <c r="V723" i="11"/>
  <c r="W723" i="11"/>
  <c r="X723" i="11"/>
  <c r="N775" i="11"/>
  <c r="Y775" i="11"/>
  <c r="Z775" i="11"/>
  <c r="U775" i="11"/>
  <c r="V775" i="11"/>
  <c r="W775" i="11"/>
  <c r="X775" i="11"/>
  <c r="N905" i="11"/>
  <c r="X905" i="11"/>
  <c r="Y905" i="11"/>
  <c r="U905" i="11"/>
  <c r="V905" i="11"/>
  <c r="W905" i="11"/>
  <c r="Z905" i="11"/>
  <c r="N1133" i="11"/>
  <c r="X1133" i="11"/>
  <c r="U1133" i="11"/>
  <c r="W1133" i="11"/>
  <c r="Z1133" i="11"/>
  <c r="V1133" i="11"/>
  <c r="Y1133" i="11"/>
  <c r="N1162" i="11"/>
  <c r="X1162" i="11"/>
  <c r="U1162" i="11"/>
  <c r="W1162" i="11"/>
  <c r="V1162" i="11"/>
  <c r="Y1162" i="11"/>
  <c r="Z1162" i="11"/>
  <c r="N557" i="11"/>
  <c r="V557" i="11"/>
  <c r="W557" i="11"/>
  <c r="Z557" i="11"/>
  <c r="U557" i="11"/>
  <c r="Y557" i="11"/>
  <c r="X557" i="11"/>
  <c r="N1182" i="11"/>
  <c r="X1182" i="11"/>
  <c r="U1182" i="11"/>
  <c r="W1182" i="11"/>
  <c r="Z1182" i="11"/>
  <c r="V1182" i="11"/>
  <c r="Y1182" i="11"/>
  <c r="N1163" i="11"/>
  <c r="Z1163" i="11"/>
  <c r="V1163" i="11"/>
  <c r="W1163" i="11"/>
  <c r="Y1163" i="11"/>
  <c r="X1163" i="11"/>
  <c r="U1163" i="11"/>
  <c r="N155" i="11"/>
  <c r="U155" i="11"/>
  <c r="AA138" i="11" s="1"/>
  <c r="X155" i="11"/>
  <c r="Y155" i="11"/>
  <c r="Z155" i="11"/>
  <c r="V155" i="11"/>
  <c r="W155" i="11"/>
  <c r="N34" i="11"/>
  <c r="W34" i="11"/>
  <c r="X34" i="11"/>
  <c r="Y34" i="11"/>
  <c r="U34" i="11"/>
  <c r="V34" i="11"/>
  <c r="Z34" i="11"/>
  <c r="N59" i="11"/>
  <c r="W59" i="11"/>
  <c r="U59" i="11"/>
  <c r="X59" i="11"/>
  <c r="Y59" i="11"/>
  <c r="Z59" i="11"/>
  <c r="V59" i="11"/>
  <c r="N863" i="11"/>
  <c r="W863" i="11"/>
  <c r="X863" i="11"/>
  <c r="Y863" i="11"/>
  <c r="Z863" i="11"/>
  <c r="U863" i="11"/>
  <c r="V863" i="11"/>
  <c r="N268" i="11"/>
  <c r="Z268" i="11"/>
  <c r="V268" i="11"/>
  <c r="X268" i="11"/>
  <c r="U268" i="11"/>
  <c r="W268" i="11"/>
  <c r="Y268" i="11"/>
  <c r="N462" i="11"/>
  <c r="W462" i="11"/>
  <c r="X462" i="11"/>
  <c r="Z462" i="11"/>
  <c r="U462" i="11"/>
  <c r="V462" i="11"/>
  <c r="Y462" i="11"/>
  <c r="N882" i="11"/>
  <c r="Y882" i="11"/>
  <c r="Z882" i="11"/>
  <c r="U882" i="11"/>
  <c r="V882" i="11"/>
  <c r="W882" i="11"/>
  <c r="X882" i="11"/>
  <c r="N996" i="11"/>
  <c r="X996" i="11"/>
  <c r="Y996" i="11"/>
  <c r="W996" i="11"/>
  <c r="Z996" i="11"/>
  <c r="U996" i="11"/>
  <c r="V996" i="11"/>
  <c r="N332" i="11"/>
  <c r="W332" i="11"/>
  <c r="X332" i="11"/>
  <c r="Y332" i="11"/>
  <c r="Z332" i="11"/>
  <c r="U332" i="11"/>
  <c r="V332" i="11"/>
  <c r="N487" i="11"/>
  <c r="W487" i="11"/>
  <c r="X487" i="11"/>
  <c r="Z487" i="11"/>
  <c r="U487" i="11"/>
  <c r="V487" i="11"/>
  <c r="Y487" i="11"/>
  <c r="N516" i="11"/>
  <c r="W516" i="11"/>
  <c r="X516" i="11"/>
  <c r="Z516" i="11"/>
  <c r="U516" i="11"/>
  <c r="V516" i="11"/>
  <c r="Y516" i="11"/>
  <c r="N600" i="11"/>
  <c r="V600" i="11"/>
  <c r="W600" i="11"/>
  <c r="Z600" i="11"/>
  <c r="U600" i="11"/>
  <c r="X600" i="11"/>
  <c r="Y600" i="11"/>
  <c r="N953" i="11"/>
  <c r="X953" i="11"/>
  <c r="Y953" i="11"/>
  <c r="U953" i="11"/>
  <c r="V953" i="11"/>
  <c r="W953" i="11"/>
  <c r="Z953" i="11"/>
  <c r="N1153" i="11"/>
  <c r="X1153" i="11"/>
  <c r="U1153" i="11"/>
  <c r="W1153" i="11"/>
  <c r="V1153" i="11"/>
  <c r="Y1153" i="11"/>
  <c r="Z1153" i="11"/>
  <c r="N306" i="11"/>
  <c r="W306" i="11"/>
  <c r="Z306" i="11"/>
  <c r="U306" i="11"/>
  <c r="V306" i="11"/>
  <c r="X306" i="11"/>
  <c r="Y306" i="11"/>
  <c r="N440" i="11"/>
  <c r="W440" i="11"/>
  <c r="X440" i="11"/>
  <c r="Z440" i="11"/>
  <c r="V440" i="11"/>
  <c r="Y440" i="11"/>
  <c r="U440" i="11"/>
  <c r="N630" i="11"/>
  <c r="Z630" i="11"/>
  <c r="V630" i="11"/>
  <c r="W630" i="11"/>
  <c r="X630" i="11"/>
  <c r="Y630" i="11"/>
  <c r="U630" i="11"/>
  <c r="N727" i="11"/>
  <c r="Y727" i="11"/>
  <c r="Z727" i="11"/>
  <c r="U727" i="11"/>
  <c r="V727" i="11"/>
  <c r="W727" i="11"/>
  <c r="X727" i="11"/>
  <c r="N755" i="11"/>
  <c r="Y755" i="11"/>
  <c r="Z755" i="11"/>
  <c r="U755" i="11"/>
  <c r="V755" i="11"/>
  <c r="W755" i="11"/>
  <c r="X755" i="11"/>
  <c r="N799" i="11"/>
  <c r="U799" i="11"/>
  <c r="V799" i="11"/>
  <c r="Y799" i="11"/>
  <c r="Z799" i="11"/>
  <c r="W799" i="11"/>
  <c r="X799" i="11"/>
  <c r="N927" i="11"/>
  <c r="U927" i="11"/>
  <c r="X927" i="11"/>
  <c r="Y927" i="11"/>
  <c r="Z927" i="11"/>
  <c r="V927" i="11"/>
  <c r="W927" i="11"/>
  <c r="N1198" i="11"/>
  <c r="X1198" i="11"/>
  <c r="U1198" i="11"/>
  <c r="W1198" i="11"/>
  <c r="Z1198" i="11"/>
  <c r="V1198" i="11"/>
  <c r="Y1198" i="11"/>
  <c r="N1286" i="11"/>
  <c r="V1286" i="11"/>
  <c r="Z1286" i="11"/>
  <c r="U1286" i="11"/>
  <c r="W1286" i="11"/>
  <c r="X1286" i="11"/>
  <c r="Y1286" i="11"/>
  <c r="N751" i="11"/>
  <c r="Y751" i="11"/>
  <c r="Z751" i="11"/>
  <c r="U751" i="11"/>
  <c r="V751" i="11"/>
  <c r="W751" i="11"/>
  <c r="X751" i="11"/>
  <c r="N1194" i="11"/>
  <c r="X1194" i="11"/>
  <c r="U1194" i="11"/>
  <c r="W1194" i="11"/>
  <c r="V1194" i="11"/>
  <c r="Y1194" i="11"/>
  <c r="Z1194" i="11"/>
  <c r="N1150" i="11"/>
  <c r="Z1150" i="11"/>
  <c r="V1150" i="11"/>
  <c r="W1150" i="11"/>
  <c r="Y1150" i="11"/>
  <c r="U1150" i="11"/>
  <c r="X1150" i="11"/>
  <c r="N1052" i="11"/>
  <c r="Z1052" i="11"/>
  <c r="V1052" i="11"/>
  <c r="W1052" i="11"/>
  <c r="Y1052" i="11"/>
  <c r="U1052" i="11"/>
  <c r="X1052" i="11"/>
  <c r="N88" i="11"/>
  <c r="W88" i="11"/>
  <c r="X88" i="11"/>
  <c r="Y88" i="11"/>
  <c r="U88" i="11"/>
  <c r="V88" i="11"/>
  <c r="Z88" i="11"/>
  <c r="N1183" i="11"/>
  <c r="Z1183" i="11"/>
  <c r="V1183" i="11"/>
  <c r="W1183" i="11"/>
  <c r="Y1183" i="11"/>
  <c r="X1183" i="11"/>
  <c r="U1183" i="11"/>
  <c r="N1085" i="11"/>
  <c r="Z1085" i="11"/>
  <c r="U1085" i="11"/>
  <c r="V1085" i="11"/>
  <c r="W1085" i="11"/>
  <c r="X1085" i="11"/>
  <c r="Y1085" i="11"/>
  <c r="N767" i="11"/>
  <c r="Y767" i="11"/>
  <c r="Z767" i="11"/>
  <c r="U767" i="11"/>
  <c r="V767" i="11"/>
  <c r="W767" i="11"/>
  <c r="X767" i="11"/>
  <c r="N1025" i="11"/>
  <c r="X1025" i="11"/>
  <c r="Y1025" i="11"/>
  <c r="U1025" i="11"/>
  <c r="V1025" i="11"/>
  <c r="W1025" i="11"/>
  <c r="Z1025" i="11"/>
  <c r="N703" i="11"/>
  <c r="V703" i="11"/>
  <c r="Z703" i="11"/>
  <c r="U703" i="11"/>
  <c r="W703" i="11"/>
  <c r="X703" i="11"/>
  <c r="Y703" i="11"/>
  <c r="N1219" i="11"/>
  <c r="X1219" i="11"/>
  <c r="U1219" i="11"/>
  <c r="W1219" i="11"/>
  <c r="V1219" i="11"/>
  <c r="Y1219" i="11"/>
  <c r="Z1219" i="11"/>
  <c r="N549" i="11"/>
  <c r="W549" i="11"/>
  <c r="U549" i="11"/>
  <c r="V549" i="11"/>
  <c r="X549" i="11"/>
  <c r="Y549" i="11"/>
  <c r="Z549" i="11"/>
  <c r="N848" i="11"/>
  <c r="U848" i="11"/>
  <c r="V848" i="11"/>
  <c r="Y848" i="11"/>
  <c r="Z848" i="11"/>
  <c r="W848" i="11"/>
  <c r="X848" i="11"/>
  <c r="N1282" i="11"/>
  <c r="V1282" i="11"/>
  <c r="Z1282" i="11"/>
  <c r="U1282" i="11"/>
  <c r="X1282" i="11"/>
  <c r="Y1282" i="11"/>
  <c r="W1282" i="11"/>
  <c r="N1290" i="11"/>
  <c r="V1290" i="11"/>
  <c r="Z1290" i="11"/>
  <c r="U1290" i="11"/>
  <c r="W1290" i="11"/>
  <c r="X1290" i="11"/>
  <c r="Y1290" i="11"/>
  <c r="N759" i="11"/>
  <c r="Y759" i="11"/>
  <c r="Z759" i="11"/>
  <c r="U759" i="11"/>
  <c r="V759" i="11"/>
  <c r="W759" i="11"/>
  <c r="X759" i="11"/>
  <c r="N937" i="11"/>
  <c r="X937" i="11"/>
  <c r="Y937" i="11"/>
  <c r="U937" i="11"/>
  <c r="V937" i="11"/>
  <c r="W937" i="11"/>
  <c r="Z937" i="11"/>
  <c r="N1278" i="11"/>
  <c r="V1278" i="11"/>
  <c r="Z1278" i="11"/>
  <c r="U1278" i="11"/>
  <c r="X1278" i="11"/>
  <c r="W1278" i="11"/>
  <c r="Y1278" i="11"/>
  <c r="N559" i="11"/>
  <c r="Z559" i="11"/>
  <c r="V559" i="11"/>
  <c r="W559" i="11"/>
  <c r="X559" i="11"/>
  <c r="Y559" i="11"/>
  <c r="U559" i="11"/>
  <c r="N669" i="11"/>
  <c r="V669" i="11"/>
  <c r="Z669" i="11"/>
  <c r="U669" i="11"/>
  <c r="W669" i="11"/>
  <c r="X669" i="11"/>
  <c r="Y669" i="11"/>
  <c r="N298" i="11"/>
  <c r="W298" i="11"/>
  <c r="Z298" i="11"/>
  <c r="U298" i="11"/>
  <c r="V298" i="11"/>
  <c r="X298" i="11"/>
  <c r="Y298" i="11"/>
  <c r="N284" i="11"/>
  <c r="V284" i="11"/>
  <c r="Z284" i="11"/>
  <c r="X284" i="11"/>
  <c r="Y284" i="11"/>
  <c r="U284" i="11"/>
  <c r="W284" i="11"/>
  <c r="N698" i="11"/>
  <c r="V698" i="11"/>
  <c r="Z698" i="11"/>
  <c r="U698" i="11"/>
  <c r="W698" i="11"/>
  <c r="X698" i="11"/>
  <c r="Y698" i="11"/>
  <c r="N945" i="11"/>
  <c r="X945" i="11"/>
  <c r="Y945" i="11"/>
  <c r="U945" i="11"/>
  <c r="V945" i="11"/>
  <c r="W945" i="11"/>
  <c r="Z945" i="11"/>
  <c r="N520" i="11"/>
  <c r="W520" i="11"/>
  <c r="X520" i="11"/>
  <c r="Z520" i="11"/>
  <c r="U520" i="11"/>
  <c r="V520" i="11"/>
  <c r="Y520" i="11"/>
  <c r="N1157" i="11"/>
  <c r="X1157" i="11"/>
  <c r="U1157" i="11"/>
  <c r="W1157" i="11"/>
  <c r="Z1157" i="11"/>
  <c r="V1157" i="11"/>
  <c r="Y1157" i="11"/>
  <c r="N1166" i="11"/>
  <c r="X1166" i="11"/>
  <c r="U1166" i="11"/>
  <c r="W1166" i="11"/>
  <c r="Z1166" i="11"/>
  <c r="V1166" i="11"/>
  <c r="Y1166" i="11"/>
  <c r="N850" i="11"/>
  <c r="Y850" i="11"/>
  <c r="Z850" i="11"/>
  <c r="U850" i="11"/>
  <c r="V850" i="11"/>
  <c r="W850" i="11"/>
  <c r="X850" i="11"/>
  <c r="N436" i="11"/>
  <c r="W436" i="11"/>
  <c r="X436" i="11"/>
  <c r="Z436" i="11"/>
  <c r="V436" i="11"/>
  <c r="Y436" i="11"/>
  <c r="U436" i="11"/>
  <c r="N809" i="11"/>
  <c r="Y809" i="11"/>
  <c r="Z809" i="11"/>
  <c r="U809" i="11"/>
  <c r="V809" i="11"/>
  <c r="W809" i="11"/>
  <c r="X809" i="11"/>
  <c r="N784" i="11"/>
  <c r="Y784" i="11"/>
  <c r="Z784" i="11"/>
  <c r="U784" i="11"/>
  <c r="V784" i="11"/>
  <c r="W784" i="11"/>
  <c r="X784" i="11"/>
  <c r="N1259" i="11"/>
  <c r="X1259" i="11"/>
  <c r="U1259" i="11"/>
  <c r="W1259" i="11"/>
  <c r="Y1259" i="11"/>
  <c r="Z1259" i="11"/>
  <c r="V1259" i="11"/>
  <c r="N283" i="11"/>
  <c r="X283" i="11"/>
  <c r="Z283" i="11"/>
  <c r="U283" i="11"/>
  <c r="V283" i="11"/>
  <c r="W283" i="11"/>
  <c r="Y283" i="11"/>
  <c r="N478" i="11"/>
  <c r="W478" i="11"/>
  <c r="X478" i="11"/>
  <c r="Z478" i="11"/>
  <c r="U478" i="11"/>
  <c r="V478" i="11"/>
  <c r="Y478" i="11"/>
  <c r="N292" i="11"/>
  <c r="V292" i="11"/>
  <c r="W292" i="11"/>
  <c r="X292" i="11"/>
  <c r="Y292" i="11"/>
  <c r="U292" i="11"/>
  <c r="Z292" i="11"/>
  <c r="N735" i="11"/>
  <c r="Y735" i="11"/>
  <c r="Z735" i="11"/>
  <c r="U735" i="11"/>
  <c r="V735" i="11"/>
  <c r="W735" i="11"/>
  <c r="X735" i="11"/>
  <c r="N888" i="11"/>
  <c r="U888" i="11"/>
  <c r="V888" i="11"/>
  <c r="W888" i="11"/>
  <c r="X888" i="11"/>
  <c r="Y888" i="11"/>
  <c r="Z888" i="11"/>
  <c r="N833" i="11"/>
  <c r="Y833" i="11"/>
  <c r="Z833" i="11"/>
  <c r="U833" i="11"/>
  <c r="V833" i="11"/>
  <c r="W833" i="11"/>
  <c r="X833" i="11"/>
  <c r="N731" i="11"/>
  <c r="Y731" i="11"/>
  <c r="Z731" i="11"/>
  <c r="U731" i="11"/>
  <c r="V731" i="11"/>
  <c r="W731" i="11"/>
  <c r="X731" i="11"/>
  <c r="N1178" i="11"/>
  <c r="X1178" i="11"/>
  <c r="U1178" i="11"/>
  <c r="W1178" i="11"/>
  <c r="V1178" i="11"/>
  <c r="Y1178" i="11"/>
  <c r="Z1178" i="11"/>
  <c r="N308" i="11"/>
  <c r="V308" i="11"/>
  <c r="W308" i="11"/>
  <c r="X308" i="11"/>
  <c r="Y308" i="11"/>
  <c r="Z308" i="11"/>
  <c r="U308" i="11"/>
  <c r="N682" i="11"/>
  <c r="V682" i="11"/>
  <c r="Z682" i="11"/>
  <c r="U682" i="11"/>
  <c r="W682" i="11"/>
  <c r="X682" i="11"/>
  <c r="Y682" i="11"/>
  <c r="N244" i="11"/>
  <c r="Z244" i="11"/>
  <c r="U244" i="11"/>
  <c r="V244" i="11"/>
  <c r="W244" i="11"/>
  <c r="X244" i="11"/>
  <c r="Y244" i="11"/>
  <c r="N366" i="11"/>
  <c r="W366" i="11"/>
  <c r="X366" i="11"/>
  <c r="Y366" i="11"/>
  <c r="Z366" i="11"/>
  <c r="U366" i="11"/>
  <c r="V366" i="11"/>
  <c r="N553" i="11"/>
  <c r="V553" i="11"/>
  <c r="W553" i="11"/>
  <c r="Z553" i="11"/>
  <c r="U553" i="11"/>
  <c r="X553" i="11"/>
  <c r="Y553" i="11"/>
  <c r="N582" i="11"/>
  <c r="V582" i="11"/>
  <c r="W582" i="11"/>
  <c r="Z582" i="11"/>
  <c r="U582" i="11"/>
  <c r="X582" i="11"/>
  <c r="Y582" i="11"/>
  <c r="N628" i="11"/>
  <c r="V628" i="11"/>
  <c r="Z628" i="11"/>
  <c r="U628" i="11"/>
  <c r="W628" i="11"/>
  <c r="X628" i="11"/>
  <c r="Y628" i="11"/>
  <c r="N1047" i="11"/>
  <c r="X1047" i="11"/>
  <c r="U1047" i="11"/>
  <c r="W1047" i="11"/>
  <c r="V1047" i="11"/>
  <c r="Y1047" i="11"/>
  <c r="Z1047" i="11"/>
  <c r="N858" i="11"/>
  <c r="Y858" i="11"/>
  <c r="Z858" i="11"/>
  <c r="U858" i="11"/>
  <c r="V858" i="11"/>
  <c r="W858" i="11"/>
  <c r="X858" i="11"/>
  <c r="N1062" i="11"/>
  <c r="X1062" i="11"/>
  <c r="Y1062" i="11"/>
  <c r="W1062" i="11"/>
  <c r="Z1062" i="11"/>
  <c r="U1062" i="11"/>
  <c r="V1062" i="11"/>
  <c r="N1262" i="11"/>
  <c r="V1262" i="11"/>
  <c r="Z1262" i="11"/>
  <c r="U1262" i="11"/>
  <c r="X1262" i="11"/>
  <c r="Y1262" i="11"/>
  <c r="W1262" i="11"/>
  <c r="N364" i="11"/>
  <c r="W364" i="11"/>
  <c r="U364" i="11"/>
  <c r="V364" i="11"/>
  <c r="X364" i="11"/>
  <c r="Y364" i="11"/>
  <c r="Z364" i="11"/>
  <c r="N978" i="11"/>
  <c r="X978" i="11"/>
  <c r="Y978" i="11"/>
  <c r="U978" i="11"/>
  <c r="V978" i="11"/>
  <c r="W978" i="11"/>
  <c r="Z978" i="11"/>
  <c r="N1270" i="11"/>
  <c r="V1270" i="11"/>
  <c r="Z1270" i="11"/>
  <c r="U1270" i="11"/>
  <c r="W1270" i="11"/>
  <c r="X1270" i="11"/>
  <c r="Y1270" i="11"/>
  <c r="N338" i="11"/>
  <c r="W338" i="11"/>
  <c r="U338" i="11"/>
  <c r="V338" i="11"/>
  <c r="X338" i="11"/>
  <c r="Y338" i="11"/>
  <c r="Z338" i="11"/>
  <c r="N504" i="11"/>
  <c r="W504" i="11"/>
  <c r="X504" i="11"/>
  <c r="Z504" i="11"/>
  <c r="U504" i="11"/>
  <c r="V504" i="11"/>
  <c r="Y504" i="11"/>
  <c r="N466" i="11"/>
  <c r="W466" i="11"/>
  <c r="X466" i="11"/>
  <c r="Z466" i="11"/>
  <c r="U466" i="11"/>
  <c r="V466" i="11"/>
  <c r="Y466" i="11"/>
  <c r="N762" i="11"/>
  <c r="W762" i="11"/>
  <c r="X762" i="11"/>
  <c r="U762" i="11"/>
  <c r="V762" i="11"/>
  <c r="Y762" i="11"/>
  <c r="Z762" i="11"/>
  <c r="N1009" i="11"/>
  <c r="X1009" i="11"/>
  <c r="Y1009" i="11"/>
  <c r="U1009" i="11"/>
  <c r="V1009" i="11"/>
  <c r="W1009" i="11"/>
  <c r="Z1009" i="11"/>
  <c r="N831" i="11"/>
  <c r="U831" i="11"/>
  <c r="V831" i="11"/>
  <c r="Y831" i="11"/>
  <c r="Z831" i="11"/>
  <c r="W831" i="11"/>
  <c r="X831" i="11"/>
  <c r="N960" i="11"/>
  <c r="U960" i="11"/>
  <c r="X960" i="11"/>
  <c r="Y960" i="11"/>
  <c r="Z960" i="11"/>
  <c r="V960" i="11"/>
  <c r="W960" i="11"/>
  <c r="N1078" i="11"/>
  <c r="U1078" i="11"/>
  <c r="V1078" i="11"/>
  <c r="W1078" i="11"/>
  <c r="X1078" i="11"/>
  <c r="Y1078" i="11"/>
  <c r="Z1078" i="11"/>
  <c r="N562" i="11"/>
  <c r="V562" i="11"/>
  <c r="W562" i="11"/>
  <c r="Z562" i="11"/>
  <c r="U562" i="11"/>
  <c r="X562" i="11"/>
  <c r="Y562" i="11"/>
  <c r="N913" i="11"/>
  <c r="X913" i="11"/>
  <c r="Y913" i="11"/>
  <c r="U913" i="11"/>
  <c r="V913" i="11"/>
  <c r="W913" i="11"/>
  <c r="Z913" i="11"/>
  <c r="N108" i="11"/>
  <c r="W108" i="11"/>
  <c r="X108" i="11"/>
  <c r="Y108" i="11"/>
  <c r="U108" i="11"/>
  <c r="V108" i="11"/>
  <c r="Z108" i="11"/>
  <c r="N188" i="11"/>
  <c r="Y188" i="11"/>
  <c r="U188" i="11"/>
  <c r="W188" i="11"/>
  <c r="V188" i="11"/>
  <c r="X188" i="11"/>
  <c r="Z188" i="11"/>
  <c r="N789" i="11"/>
  <c r="W789" i="11"/>
  <c r="X789" i="11"/>
  <c r="Y789" i="11"/>
  <c r="Z789" i="11"/>
  <c r="U789" i="11"/>
  <c r="V789" i="11"/>
  <c r="N231" i="11"/>
  <c r="V231" i="11"/>
  <c r="Y231" i="11"/>
  <c r="Z231" i="11"/>
  <c r="U231" i="11"/>
  <c r="W231" i="11"/>
  <c r="X231" i="11"/>
  <c r="N372" i="11"/>
  <c r="U372" i="11"/>
  <c r="Y372" i="11"/>
  <c r="Z372" i="11"/>
  <c r="V372" i="11"/>
  <c r="W372" i="11"/>
  <c r="X372" i="11"/>
  <c r="N14" i="13"/>
  <c r="S14" i="13"/>
  <c r="T14" i="13"/>
  <c r="R14" i="13"/>
  <c r="N18" i="13"/>
  <c r="T18" i="13"/>
  <c r="R18" i="13"/>
  <c r="S18" i="13"/>
  <c r="N27" i="13"/>
  <c r="T27" i="13"/>
  <c r="R27" i="13"/>
  <c r="S27" i="13"/>
  <c r="N55" i="13"/>
  <c r="S55" i="13"/>
  <c r="T55" i="13"/>
  <c r="R55" i="13"/>
  <c r="N10" i="13"/>
  <c r="R10" i="13"/>
  <c r="S10" i="13"/>
  <c r="T10" i="13"/>
  <c r="N124" i="13"/>
  <c r="S124" i="13"/>
  <c r="T124" i="13"/>
  <c r="R124" i="13"/>
  <c r="U120" i="13" s="1"/>
  <c r="P57" i="14" s="1"/>
  <c r="R57" i="14" s="1"/>
  <c r="N108" i="13"/>
  <c r="R108" i="13"/>
  <c r="T108" i="13"/>
  <c r="S108" i="13"/>
  <c r="N16" i="13"/>
  <c r="R16" i="13"/>
  <c r="S16" i="13"/>
  <c r="T16" i="13"/>
  <c r="N89" i="13"/>
  <c r="S89" i="13"/>
  <c r="R89" i="13"/>
  <c r="T89" i="13"/>
  <c r="N104" i="13"/>
  <c r="S104" i="13"/>
  <c r="T104" i="13"/>
  <c r="R104" i="13"/>
  <c r="N83" i="13"/>
  <c r="R83" i="13"/>
  <c r="S83" i="13"/>
  <c r="T83" i="13"/>
  <c r="N130" i="13"/>
  <c r="R130" i="13"/>
  <c r="T130" i="13"/>
  <c r="S130" i="13"/>
  <c r="N59" i="13"/>
  <c r="R59" i="13"/>
  <c r="S59" i="13"/>
  <c r="T59" i="13"/>
  <c r="N25" i="13"/>
  <c r="R25" i="13"/>
  <c r="U24" i="13" s="1"/>
  <c r="S25" i="13"/>
  <c r="T25" i="13"/>
  <c r="N29" i="13"/>
  <c r="R29" i="13"/>
  <c r="T29" i="13"/>
  <c r="S29" i="13"/>
  <c r="N142" i="13"/>
  <c r="R142" i="13"/>
  <c r="T142" i="13"/>
  <c r="U141" i="13" s="1"/>
  <c r="P87" i="14" s="1"/>
  <c r="S142" i="13"/>
  <c r="N60" i="13"/>
  <c r="T60" i="13"/>
  <c r="R60" i="13"/>
  <c r="S60" i="13"/>
  <c r="N71" i="13"/>
  <c r="S71" i="13"/>
  <c r="T71" i="13"/>
  <c r="R71" i="13"/>
  <c r="N67" i="13"/>
  <c r="R67" i="13"/>
  <c r="S67" i="13"/>
  <c r="T67" i="13"/>
  <c r="N75" i="13"/>
  <c r="R75" i="13"/>
  <c r="T75" i="13"/>
  <c r="S75" i="13"/>
  <c r="N38" i="13"/>
  <c r="S38" i="13"/>
  <c r="T38" i="13"/>
  <c r="R38" i="13"/>
  <c r="N131" i="13"/>
  <c r="T131" i="13"/>
  <c r="S131" i="13"/>
  <c r="R131" i="13"/>
  <c r="N92" i="13"/>
  <c r="T92" i="13"/>
  <c r="R92" i="13"/>
  <c r="S92" i="13"/>
  <c r="N11" i="13"/>
  <c r="R11" i="13"/>
  <c r="S11" i="13"/>
  <c r="T11" i="13"/>
  <c r="N47" i="13"/>
  <c r="S47" i="13"/>
  <c r="T47" i="13"/>
  <c r="R47" i="13"/>
  <c r="N19" i="13"/>
  <c r="R19" i="13"/>
  <c r="S19" i="13"/>
  <c r="T19" i="13"/>
  <c r="N17" i="13"/>
  <c r="S17" i="13"/>
  <c r="R17" i="13"/>
  <c r="T17" i="13"/>
  <c r="N5" i="13"/>
  <c r="S5" i="13"/>
  <c r="R5" i="13"/>
  <c r="T5" i="13"/>
  <c r="M149" i="13"/>
  <c r="N135" i="13"/>
  <c r="S135" i="13"/>
  <c r="T135" i="13"/>
  <c r="R135" i="13"/>
  <c r="U132" i="13" s="1"/>
  <c r="P79" i="14" s="1"/>
  <c r="R79" i="14" s="1"/>
  <c r="N102" i="13"/>
  <c r="R102" i="13"/>
  <c r="T102" i="13"/>
  <c r="S102" i="13"/>
  <c r="N32" i="13"/>
  <c r="S32" i="13"/>
  <c r="R32" i="13"/>
  <c r="T32" i="13"/>
  <c r="N21" i="13"/>
  <c r="S21" i="13"/>
  <c r="T21" i="13"/>
  <c r="R21" i="13"/>
  <c r="P21" i="14" s="1"/>
  <c r="R21" i="14" s="1"/>
  <c r="N110" i="13"/>
  <c r="T110" i="13"/>
  <c r="S110" i="13"/>
  <c r="R110" i="13"/>
  <c r="N81" i="13"/>
  <c r="R81" i="13"/>
  <c r="S81" i="13"/>
  <c r="T81" i="13"/>
  <c r="N51" i="13"/>
  <c r="S51" i="13"/>
  <c r="R51" i="13"/>
  <c r="T51" i="13"/>
  <c r="N73" i="13"/>
  <c r="T73" i="13"/>
  <c r="R73" i="13"/>
  <c r="S73" i="13"/>
  <c r="N119" i="13"/>
  <c r="R119" i="13"/>
  <c r="U116" i="13" s="1"/>
  <c r="P43" i="14" s="1"/>
  <c r="R43" i="14" s="1"/>
  <c r="T119" i="13"/>
  <c r="S119" i="13"/>
  <c r="N26" i="13"/>
  <c r="S26" i="13"/>
  <c r="R26" i="13"/>
  <c r="T26" i="13"/>
  <c r="N12" i="13"/>
  <c r="T12" i="13"/>
  <c r="R12" i="13"/>
  <c r="S12" i="13"/>
  <c r="N77" i="13"/>
  <c r="R77" i="13"/>
  <c r="S77" i="13"/>
  <c r="T77" i="13"/>
  <c r="N114" i="13"/>
  <c r="S114" i="13"/>
  <c r="T114" i="13"/>
  <c r="R114" i="13"/>
  <c r="N101" i="13"/>
  <c r="T101" i="13"/>
  <c r="S101" i="13"/>
  <c r="R101" i="13"/>
  <c r="N53" i="13"/>
  <c r="T53" i="13"/>
  <c r="R53" i="13"/>
  <c r="S53" i="13"/>
  <c r="N144" i="13"/>
  <c r="T144" i="13"/>
  <c r="U143" i="13" s="1"/>
  <c r="S144" i="13"/>
  <c r="R144" i="13"/>
  <c r="N95" i="13"/>
  <c r="S95" i="13"/>
  <c r="T95" i="13"/>
  <c r="R95" i="13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AA52" i="11" l="1"/>
  <c r="AA700" i="11"/>
  <c r="AA270" i="11"/>
  <c r="AA229" i="11"/>
  <c r="AA596" i="11"/>
  <c r="P26" i="15" s="1"/>
  <c r="R26" i="15" s="1"/>
  <c r="R64" i="15" s="1"/>
  <c r="AA363" i="11"/>
  <c r="AA171" i="11"/>
  <c r="U36" i="13"/>
  <c r="P32" i="14" s="1"/>
  <c r="R32" i="14" s="1"/>
  <c r="U128" i="13"/>
  <c r="P74" i="14" s="1"/>
  <c r="R74" i="14" s="1"/>
  <c r="P25" i="14"/>
  <c r="R25" i="14" s="1"/>
  <c r="U109" i="13"/>
  <c r="P36" i="14" s="1"/>
  <c r="R36" i="14" s="1"/>
  <c r="P2" i="14"/>
  <c r="R2" i="14" s="1"/>
  <c r="P11" i="14"/>
  <c r="R11" i="14" s="1"/>
  <c r="M156" i="13"/>
  <c r="F2" i="16"/>
  <c r="F9" i="16" s="1"/>
  <c r="V1294" i="11"/>
  <c r="S149" i="13"/>
  <c r="S156" i="13" s="1"/>
  <c r="W1294" i="11"/>
  <c r="X1294" i="11"/>
  <c r="Z1294" i="11"/>
  <c r="U1294" i="11"/>
  <c r="Y1294" i="11"/>
  <c r="T149" i="13"/>
  <c r="T156" i="13" s="1"/>
  <c r="R149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R96" i="14" l="1"/>
  <c r="F13" i="16" s="1"/>
  <c r="W1295" i="11"/>
  <c r="R156" i="13"/>
  <c r="S150" i="13"/>
  <c r="S159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</calcChain>
</file>

<file path=xl/sharedStrings.xml><?xml version="1.0" encoding="utf-8"?>
<sst xmlns="http://schemas.openxmlformats.org/spreadsheetml/2006/main" count="34357" uniqueCount="8391">
  <si>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</si>
  <si>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</si>
  <si>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</si>
  <si>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</si>
  <si>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</si>
  <si>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</si>
  <si>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</si>
  <si>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</si>
  <si>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</si>
  <si>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</si>
  <si>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</si>
  <si>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</si>
  <si>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</si>
  <si>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</si>
  <si>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</si>
  <si>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</si>
  <si>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</si>
  <si>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</si>
  <si>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</si>
  <si>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</si>
  <si>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</si>
  <si>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</si>
  <si>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</si>
  <si>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</si>
  <si>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</si>
  <si>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</si>
  <si>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</si>
  <si>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</si>
  <si>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</si>
  <si>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</si>
  <si>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</si>
  <si>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</si>
  <si>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</si>
  <si>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</si>
  <si>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</si>
  <si>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</si>
  <si>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</si>
  <si>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</si>
  <si>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</si>
  <si>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</si>
  <si>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</si>
  <si>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</si>
  <si>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</si>
  <si>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</si>
  <si>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</si>
  <si>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</si>
  <si>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</si>
  <si>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</si>
  <si>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</si>
  <si>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</si>
  <si>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</si>
  <si>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</si>
  <si>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</si>
  <si>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</si>
  <si>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</si>
  <si>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</si>
  <si>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</si>
  <si>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</si>
  <si>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</si>
  <si>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</si>
  <si>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</si>
  <si>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</si>
  <si>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</si>
  <si>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</si>
  <si>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</si>
  <si>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</si>
  <si>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</si>
  <si>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</si>
  <si>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</si>
  <si>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</si>
  <si>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</si>
  <si>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</si>
  <si>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</si>
  <si>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</si>
  <si>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</si>
  <si>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</si>
  <si>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</si>
  <si>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</si>
  <si>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</si>
  <si>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</si>
  <si>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</si>
  <si>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</si>
  <si>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</si>
  <si>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</si>
  <si>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</si>
  <si>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</si>
  <si>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</si>
  <si>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</si>
  <si>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</si>
  <si>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</si>
  <si>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</si>
  <si>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</si>
  <si>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</si>
  <si>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</si>
  <si>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</si>
  <si>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</si>
  <si>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</si>
  <si>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</si>
  <si>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</si>
  <si>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</si>
  <si>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</si>
  <si>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</si>
  <si>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</si>
  <si>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</si>
  <si>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</si>
  <si>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</si>
  <si>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</si>
  <si>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</si>
  <si>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</si>
  <si>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</si>
  <si>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</si>
  <si>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</si>
  <si>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</si>
  <si>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</si>
  <si>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</si>
  <si>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</si>
  <si>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</si>
  <si>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</si>
  <si>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</si>
  <si>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</si>
  <si>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</si>
  <si>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</si>
  <si>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</si>
  <si>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</si>
  <si>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</si>
  <si>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</si>
  <si>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</si>
  <si>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</si>
  <si>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</si>
  <si>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</si>
  <si>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</si>
  <si>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</si>
  <si>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</si>
  <si>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</si>
  <si>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</si>
  <si>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</si>
  <si>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</si>
  <si>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</si>
  <si>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</si>
  <si>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</si>
  <si>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</si>
  <si>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</si>
  <si>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</si>
  <si>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</si>
  <si>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</si>
  <si>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</si>
  <si>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</si>
  <si>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</si>
  <si>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</si>
  <si>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</si>
  <si>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</si>
  <si>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</si>
  <si>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</si>
  <si>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</si>
  <si>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</si>
  <si>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</si>
  <si>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</si>
  <si>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</si>
  <si>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</si>
  <si>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</si>
  <si>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</si>
  <si>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</si>
  <si>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</si>
  <si>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</si>
  <si>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</si>
  <si>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</si>
  <si>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</si>
  <si>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</si>
  <si>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</si>
  <si>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</si>
  <si>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</si>
  <si>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</si>
  <si>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</si>
  <si>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</si>
  <si>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</si>
  <si>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</si>
  <si>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</si>
  <si>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</si>
  <si>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</si>
  <si>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</si>
  <si>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</si>
  <si>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</si>
  <si>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</si>
  <si>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</si>
  <si>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</si>
  <si>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</si>
  <si>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</si>
  <si>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</si>
  <si>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</si>
  <si>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</si>
  <si>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</si>
  <si>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</si>
  <si>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</si>
  <si>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</si>
  <si>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</si>
  <si>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</si>
  <si>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</si>
  <si>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</si>
  <si>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</si>
  <si>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</si>
  <si>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</si>
  <si>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</si>
  <si>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</si>
  <si>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</si>
  <si>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</si>
  <si>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</si>
  <si>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</si>
  <si>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</si>
  <si>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</si>
  <si>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</si>
  <si>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</si>
  <si>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</si>
  <si>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</si>
  <si>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</si>
  <si>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</si>
  <si>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</si>
  <si>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</si>
  <si>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</si>
  <si>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</si>
  <si>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</si>
  <si>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</si>
  <si>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</si>
  <si>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</si>
  <si>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</si>
  <si>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</si>
  <si>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</si>
  <si>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</si>
  <si>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</si>
  <si>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</si>
  <si>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</si>
  <si>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</si>
  <si>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</si>
  <si>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</si>
  <si>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</si>
  <si>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</si>
  <si>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</si>
  <si>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</si>
  <si>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</si>
  <si>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</si>
  <si>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</si>
  <si>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</si>
  <si>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</si>
  <si>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</si>
  <si>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</si>
  <si>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</si>
  <si>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</si>
  <si>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</si>
  <si>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</si>
  <si>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</si>
  <si>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</si>
  <si>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</si>
  <si>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</si>
  <si>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</si>
  <si>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</si>
  <si>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</si>
  <si>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</si>
  <si>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</si>
  <si>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</si>
  <si>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</si>
  <si>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</si>
  <si>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</si>
  <si>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</si>
  <si>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</si>
  <si>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</si>
  <si>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</si>
  <si>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</si>
  <si>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</si>
  <si>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</si>
  <si>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</si>
  <si>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</si>
  <si>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</si>
  <si>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</si>
  <si>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</si>
  <si>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</si>
  <si>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</si>
  <si>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</si>
  <si>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</si>
  <si>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</si>
  <si>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</si>
  <si>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</si>
  <si>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</si>
  <si>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</si>
  <si>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</si>
  <si>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</si>
  <si>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</si>
  <si>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</si>
  <si>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</si>
  <si>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</si>
  <si>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</si>
  <si>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</si>
  <si>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</si>
  <si>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</si>
  <si>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</si>
  <si>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</si>
  <si>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</si>
  <si>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</si>
  <si>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</si>
  <si>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</si>
  <si>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</si>
  <si>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</si>
  <si>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</si>
  <si>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</si>
  <si>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</si>
  <si>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</si>
  <si>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</si>
  <si>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</si>
  <si>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</si>
  <si>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</si>
  <si>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</si>
  <si>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</si>
  <si>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</si>
  <si>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</si>
  <si>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</si>
  <si>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</si>
  <si>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</si>
  <si>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</si>
  <si>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</si>
  <si>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</si>
  <si>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</si>
  <si>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</si>
  <si>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</si>
  <si>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</si>
  <si>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</si>
  <si>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</si>
  <si>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</si>
  <si>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</si>
  <si>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</si>
  <si>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</si>
  <si>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</si>
  <si>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</si>
  <si>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</si>
  <si>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</si>
  <si>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</si>
  <si>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</si>
  <si>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</si>
  <si>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</si>
  <si>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</si>
  <si>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</si>
  <si>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</si>
  <si>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</si>
  <si>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</si>
  <si>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</si>
  <si>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</si>
  <si>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</si>
  <si>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</si>
  <si>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</si>
  <si>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</si>
  <si>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</si>
  <si>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</si>
  <si>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</si>
  <si>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</si>
  <si>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</si>
  <si>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</si>
  <si>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</si>
  <si>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</si>
  <si>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</si>
  <si>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</si>
  <si>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</si>
  <si>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</si>
  <si>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</si>
  <si>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</si>
  <si>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</si>
  <si>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</si>
  <si>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</si>
  <si>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</si>
  <si>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</si>
  <si>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</si>
  <si>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</si>
  <si>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</si>
  <si>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</si>
  <si>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</si>
  <si>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</si>
  <si>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</si>
  <si>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</si>
  <si>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</si>
  <si>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</si>
  <si>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</si>
  <si>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</si>
  <si>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</si>
  <si>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</si>
  <si>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</si>
  <si>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</si>
  <si>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</si>
  <si>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</si>
  <si>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</si>
  <si>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</si>
  <si>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</si>
  <si>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</si>
  <si>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</si>
  <si>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</si>
  <si>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</si>
  <si>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</si>
  <si>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</si>
  <si>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</si>
  <si>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</si>
  <si>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</si>
  <si>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</si>
  <si>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</si>
  <si>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</si>
  <si>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</si>
  <si>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</si>
  <si>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</si>
  <si>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</si>
  <si>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</si>
  <si>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</si>
  <si>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</si>
  <si>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</si>
  <si>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</si>
  <si>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</si>
  <si>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</si>
  <si>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</si>
  <si>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</si>
  <si>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</si>
  <si>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</si>
  <si>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</si>
  <si>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</si>
  <si>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</si>
  <si>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</si>
  <si>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</si>
  <si>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</si>
  <si>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</si>
  <si>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</si>
  <si>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</si>
  <si>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</si>
  <si>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</si>
  <si>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</si>
  <si>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</si>
  <si>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</si>
  <si>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</si>
  <si>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</si>
  <si>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</si>
  <si>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</si>
  <si>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</si>
  <si>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</si>
  <si>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</si>
  <si>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</si>
  <si>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</si>
  <si>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</si>
  <si>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</si>
  <si>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</si>
  <si>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</si>
  <si>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</si>
  <si>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</si>
  <si>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</si>
  <si>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</si>
  <si>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</si>
  <si>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</si>
  <si>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</si>
  <si>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</si>
  <si>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</si>
  <si>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</si>
  <si>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</si>
  <si>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</si>
  <si>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</si>
  <si>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</si>
  <si>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</si>
  <si>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</si>
  <si>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</si>
  <si>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</si>
  <si>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</si>
  <si>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</si>
  <si>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</si>
  <si>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</si>
  <si>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</si>
  <si>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</si>
  <si>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</si>
  <si>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</si>
  <si>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</si>
  <si>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</si>
  <si>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</si>
  <si>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</si>
  <si>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</si>
  <si>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</si>
  <si>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</si>
  <si>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</si>
  <si>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</si>
  <si>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</si>
  <si>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</si>
  <si>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</si>
  <si>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</si>
  <si>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</si>
  <si>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</si>
  <si>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</si>
  <si>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</si>
  <si>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</si>
  <si>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</si>
  <si>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</si>
  <si>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</si>
  <si>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</si>
  <si>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</si>
  <si>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</si>
  <si>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</si>
  <si>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</si>
  <si>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</si>
  <si>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</si>
  <si>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</si>
  <si>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</si>
  <si>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</si>
  <si>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</si>
  <si>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</si>
  <si>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</si>
  <si>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</si>
  <si>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</si>
  <si>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</si>
  <si>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</si>
  <si>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</si>
  <si>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</si>
  <si>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</si>
  <si>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</si>
  <si>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</si>
  <si>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</si>
  <si>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</si>
  <si>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</si>
  <si>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</si>
  <si>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</si>
  <si>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</si>
  <si>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</si>
  <si>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</si>
  <si>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</si>
  <si>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</si>
  <si>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</si>
  <si>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</si>
  <si>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</si>
  <si>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</si>
  <si>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</si>
  <si>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</si>
  <si>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</si>
  <si>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</si>
  <si>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</si>
  <si>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</si>
  <si>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</si>
  <si>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</si>
  <si>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</si>
  <si>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</si>
  <si>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</si>
  <si>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</si>
  <si>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</si>
  <si>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</si>
  <si>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</si>
  <si>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</si>
  <si>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</si>
  <si>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</si>
  <si>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</si>
  <si>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</si>
  <si>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</si>
  <si>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</si>
  <si>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</si>
  <si>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</si>
  <si>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</si>
  <si>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</si>
  <si>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</si>
  <si>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</si>
  <si>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</si>
  <si>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</si>
  <si>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</si>
  <si>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</si>
  <si>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</si>
  <si>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</si>
  <si>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</si>
  <si>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</si>
  <si>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</si>
  <si>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</si>
  <si>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</si>
  <si>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</si>
  <si>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</si>
  <si>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</si>
  <si>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</si>
  <si>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</si>
  <si>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</si>
  <si>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</si>
  <si>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</si>
  <si>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</si>
  <si>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</si>
  <si>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</si>
  <si>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</si>
  <si>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</si>
  <si>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</si>
  <si>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</si>
  <si>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</si>
  <si>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</si>
  <si>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</si>
  <si>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</si>
  <si>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</si>
  <si>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</si>
  <si>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</si>
  <si>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</si>
  <si>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</si>
  <si>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</si>
  <si>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</si>
  <si>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</si>
  <si>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</si>
  <si>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</si>
  <si>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</si>
  <si>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</si>
  <si>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</si>
  <si>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</si>
  <si>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</si>
  <si>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</si>
  <si>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</si>
  <si>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</si>
  <si>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</si>
  <si>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</si>
  <si>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</si>
  <si>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</si>
  <si>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</si>
  <si>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</si>
  <si>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</si>
  <si>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</si>
  <si>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</si>
  <si>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</si>
  <si>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</si>
  <si>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</si>
  <si>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</si>
  <si>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</si>
  <si>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</si>
  <si>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</si>
  <si>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</si>
  <si>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</si>
  <si>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</si>
  <si>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</si>
  <si>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</si>
  <si>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</si>
  <si>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</si>
  <si>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</si>
  <si>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</si>
  <si>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</si>
  <si>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</si>
  <si>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</si>
  <si>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</si>
  <si>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</si>
  <si>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</si>
  <si>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</si>
  <si>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</si>
  <si>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</si>
  <si>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</si>
  <si>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</si>
  <si>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</si>
  <si>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</si>
  <si>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</si>
  <si>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</si>
  <si>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</si>
  <si>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</si>
  <si>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</si>
  <si>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</si>
  <si>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</si>
  <si>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</si>
  <si>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</si>
  <si>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</si>
  <si>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</si>
  <si>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</si>
  <si>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</si>
  <si>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</si>
  <si>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</si>
  <si>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</si>
  <si>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</si>
  <si>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</si>
  <si>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</si>
  <si>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</si>
  <si>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</si>
  <si>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</si>
  <si>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</si>
  <si>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</si>
  <si>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</si>
  <si>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</si>
  <si>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</si>
  <si>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</si>
  <si>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</si>
  <si>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</si>
  <si>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</si>
  <si>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</si>
  <si>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</si>
  <si>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</si>
  <si>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</si>
  <si>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</si>
  <si>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</si>
  <si>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</si>
  <si>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</si>
  <si>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</si>
  <si>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</si>
  <si>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</si>
  <si>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</si>
  <si>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</si>
  <si>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</si>
  <si>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</si>
  <si>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</si>
  <si>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</si>
  <si>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</si>
  <si>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</si>
  <si>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</si>
  <si>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</si>
  <si>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</si>
  <si>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</si>
  <si>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</si>
  <si>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</si>
  <si>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</si>
  <si>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</si>
  <si>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</si>
  <si>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</si>
  <si>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</si>
  <si>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</si>
  <si>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</si>
  <si>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</si>
  <si>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</si>
  <si>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</si>
  <si>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</si>
  <si>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</si>
  <si>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</si>
  <si>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</si>
  <si>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</si>
  <si>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</si>
  <si>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</si>
  <si>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</si>
  <si>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</si>
  <si>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</si>
  <si>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</si>
  <si>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</si>
  <si>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</si>
  <si>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</si>
  <si>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</si>
  <si>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</si>
  <si>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</si>
  <si>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</si>
  <si>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</si>
  <si>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</si>
  <si>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</si>
  <si>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</si>
  <si>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</si>
  <si>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</si>
  <si>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</si>
  <si>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</si>
  <si>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</si>
  <si>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</si>
  <si>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</si>
  <si>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</si>
  <si>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</si>
  <si>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</si>
  <si>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</si>
  <si>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</si>
  <si>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</si>
  <si>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</si>
  <si>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</si>
  <si>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</si>
  <si>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</si>
  <si>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</si>
  <si>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</si>
  <si>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</si>
  <si>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</si>
  <si>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</si>
  <si>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</si>
  <si>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</si>
  <si>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</si>
  <si>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</si>
  <si>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</si>
  <si>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</si>
  <si>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</si>
  <si>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</si>
  <si>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</si>
  <si>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</si>
  <si>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</si>
  <si>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</si>
  <si>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</si>
  <si>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</si>
  <si>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</si>
  <si>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</si>
  <si>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</si>
  <si>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</si>
  <si>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</si>
  <si>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</si>
  <si>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</si>
  <si>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</si>
  <si>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</si>
  <si>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</si>
  <si>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</si>
  <si>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</si>
  <si>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</si>
  <si>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</si>
  <si>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</si>
  <si>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</si>
  <si>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</si>
  <si>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</si>
  <si>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</si>
  <si>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</si>
  <si>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</si>
  <si>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</si>
  <si>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</si>
  <si>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</si>
  <si>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</si>
  <si>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</si>
  <si>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</si>
  <si>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</si>
  <si>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</si>
  <si>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</si>
  <si>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</si>
  <si>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</si>
  <si>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</si>
  <si>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</si>
  <si>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</si>
  <si>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</si>
  <si>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</si>
  <si>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</si>
  <si>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</si>
  <si>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</si>
  <si>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</si>
  <si>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</si>
  <si>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</si>
  <si>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</si>
  <si>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</si>
  <si>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</si>
  <si>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</si>
  <si>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</si>
  <si>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</si>
  <si>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</si>
  <si>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</si>
  <si>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</si>
  <si>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</si>
  <si>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</si>
  <si>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</si>
  <si>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</si>
  <si>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</si>
  <si>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</si>
  <si>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</si>
  <si>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</si>
  <si>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</si>
  <si>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</si>
  <si>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</si>
  <si>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</si>
  <si>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</si>
  <si>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</si>
  <si>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</si>
  <si>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</si>
  <si>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</si>
  <si>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</si>
  <si>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</si>
  <si>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</si>
  <si>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</si>
  <si>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</si>
  <si>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</si>
  <si>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</si>
  <si>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</si>
  <si>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</si>
  <si>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</si>
  <si>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</si>
  <si>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</si>
  <si>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</si>
  <si>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</si>
  <si>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</si>
  <si>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</si>
  <si>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</si>
  <si>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</si>
  <si>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</si>
  <si>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</si>
  <si>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</si>
  <si>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</si>
  <si>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</si>
  <si>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</si>
  <si>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</si>
  <si>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</si>
  <si>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</si>
  <si>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</si>
  <si>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</si>
  <si>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</si>
  <si>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</si>
  <si>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</si>
  <si>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</si>
  <si>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</si>
  <si>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</si>
  <si>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</si>
  <si>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</si>
  <si>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</si>
  <si>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</si>
  <si>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</si>
  <si>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</si>
  <si>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</si>
  <si>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</si>
  <si>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</si>
  <si>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</si>
  <si>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</si>
  <si>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</si>
  <si>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</si>
  <si>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</si>
  <si>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</si>
  <si>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</si>
  <si>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</si>
  <si>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</si>
  <si>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</si>
  <si>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</si>
  <si>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</si>
  <si>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</si>
  <si>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</si>
  <si>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</si>
  <si>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</si>
  <si>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</si>
  <si>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</si>
  <si>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</si>
  <si>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</si>
  <si>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</si>
  <si>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</si>
  <si>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</si>
  <si>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</si>
  <si>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</si>
  <si>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</si>
  <si>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</si>
  <si>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</si>
  <si>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</si>
  <si>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</si>
  <si>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</si>
  <si>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</si>
  <si>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</si>
  <si>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</si>
  <si>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</si>
  <si>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</si>
  <si>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</si>
  <si>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</si>
  <si>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</si>
  <si>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</si>
  <si>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</si>
  <si>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</si>
  <si>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</si>
  <si>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</si>
  <si>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</si>
  <si>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</si>
  <si>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</si>
  <si>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</si>
  <si>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</si>
  <si>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</si>
  <si>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</si>
  <si>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</si>
  <si>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</si>
  <si>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</si>
  <si>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</si>
  <si>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</si>
  <si>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</si>
  <si>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</si>
  <si>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</si>
  <si>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</si>
  <si>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</si>
  <si>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</si>
  <si>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</si>
  <si>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</si>
  <si>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</si>
  <si>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</si>
  <si>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</si>
  <si>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</si>
  <si>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</si>
  <si>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</si>
  <si>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</si>
  <si>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</si>
  <si>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</si>
  <si>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</si>
  <si>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</si>
  <si>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</si>
  <si>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</si>
  <si>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</si>
  <si>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</si>
  <si>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</si>
  <si>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</si>
  <si>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</si>
  <si>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</si>
  <si>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</si>
  <si>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</si>
  <si>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</si>
  <si>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</si>
  <si>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</si>
  <si>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</si>
  <si>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</si>
  <si>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</si>
  <si>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</si>
  <si>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</si>
  <si>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</si>
  <si>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</si>
  <si>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</si>
  <si>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</si>
  <si>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</si>
  <si>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</si>
  <si>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</si>
  <si>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</si>
  <si>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</si>
  <si>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</si>
  <si>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</si>
  <si>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</si>
  <si>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</si>
  <si>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</si>
  <si>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</si>
  <si>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</si>
  <si>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</si>
  <si>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</si>
  <si>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</si>
  <si>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</si>
  <si>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</si>
  <si>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</si>
  <si>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</si>
  <si>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</si>
  <si>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</si>
  <si>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</si>
  <si>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</si>
  <si>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</si>
  <si>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</si>
  <si>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</si>
  <si>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</si>
  <si>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</si>
  <si>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</si>
  <si>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</si>
  <si>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</si>
  <si>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</si>
  <si>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</si>
  <si>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</si>
  <si>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</si>
  <si>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</si>
  <si>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</si>
  <si>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</si>
  <si>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</si>
  <si>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</si>
  <si>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</si>
  <si>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</si>
  <si>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</si>
  <si>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</si>
  <si>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</si>
  <si>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</si>
  <si>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</si>
  <si>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</si>
  <si>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</si>
  <si>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</si>
  <si>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</si>
  <si>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</si>
  <si>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</si>
  <si>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</si>
  <si>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</si>
  <si>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</si>
  <si>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</si>
  <si>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</si>
  <si>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</si>
  <si>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</si>
  <si>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</si>
  <si>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</si>
  <si>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</si>
  <si>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</si>
  <si>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</si>
  <si>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</si>
  <si>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</si>
  <si>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</si>
  <si>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</si>
  <si>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</si>
  <si>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</si>
  <si>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</si>
  <si>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</si>
  <si>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</si>
  <si>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</si>
  <si>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</si>
  <si>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</si>
  <si>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</si>
  <si>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</si>
  <si>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</si>
  <si>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</si>
  <si>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</si>
  <si>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</si>
  <si>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</si>
  <si>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</si>
  <si>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</si>
  <si>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</si>
  <si>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</si>
  <si>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</si>
  <si>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</si>
  <si>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</si>
  <si>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</si>
  <si>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</si>
  <si>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</si>
  <si>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</si>
  <si>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</si>
  <si>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</si>
  <si>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</si>
  <si>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</si>
  <si>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</si>
  <si>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</si>
  <si>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</si>
  <si>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</si>
  <si>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</si>
  <si>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</si>
  <si>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</si>
  <si>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</si>
  <si>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</si>
  <si>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</si>
  <si>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</si>
  <si>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</si>
  <si>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</si>
  <si>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</si>
  <si>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</si>
  <si>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</si>
  <si>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</si>
  <si>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</si>
  <si>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</si>
  <si>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</si>
  <si>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</si>
  <si>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</si>
  <si>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</si>
  <si>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</si>
  <si>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</si>
  <si>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</si>
  <si>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</si>
  <si>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</si>
  <si>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</si>
  <si>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</si>
  <si>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</si>
  <si>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</si>
  <si>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</si>
  <si>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</si>
  <si>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</si>
  <si>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</si>
  <si>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</si>
  <si>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</si>
  <si>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</si>
  <si>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</si>
  <si>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</si>
  <si>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</si>
  <si>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</si>
  <si>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</si>
  <si>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</si>
  <si>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</si>
  <si>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</si>
  <si>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</si>
  <si>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</si>
  <si>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</si>
  <si>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</si>
  <si>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</si>
  <si>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</si>
  <si>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</si>
  <si>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</si>
  <si>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</si>
  <si>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</si>
  <si>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</si>
  <si>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</si>
  <si>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</si>
  <si>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</si>
  <si>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</si>
  <si>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</si>
  <si>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</si>
  <si>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</si>
  <si>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</si>
  <si>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</si>
  <si>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</si>
  <si>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</si>
  <si>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</si>
  <si>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</si>
  <si>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</si>
  <si>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</si>
  <si>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</si>
  <si>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</si>
  <si>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</si>
  <si>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</si>
  <si>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</si>
  <si>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</si>
  <si>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</si>
  <si>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</si>
  <si>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</si>
  <si>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</si>
  <si>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</si>
  <si>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</si>
  <si>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</si>
  <si>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</si>
  <si>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</si>
  <si>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</si>
  <si>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</si>
  <si>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</si>
  <si>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</si>
  <si>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</si>
  <si>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</si>
  <si>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</si>
  <si>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</si>
  <si>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</si>
  <si>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</si>
  <si>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</si>
  <si>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</si>
  <si>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</si>
  <si>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</si>
  <si>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</si>
  <si>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</si>
  <si>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</si>
  <si>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</si>
  <si>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</si>
  <si>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</si>
  <si>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</si>
  <si>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</si>
  <si>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</si>
  <si>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</si>
  <si>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</si>
  <si>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</si>
  <si>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</si>
  <si>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</si>
  <si>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</si>
  <si>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</si>
  <si>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</si>
  <si>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</si>
  <si>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</si>
  <si>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</si>
  <si>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</si>
  <si>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</si>
  <si>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</si>
  <si>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</si>
  <si>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</si>
  <si>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</si>
  <si>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</si>
  <si>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</si>
  <si>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</si>
  <si>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</si>
  <si>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</si>
  <si>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</si>
  <si>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</si>
  <si>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</si>
  <si>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</si>
  <si>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</si>
  <si>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</si>
  <si>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</si>
  <si>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</si>
  <si>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</si>
  <si>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</si>
  <si>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</si>
  <si>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</si>
  <si>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</si>
  <si>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</si>
  <si>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</si>
  <si>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</si>
  <si>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</si>
  <si>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</si>
  <si>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</si>
  <si>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</si>
  <si>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</si>
  <si>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</si>
  <si>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</si>
  <si>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</si>
  <si>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</si>
  <si>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</si>
  <si>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</si>
  <si>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</si>
  <si>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</si>
  <si>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</si>
  <si>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</si>
  <si>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</si>
  <si>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</si>
  <si>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</si>
  <si>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</si>
  <si>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</si>
  <si>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</si>
  <si>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</si>
  <si>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</si>
  <si>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</si>
  <si>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</si>
  <si>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</si>
  <si>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</si>
  <si>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</si>
  <si>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</si>
  <si>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</si>
  <si>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</si>
  <si>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</si>
  <si>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</si>
  <si>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</si>
  <si>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</si>
  <si>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</si>
  <si>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</si>
  <si>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</si>
  <si>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</si>
  <si>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</si>
  <si>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</si>
  <si>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</si>
  <si>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</si>
  <si>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</si>
  <si>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</si>
  <si>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</si>
  <si>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</si>
  <si>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</si>
  <si>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</si>
  <si>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</si>
  <si>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</si>
  <si>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</si>
  <si>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</si>
  <si>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</si>
  <si>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</si>
  <si>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</si>
  <si>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</si>
  <si>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</si>
  <si>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</si>
  <si>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</si>
  <si>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</si>
  <si>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</si>
  <si>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</si>
  <si>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</si>
  <si>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</si>
  <si>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</si>
  <si>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</si>
  <si>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</si>
  <si>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</si>
  <si>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</si>
  <si>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</si>
  <si>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</si>
  <si>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</si>
  <si>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</si>
  <si>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</si>
  <si>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</si>
  <si>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</si>
  <si>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</si>
  <si>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</si>
  <si>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</si>
  <si>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</si>
  <si>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</si>
  <si>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</si>
  <si>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</si>
  <si>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</si>
  <si>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</si>
  <si>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</si>
  <si>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</si>
  <si>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</si>
  <si>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</si>
  <si>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</si>
  <si>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</si>
  <si>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</si>
  <si>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</si>
  <si>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</si>
  <si>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</si>
  <si>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</si>
  <si>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</si>
  <si>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</si>
  <si>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</si>
  <si>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</si>
  <si>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</si>
  <si>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</si>
  <si>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</si>
  <si>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</si>
  <si>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</si>
  <si>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</si>
  <si>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</si>
  <si>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</si>
  <si>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</si>
  <si>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</si>
  <si>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</si>
  <si>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</si>
  <si>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</si>
  <si>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</si>
  <si>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</si>
  <si>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</si>
  <si>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</si>
  <si>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</si>
  <si>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</si>
  <si>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</si>
  <si>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</si>
  <si>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</si>
  <si>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</si>
  <si>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</si>
  <si>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</si>
  <si>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</si>
  <si>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</si>
  <si>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</si>
  <si>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</si>
  <si>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</si>
  <si>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</si>
  <si>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</si>
  <si>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</si>
  <si>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</si>
  <si>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</si>
  <si>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</si>
  <si>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</si>
  <si>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</si>
  <si>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</si>
  <si>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</si>
  <si>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</si>
  <si>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</si>
  <si>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</si>
  <si>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</si>
  <si>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</si>
  <si>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</si>
  <si>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</si>
  <si>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</si>
  <si>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</si>
  <si>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</si>
  <si>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</si>
  <si>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</si>
  <si>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</si>
  <si>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</si>
  <si>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</si>
  <si>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</si>
  <si>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</si>
  <si>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</si>
  <si>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</si>
  <si>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</si>
  <si>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</si>
  <si>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</si>
  <si>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</si>
  <si>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</si>
  <si>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</si>
  <si>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</si>
  <si>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</si>
  <si>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</si>
  <si>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</si>
  <si>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</si>
  <si>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</si>
  <si>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</si>
  <si>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</si>
  <si>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</si>
  <si>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</si>
  <si>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</si>
  <si>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</si>
  <si>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</si>
  <si>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</si>
  <si>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</si>
  <si>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</si>
  <si>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</si>
  <si>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</si>
  <si>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</si>
  <si>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</si>
  <si>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</si>
  <si>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</si>
  <si>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</si>
  <si>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</si>
  <si>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</si>
  <si>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</si>
  <si>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</si>
  <si>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</si>
  <si>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</si>
  <si>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</si>
  <si>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</si>
  <si>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</si>
  <si>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</si>
  <si>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</si>
  <si>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</si>
  <si>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</si>
  <si>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</si>
  <si>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</si>
  <si>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</si>
  <si>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</si>
  <si>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</si>
  <si>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</si>
  <si>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</si>
  <si>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</si>
  <si>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</si>
  <si>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</si>
  <si>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</si>
  <si>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</si>
  <si>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</si>
  <si>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</si>
  <si>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</si>
  <si>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</si>
  <si>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</si>
  <si>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</si>
  <si>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</si>
  <si>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</si>
  <si>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</si>
  <si>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</si>
  <si>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</si>
  <si>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</si>
  <si>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</si>
  <si>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</si>
  <si>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</si>
  <si>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</si>
  <si>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</si>
  <si>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</si>
  <si>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</si>
  <si>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</si>
  <si>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</si>
  <si>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</si>
  <si>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</si>
  <si>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</si>
  <si>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</si>
  <si>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</si>
  <si>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</si>
  <si>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</si>
  <si>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</si>
  <si>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</si>
  <si>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</si>
  <si>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</si>
  <si>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</si>
  <si>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</si>
  <si>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</si>
  <si>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</si>
  <si>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</si>
  <si>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</si>
  <si>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</si>
  <si>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</si>
  <si>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</si>
  <si>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</si>
  <si>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</si>
  <si>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</si>
  <si>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</si>
  <si>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</si>
  <si>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</si>
  <si>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</si>
  <si>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</si>
  <si>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</si>
  <si>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</si>
  <si>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</si>
  <si>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</si>
  <si>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</si>
  <si>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</si>
  <si>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</si>
  <si>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</si>
  <si>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</si>
  <si>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</si>
  <si>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</si>
  <si>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</si>
  <si>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</si>
  <si>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</si>
  <si>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</si>
  <si>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</si>
  <si>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</si>
  <si>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</si>
  <si>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</si>
  <si>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</si>
  <si>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</si>
  <si>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</si>
  <si>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</si>
  <si>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</si>
  <si>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</si>
  <si>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</si>
  <si>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</si>
  <si>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</si>
  <si>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</si>
  <si>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</si>
  <si>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</si>
  <si>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</si>
  <si>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</si>
  <si>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</si>
  <si>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</si>
  <si>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</si>
  <si>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</si>
  <si>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</si>
  <si>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</si>
  <si>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</si>
  <si>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</si>
  <si>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</si>
  <si>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</si>
  <si>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</si>
  <si>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</si>
  <si>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</si>
  <si>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</si>
  <si>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</si>
  <si>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</si>
  <si>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</si>
  <si>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</si>
  <si>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</si>
  <si>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</si>
  <si>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</si>
  <si>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</si>
  <si>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</si>
  <si>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</si>
  <si>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</si>
  <si>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</si>
  <si>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</si>
  <si>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</si>
  <si>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</si>
  <si>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</si>
  <si>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</si>
  <si>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</si>
  <si>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</si>
  <si>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</si>
  <si>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</si>
  <si>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</si>
  <si>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</si>
  <si>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</si>
  <si>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</si>
  <si>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</si>
  <si>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</si>
  <si>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</si>
  <si>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</si>
  <si>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</si>
  <si>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</si>
  <si>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</si>
  <si>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</si>
  <si>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</si>
  <si>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</si>
  <si>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</si>
  <si>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</si>
  <si>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</si>
  <si>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</si>
  <si>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</si>
  <si>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</si>
  <si>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</si>
  <si>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</si>
  <si>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</si>
  <si>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</si>
  <si>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</si>
  <si>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</si>
  <si>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</si>
  <si>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</si>
  <si>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</si>
  <si>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</si>
  <si>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</si>
  <si>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</si>
  <si>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</si>
  <si>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</si>
  <si>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</si>
  <si>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</si>
  <si>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</si>
  <si>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</si>
  <si>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</si>
  <si>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</si>
  <si>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</si>
  <si>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</si>
  <si>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</si>
  <si>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</si>
  <si>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</si>
  <si>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</si>
  <si>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</si>
  <si>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</si>
  <si>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</si>
  <si>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</si>
  <si>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</si>
  <si>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</si>
  <si>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</si>
  <si>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</si>
  <si>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</si>
  <si>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</si>
  <si>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</si>
  <si>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</si>
  <si>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</si>
  <si>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</si>
  <si>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</si>
  <si>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</si>
  <si>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</si>
  <si>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</si>
  <si>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</si>
  <si>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</si>
  <si>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</si>
  <si>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</si>
  <si>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</si>
  <si>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</si>
  <si>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</si>
  <si>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</si>
  <si>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</si>
  <si>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</si>
  <si>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</si>
  <si>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</si>
  <si>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</si>
  <si>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</si>
  <si>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</si>
  <si>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</si>
  <si>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</si>
  <si>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</si>
  <si>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</si>
  <si>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</si>
  <si>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</si>
  <si>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</si>
  <si>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</si>
  <si>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</si>
  <si>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</si>
  <si>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</si>
  <si>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</si>
  <si>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</si>
  <si>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</si>
  <si>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</si>
  <si>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</si>
  <si>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</si>
  <si>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</si>
  <si>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</si>
  <si>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</si>
  <si>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</si>
  <si>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</si>
  <si>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</si>
  <si>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</si>
  <si>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</si>
  <si>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</si>
  <si>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</si>
  <si>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</si>
  <si>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</si>
  <si>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</si>
  <si>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</si>
  <si>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</si>
  <si>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</si>
  <si>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</si>
  <si>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</si>
  <si>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</si>
  <si>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</si>
  <si>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</si>
  <si>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</si>
  <si>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</si>
  <si>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</si>
  <si>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</si>
  <si>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</si>
  <si>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</si>
  <si>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</si>
  <si>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</si>
  <si>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</si>
  <si>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</si>
  <si>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</si>
  <si>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</si>
  <si>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</si>
  <si>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</si>
  <si>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</si>
  <si>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</si>
  <si>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</si>
  <si>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</si>
  <si>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</si>
  <si>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</si>
  <si>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</si>
  <si>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</si>
  <si>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</si>
  <si>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</si>
  <si>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</si>
  <si>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</si>
  <si>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</si>
  <si>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</si>
  <si>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</si>
  <si>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</si>
  <si>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</si>
  <si>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</si>
  <si>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</si>
  <si>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</si>
  <si>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</si>
  <si>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</si>
  <si>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</si>
  <si>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</si>
  <si>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</si>
  <si>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</si>
  <si>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</si>
  <si>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</si>
  <si>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</si>
  <si>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</si>
  <si>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</si>
  <si>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</si>
  <si>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</si>
  <si>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</si>
  <si>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</si>
  <si>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</si>
  <si>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</si>
  <si>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</si>
  <si>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</si>
  <si>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</si>
  <si>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</si>
  <si>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</si>
  <si>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</si>
  <si>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</si>
  <si>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</si>
  <si>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</si>
  <si>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</si>
  <si>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</si>
  <si>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</si>
  <si>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</si>
  <si>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</si>
  <si>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</si>
  <si>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</si>
  <si>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</si>
  <si>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</si>
  <si>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</si>
  <si>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</si>
  <si>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</si>
  <si>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</si>
  <si>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</si>
  <si>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</si>
  <si>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</si>
  <si>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</si>
  <si>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</si>
  <si>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</si>
  <si>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</si>
  <si>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</si>
  <si>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</si>
  <si>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</si>
  <si>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</si>
  <si>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</si>
  <si>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</si>
  <si>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</si>
  <si>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</si>
  <si>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</si>
  <si>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</si>
  <si>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</si>
  <si>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</si>
  <si>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</si>
  <si>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</si>
  <si>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</si>
  <si>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</si>
  <si>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</si>
  <si>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</si>
  <si>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</si>
  <si>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</si>
  <si>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</si>
  <si>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</si>
  <si>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</si>
  <si>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</si>
  <si>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</si>
  <si>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</si>
  <si>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</si>
  <si>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</si>
  <si>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</si>
  <si>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</si>
  <si>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</si>
  <si>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</si>
  <si>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</si>
  <si>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</si>
  <si>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</si>
  <si>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</si>
  <si>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</si>
  <si>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</si>
  <si>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</si>
  <si>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</si>
  <si>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</si>
  <si>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</si>
  <si>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</si>
  <si>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</si>
  <si>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</si>
  <si>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</si>
  <si>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</si>
  <si>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</si>
  <si>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</si>
  <si>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</si>
  <si>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</si>
  <si>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</si>
  <si>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</si>
  <si>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</si>
  <si>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</si>
  <si>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</si>
  <si>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</si>
  <si>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</si>
  <si>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</si>
  <si>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</si>
  <si>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</si>
  <si>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</si>
  <si>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</si>
  <si>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</si>
  <si>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</si>
  <si>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</si>
  <si>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</si>
  <si>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</si>
  <si>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</si>
  <si>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</si>
  <si>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</si>
  <si>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</si>
  <si>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</si>
  <si>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</si>
  <si>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</si>
  <si>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</si>
  <si>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</si>
  <si>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</si>
  <si>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</si>
  <si>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</si>
  <si>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</si>
  <si>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</si>
  <si>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</si>
  <si>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</si>
  <si>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</si>
  <si>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</si>
  <si>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</si>
  <si>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</si>
  <si>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</si>
  <si>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</si>
  <si>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</si>
  <si>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</si>
  <si>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</si>
  <si>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</si>
  <si>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</si>
  <si>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</si>
  <si>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</si>
  <si>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</si>
  <si>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</si>
  <si>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</si>
  <si>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</si>
  <si>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</si>
  <si>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</si>
  <si>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</si>
  <si>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</si>
  <si>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</si>
  <si>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</si>
  <si>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</si>
  <si>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</si>
  <si>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</si>
  <si>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</si>
  <si>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</si>
  <si>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</si>
  <si>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</si>
  <si>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</si>
  <si>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</si>
  <si>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</si>
  <si>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</si>
  <si>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</si>
  <si>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</si>
  <si>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</si>
  <si>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</si>
  <si>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</si>
  <si>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</si>
  <si>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</si>
  <si>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</si>
  <si>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</si>
  <si>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</si>
  <si>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</si>
  <si>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</si>
  <si>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</si>
  <si>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</si>
  <si>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</si>
  <si>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</si>
  <si>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</si>
  <si>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</si>
  <si>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</si>
  <si>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</si>
  <si>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</si>
  <si>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</si>
  <si>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</si>
  <si>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</si>
  <si>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</si>
  <si>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</si>
  <si>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</si>
  <si>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</si>
  <si>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</si>
  <si>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</si>
  <si>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</si>
  <si>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</si>
  <si>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</si>
  <si>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</si>
  <si>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</si>
  <si>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</si>
  <si>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</si>
  <si>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</si>
  <si>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</si>
  <si>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</si>
  <si>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</si>
  <si>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</si>
  <si>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</si>
  <si>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</si>
  <si>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</si>
  <si>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</si>
  <si>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</si>
  <si>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</si>
  <si>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</si>
  <si>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</si>
  <si>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</si>
  <si>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</si>
  <si>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</si>
  <si>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</si>
  <si>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</si>
  <si>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</si>
  <si>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</si>
  <si>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</si>
  <si>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</si>
  <si>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</si>
  <si>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</si>
  <si>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</si>
  <si>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</si>
  <si>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</si>
  <si>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</si>
  <si>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</si>
  <si>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</si>
  <si>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</si>
  <si>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</si>
  <si>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</si>
  <si>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</si>
  <si>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</si>
  <si>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</si>
  <si>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</si>
  <si>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</si>
  <si>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</si>
  <si>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</si>
  <si>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</si>
  <si>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</si>
  <si>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</si>
  <si>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</si>
  <si>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</si>
  <si>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</si>
  <si>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</si>
  <si>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</si>
  <si>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</si>
  <si>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</si>
  <si>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</si>
  <si>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</si>
  <si>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</si>
  <si>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</si>
  <si>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</si>
  <si>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</si>
  <si>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</si>
  <si>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</si>
  <si>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</si>
  <si>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</si>
  <si>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</si>
  <si>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</si>
  <si>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</si>
  <si>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</si>
  <si>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</si>
  <si>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</si>
  <si>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</si>
  <si>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</si>
  <si>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</si>
  <si>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</si>
  <si>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</si>
  <si>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</si>
  <si>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</si>
  <si>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</si>
  <si>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</si>
  <si>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</si>
  <si>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</si>
  <si>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</si>
  <si>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</si>
  <si>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</si>
  <si>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</si>
  <si>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</si>
  <si>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</si>
  <si>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</si>
  <si>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</si>
  <si>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</si>
  <si>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</si>
  <si>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</si>
  <si>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</si>
  <si>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</si>
  <si>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</si>
  <si>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</si>
  <si>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</si>
  <si>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</si>
  <si>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</si>
  <si>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</si>
  <si>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</si>
  <si>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</si>
  <si>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</si>
  <si>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</si>
  <si>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</si>
  <si>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</si>
  <si>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</si>
  <si>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</si>
  <si>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</si>
  <si>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</si>
  <si>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</si>
  <si>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</si>
  <si>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</si>
  <si>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</si>
  <si>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</si>
  <si>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</si>
  <si>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</si>
  <si>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</si>
  <si>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</si>
  <si>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</si>
  <si>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</si>
  <si>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</si>
  <si>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</si>
  <si>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</si>
  <si>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</si>
  <si>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</si>
  <si>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</si>
  <si>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</si>
  <si>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</si>
  <si>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</si>
  <si>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</si>
  <si>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</si>
  <si>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</si>
  <si>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</si>
  <si>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</si>
  <si>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</si>
  <si>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</si>
  <si>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</si>
  <si>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</si>
  <si>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</si>
  <si>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</si>
  <si>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</si>
  <si>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</si>
  <si>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</si>
  <si>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</si>
  <si>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</si>
  <si>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</si>
  <si>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</si>
  <si>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</si>
  <si>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</si>
  <si>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</si>
  <si>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</si>
  <si>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</si>
  <si>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</si>
  <si>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</si>
  <si>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</si>
  <si>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</si>
  <si>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</si>
  <si>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</si>
  <si>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</si>
  <si>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</si>
  <si>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</si>
  <si>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</si>
  <si>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</si>
  <si>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</si>
  <si>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</si>
  <si>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</si>
  <si>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</si>
  <si>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</si>
  <si>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</si>
  <si>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</si>
  <si>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</si>
  <si>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</si>
  <si>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</si>
  <si>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</si>
  <si>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</si>
  <si>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</si>
  <si>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</si>
  <si>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</si>
  <si>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</si>
  <si>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</si>
  <si>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</si>
  <si>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</si>
  <si>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</si>
  <si>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</si>
  <si>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</si>
  <si>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</si>
  <si>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</si>
  <si>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</si>
  <si>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</si>
  <si>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</si>
  <si>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</si>
  <si>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</si>
  <si>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</si>
  <si>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</si>
  <si>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</si>
  <si>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</si>
  <si>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</si>
  <si>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</si>
  <si>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</si>
  <si>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</si>
  <si>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</si>
  <si>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</si>
  <si>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</si>
  <si>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</si>
  <si>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</si>
  <si>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</si>
  <si>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</si>
  <si>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</si>
  <si>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</si>
  <si>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</si>
  <si>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</si>
  <si>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</si>
  <si>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</si>
  <si>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</si>
  <si>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</si>
  <si>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</si>
  <si>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</si>
  <si>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</si>
  <si>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</si>
  <si>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</si>
  <si>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</si>
  <si>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</si>
  <si>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</si>
  <si>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</si>
  <si>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</si>
  <si>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</si>
  <si>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</si>
  <si>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</si>
  <si>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</si>
  <si>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</si>
  <si>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</si>
  <si>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</si>
  <si>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</si>
  <si>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</si>
  <si>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</si>
  <si>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</si>
  <si>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</si>
  <si>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</si>
  <si>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</si>
  <si>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</si>
  <si>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</si>
  <si>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</si>
  <si>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</si>
  <si>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</si>
  <si>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</si>
  <si>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</si>
  <si>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</si>
  <si>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</si>
  <si>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</si>
  <si>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</si>
  <si>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</si>
  <si>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</si>
  <si>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</si>
  <si>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</si>
  <si>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</si>
  <si>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</si>
  <si>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</si>
  <si>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</si>
  <si>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</si>
  <si>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</si>
  <si>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</si>
  <si>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</si>
  <si>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</si>
  <si>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</si>
  <si>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</si>
  <si>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</si>
  <si>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</si>
  <si>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</si>
  <si>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</si>
  <si>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</si>
  <si>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</si>
  <si>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</si>
  <si>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</si>
  <si>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</si>
  <si>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</si>
  <si>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</si>
  <si>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</si>
  <si>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</si>
  <si>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</si>
  <si>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</si>
  <si>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</si>
  <si>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</si>
  <si>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</si>
  <si>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</si>
  <si>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</si>
  <si>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</si>
  <si>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</si>
  <si>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</si>
  <si>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</si>
  <si>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</si>
  <si>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</si>
  <si>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</si>
  <si>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</si>
  <si>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</si>
  <si>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</si>
  <si>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</si>
  <si>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</si>
  <si>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</si>
  <si>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</si>
  <si>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</si>
  <si>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</si>
  <si>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</si>
  <si>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</si>
  <si>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</si>
  <si>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</si>
  <si>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</si>
  <si>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</si>
  <si>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</si>
  <si>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</si>
  <si>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</si>
  <si>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</si>
  <si>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</si>
  <si>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</si>
  <si>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</si>
  <si>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</si>
  <si>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</si>
  <si>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</si>
  <si>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</si>
  <si>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</si>
  <si>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</si>
  <si>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</si>
  <si>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</si>
  <si>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</si>
  <si>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</si>
  <si>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</si>
  <si>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</si>
  <si>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</si>
  <si>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</si>
  <si>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</si>
  <si>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</si>
  <si>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</si>
  <si>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</si>
  <si>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</si>
  <si>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</si>
  <si>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</si>
  <si>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</si>
  <si>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</si>
  <si>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</si>
  <si>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</si>
  <si>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</si>
  <si>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</si>
  <si>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</si>
  <si>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</si>
  <si>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</si>
  <si>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</si>
  <si>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</si>
  <si>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</si>
  <si>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</si>
  <si>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</si>
  <si>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</si>
  <si>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</si>
  <si>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</si>
  <si>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</si>
  <si>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</si>
  <si>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</si>
  <si>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</si>
  <si>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</si>
  <si>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</si>
  <si>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</si>
  <si>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</si>
  <si>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</si>
  <si>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</si>
  <si>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</si>
  <si>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</si>
  <si>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</si>
  <si>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</si>
  <si>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</si>
  <si>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</si>
  <si>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</si>
  <si>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</si>
  <si>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</si>
  <si>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</si>
  <si>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</si>
  <si>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</si>
  <si>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</si>
  <si>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</si>
  <si>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</si>
  <si>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</si>
  <si>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</si>
  <si>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</si>
  <si>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</si>
  <si>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</si>
  <si>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</si>
  <si>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</si>
  <si>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</si>
  <si>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</si>
  <si>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</si>
  <si>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</si>
  <si>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</si>
  <si>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</si>
  <si>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</si>
  <si>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</si>
  <si>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</si>
  <si>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</si>
  <si>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</si>
  <si>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</si>
  <si>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</si>
  <si>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</si>
  <si>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</si>
  <si>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</si>
  <si>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</si>
  <si>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</si>
  <si>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</si>
  <si>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</si>
  <si>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</si>
  <si>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</si>
  <si>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</si>
  <si>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</si>
  <si>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</si>
  <si>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</si>
  <si>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</si>
  <si>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</si>
  <si>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</si>
  <si>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</si>
  <si>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</si>
  <si>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</si>
  <si>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</si>
  <si>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</si>
  <si>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</si>
  <si>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</si>
  <si>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</si>
  <si>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</si>
  <si>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</si>
  <si>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</si>
  <si>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</si>
  <si>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</si>
  <si>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</si>
  <si>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</si>
  <si>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</si>
  <si>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</si>
  <si>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</si>
  <si>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</si>
  <si>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</si>
  <si>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</si>
  <si>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</si>
  <si>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</si>
  <si>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</si>
  <si>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</si>
  <si>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</si>
  <si>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</si>
  <si>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</si>
  <si>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</si>
  <si>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</si>
  <si>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</si>
  <si>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</si>
  <si>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</si>
  <si>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</si>
  <si>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</si>
  <si>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</si>
  <si>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</si>
  <si>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</si>
  <si>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</si>
  <si>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</si>
  <si>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</si>
  <si>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</si>
  <si>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</si>
  <si>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</si>
  <si>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</si>
  <si>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</si>
  <si>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</si>
  <si>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</si>
  <si>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</si>
  <si>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</si>
  <si>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</si>
  <si>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</si>
  <si>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</si>
  <si>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</si>
  <si>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</si>
  <si>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</si>
  <si>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</si>
  <si>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</si>
  <si>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</si>
  <si>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</si>
  <si>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</si>
  <si>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</si>
  <si>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</si>
  <si>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</si>
  <si>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</si>
  <si>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</si>
  <si>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</si>
  <si>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</si>
  <si>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</si>
  <si>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</si>
  <si>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</si>
  <si>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</si>
  <si>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</si>
  <si>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</si>
  <si>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</si>
  <si>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</si>
  <si>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</si>
  <si>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</si>
  <si>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</si>
  <si>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</si>
  <si>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</si>
  <si>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</si>
  <si>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</si>
  <si>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</si>
  <si>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</si>
  <si>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</si>
  <si>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</si>
  <si>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</si>
  <si>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</si>
  <si>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</si>
  <si>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</si>
  <si>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</si>
  <si>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</si>
  <si>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</si>
  <si>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</si>
  <si>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</si>
  <si>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</si>
  <si>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</si>
  <si>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</si>
  <si>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</si>
  <si>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</si>
  <si>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</si>
  <si>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</si>
  <si>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</si>
  <si>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</si>
  <si>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</si>
  <si>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</si>
  <si>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</si>
  <si>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</si>
  <si>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</si>
  <si>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</si>
  <si>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</si>
  <si>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</si>
  <si>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</si>
  <si>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</si>
  <si>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</si>
  <si>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</si>
  <si>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</si>
  <si>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</si>
  <si>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</si>
  <si>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</si>
  <si>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</si>
  <si>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</si>
  <si>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</si>
  <si>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</si>
  <si>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</si>
  <si>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</si>
  <si>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</si>
  <si>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</si>
  <si>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</si>
  <si>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</si>
  <si>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</si>
  <si>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</si>
  <si>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</si>
  <si>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</si>
  <si>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</si>
  <si>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</si>
  <si>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</si>
  <si>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</si>
  <si>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</si>
  <si>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</si>
  <si>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</si>
  <si>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</si>
  <si>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</si>
  <si>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</si>
  <si>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</si>
  <si>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</si>
  <si>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</si>
  <si>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</si>
  <si>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</si>
  <si>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</si>
  <si>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</si>
  <si>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</si>
  <si>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</si>
  <si>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</si>
  <si>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</si>
  <si>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</si>
  <si>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</si>
  <si>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</si>
  <si>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</si>
  <si>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</si>
  <si>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</si>
  <si>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</si>
  <si>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</si>
  <si>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</si>
  <si>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</si>
  <si>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</si>
  <si>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</si>
  <si>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</si>
  <si>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</si>
  <si>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</si>
  <si>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</si>
  <si>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</si>
  <si>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</si>
  <si>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</si>
  <si>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</si>
  <si>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</si>
  <si>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</si>
  <si>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</si>
  <si>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</si>
  <si>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</si>
  <si>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</si>
  <si>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</si>
  <si>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</si>
  <si>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</si>
  <si>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</si>
  <si>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</si>
  <si>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</si>
  <si>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</si>
  <si>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</si>
  <si>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</si>
  <si>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</si>
  <si>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</si>
  <si>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</si>
  <si>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</si>
  <si>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</si>
  <si>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</si>
  <si>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</si>
  <si>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</si>
  <si>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</si>
  <si>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</si>
  <si>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</si>
  <si>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</si>
  <si>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</si>
  <si>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</si>
  <si>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</si>
  <si>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</si>
  <si>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</si>
  <si>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</si>
  <si>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</si>
  <si>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</si>
  <si>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</si>
  <si>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</si>
  <si>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</si>
  <si>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</si>
  <si>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</si>
  <si>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</si>
  <si>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</si>
  <si>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</si>
  <si>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</si>
  <si>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</si>
  <si>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</si>
  <si>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</si>
  <si>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</si>
  <si>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</si>
  <si>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</si>
  <si>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</si>
  <si>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</si>
  <si>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</si>
  <si>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</si>
  <si>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</si>
  <si>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</si>
  <si>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</si>
  <si>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</si>
  <si>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</si>
  <si>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</si>
  <si>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</si>
  <si>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</si>
  <si>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</si>
  <si>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</si>
  <si>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</si>
  <si>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</si>
  <si>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</si>
  <si>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</si>
  <si>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</si>
  <si>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</si>
  <si>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</si>
  <si>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</si>
  <si>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</si>
  <si>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</si>
  <si>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</si>
  <si>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</si>
  <si>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</si>
  <si>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</si>
  <si>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</si>
  <si>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</si>
  <si>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</si>
  <si>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</si>
  <si>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</si>
  <si>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</si>
  <si>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</si>
  <si>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</si>
  <si>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</si>
  <si>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</si>
  <si>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</si>
  <si>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</si>
  <si>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</si>
  <si>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</si>
  <si>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</si>
  <si>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</si>
  <si>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</si>
  <si>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</si>
  <si>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</si>
  <si>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</si>
  <si>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</si>
  <si>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</si>
  <si>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</si>
  <si>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</si>
  <si>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</si>
  <si>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</si>
  <si>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</si>
  <si>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</si>
  <si>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</si>
  <si>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</si>
  <si>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</si>
  <si>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</si>
  <si>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</si>
  <si>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</si>
  <si>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</si>
  <si>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</si>
  <si>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</si>
  <si>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</si>
  <si>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</si>
  <si>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</si>
  <si>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</si>
  <si>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</si>
  <si>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</si>
  <si>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</si>
  <si>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</si>
  <si>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</si>
  <si>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</si>
  <si>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</si>
  <si>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</si>
  <si>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</si>
  <si>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</si>
  <si>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</si>
  <si>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</si>
  <si>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</si>
  <si>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</si>
  <si>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</si>
  <si>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</si>
  <si>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</si>
  <si>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</si>
  <si>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</si>
  <si>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</si>
  <si>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</si>
  <si>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</si>
  <si>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</si>
  <si>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</si>
  <si>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</si>
  <si>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</si>
  <si>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</si>
  <si>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</si>
  <si>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</si>
  <si>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</si>
  <si>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</si>
  <si>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</si>
  <si>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</si>
  <si>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</si>
  <si>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</si>
  <si>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</si>
  <si>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</si>
  <si>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</si>
  <si>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</si>
  <si>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</si>
  <si>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</si>
  <si>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</si>
  <si>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</si>
  <si>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</si>
  <si>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</si>
  <si>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</si>
  <si>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</si>
  <si>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</si>
  <si>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</si>
  <si>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</si>
  <si>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</si>
  <si>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</si>
  <si>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</si>
  <si>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</si>
  <si>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</si>
  <si>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</si>
  <si>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</si>
  <si>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</si>
  <si>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</si>
  <si>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</si>
  <si>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</si>
  <si>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</si>
  <si>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</si>
  <si>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</si>
  <si>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</si>
  <si>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</si>
  <si>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</si>
  <si>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</si>
  <si>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</si>
  <si>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</si>
  <si>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</si>
  <si>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</si>
  <si>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</si>
  <si>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</si>
  <si>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</si>
  <si>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</si>
  <si>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</si>
  <si>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</si>
  <si>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</si>
  <si>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</si>
  <si>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</si>
  <si>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</si>
  <si>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</si>
  <si>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</si>
  <si>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</si>
  <si>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</si>
  <si>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</si>
  <si>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</si>
  <si>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</si>
  <si>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</si>
  <si>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</si>
  <si>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</si>
  <si>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</si>
  <si>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</si>
  <si>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</si>
  <si>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</si>
  <si>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</si>
  <si>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</si>
  <si>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</si>
  <si>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</si>
  <si>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</si>
  <si>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</si>
  <si>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</si>
  <si>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</si>
  <si>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</si>
  <si>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</si>
  <si>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</si>
  <si>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</si>
  <si>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</si>
  <si>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</si>
  <si>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</si>
  <si>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</si>
  <si>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</si>
  <si>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</si>
  <si>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</si>
  <si>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</si>
  <si>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</si>
  <si>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</si>
  <si>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</si>
  <si>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</si>
  <si>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</si>
  <si>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</si>
  <si>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</si>
  <si>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</si>
  <si>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</si>
  <si>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</si>
  <si>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</si>
  <si>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</si>
  <si>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</si>
  <si>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</si>
  <si>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</si>
  <si>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</si>
  <si>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</si>
  <si>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</si>
  <si>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</si>
  <si>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</si>
  <si>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</si>
  <si>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</si>
  <si>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</si>
  <si>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</si>
  <si>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</si>
  <si>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</si>
  <si>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</si>
  <si>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</si>
  <si>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</si>
  <si>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</si>
  <si>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</si>
  <si>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</si>
  <si>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</si>
  <si>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</si>
  <si>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</si>
  <si>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</si>
  <si>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</si>
  <si>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</si>
  <si>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</si>
  <si>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</si>
  <si>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</si>
  <si>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</si>
  <si>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</si>
  <si>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</si>
  <si>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</si>
  <si>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</si>
  <si>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</si>
  <si>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</si>
  <si>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</si>
  <si>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</si>
  <si>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</si>
  <si>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</si>
  <si>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</si>
  <si>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</si>
  <si>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</si>
  <si>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</si>
  <si>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</si>
  <si>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</si>
  <si>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</si>
  <si>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</si>
  <si>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</si>
  <si>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</si>
  <si>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</si>
  <si>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</si>
  <si>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</si>
  <si>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</si>
  <si>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</si>
  <si>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</si>
  <si>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</si>
  <si>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</si>
  <si>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</si>
  <si>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</si>
  <si>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</si>
  <si>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</si>
  <si>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</si>
  <si>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</si>
  <si>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</si>
  <si>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</si>
  <si>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</si>
  <si>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</si>
  <si>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</si>
  <si>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</si>
  <si>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</si>
  <si>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</si>
  <si>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</si>
  <si>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</si>
  <si>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</si>
  <si>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</si>
  <si>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</si>
  <si>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</si>
  <si>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</si>
  <si>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</si>
  <si>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</si>
  <si>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</si>
  <si>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</si>
  <si>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</si>
  <si>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</si>
  <si>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</si>
  <si>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</si>
  <si>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</si>
  <si>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</si>
  <si>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</si>
  <si>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</si>
  <si>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</si>
  <si>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</si>
  <si>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</si>
  <si>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</si>
  <si>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</si>
  <si>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</si>
  <si>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</si>
  <si>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</si>
  <si>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</si>
  <si>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</si>
  <si>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</si>
  <si>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</si>
  <si>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</si>
  <si>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</si>
  <si>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</si>
  <si>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</si>
  <si>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</si>
  <si>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</si>
  <si>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</si>
  <si>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</si>
  <si>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</si>
  <si>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</si>
  <si>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</si>
  <si>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</si>
  <si>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</si>
  <si>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</si>
  <si>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</si>
  <si>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</si>
  <si>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</si>
  <si>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</si>
  <si>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</si>
  <si>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</si>
  <si>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</si>
  <si>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</si>
  <si>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</si>
  <si>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</si>
  <si>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</si>
  <si>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</si>
  <si>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</si>
  <si>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</si>
  <si>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</si>
  <si>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</si>
  <si>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</si>
  <si>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</si>
  <si>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</si>
  <si>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</si>
  <si>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</si>
  <si>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</si>
  <si>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</si>
  <si>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</si>
  <si>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</si>
  <si>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</si>
  <si>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</si>
  <si>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</si>
  <si>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</si>
  <si>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</si>
  <si>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</si>
  <si>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</si>
  <si>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</si>
  <si>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</si>
  <si>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</si>
  <si>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</si>
  <si>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</si>
  <si>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</si>
  <si>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</si>
  <si>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</si>
  <si>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</si>
  <si>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</si>
  <si>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</si>
  <si>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</si>
  <si>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</si>
  <si>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</si>
  <si>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</si>
  <si>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</si>
  <si>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</si>
  <si>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</si>
  <si>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</si>
  <si>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</si>
  <si>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</si>
  <si>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</si>
  <si>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</si>
  <si>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</si>
  <si>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</si>
  <si>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</si>
  <si>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</si>
  <si>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</si>
  <si>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</si>
  <si>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</si>
  <si>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</si>
  <si>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</si>
  <si>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</si>
  <si>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</si>
  <si>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</si>
  <si>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</si>
  <si>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</si>
  <si>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</si>
  <si>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</si>
  <si>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</si>
  <si>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</si>
  <si>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</si>
  <si>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</si>
  <si>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</si>
  <si>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</si>
  <si>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</si>
  <si>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</si>
  <si>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</si>
  <si>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</si>
  <si>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</si>
  <si>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</si>
  <si>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</si>
  <si>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</si>
  <si>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</si>
  <si>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</si>
  <si>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</si>
  <si>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</si>
  <si>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</si>
  <si>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</si>
  <si>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</si>
  <si>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</si>
  <si>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</si>
  <si>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</si>
  <si>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</si>
  <si>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</si>
  <si>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</si>
  <si>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</si>
  <si>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</si>
  <si>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</si>
  <si>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</si>
  <si>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</si>
  <si>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</si>
  <si>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</si>
  <si>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</si>
  <si>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</si>
  <si>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</si>
  <si>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</si>
  <si>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</si>
  <si>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</si>
  <si>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</si>
  <si>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</si>
  <si>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</si>
  <si>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</si>
  <si>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</si>
  <si>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</si>
  <si>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</si>
  <si>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</si>
  <si>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</si>
  <si>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</si>
  <si>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</si>
  <si>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</si>
  <si>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</si>
  <si>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</si>
  <si>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</si>
  <si>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</si>
  <si>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</si>
  <si>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</si>
  <si>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</si>
  <si>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</si>
  <si>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</si>
  <si>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</si>
  <si>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</si>
  <si>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</si>
  <si>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</si>
  <si>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</si>
  <si>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</si>
  <si>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</si>
  <si>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</si>
  <si>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</si>
  <si>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</si>
  <si>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</si>
  <si>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</si>
  <si>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</si>
  <si>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</si>
  <si>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</si>
  <si>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</si>
  <si>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</si>
  <si>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</si>
  <si>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</si>
  <si>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</si>
  <si>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</si>
  <si>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</si>
  <si>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</si>
  <si>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</si>
  <si>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</si>
  <si>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</si>
  <si>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</si>
  <si>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</si>
  <si>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</si>
  <si>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</si>
  <si>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</si>
  <si>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</si>
  <si>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</si>
  <si>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</si>
  <si>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</si>
  <si>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</si>
  <si>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</si>
  <si>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</si>
  <si>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</si>
  <si>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</si>
  <si>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</si>
  <si>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</si>
  <si>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</si>
  <si>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</si>
  <si>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</si>
  <si>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</si>
  <si>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</si>
  <si>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</si>
  <si>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</si>
  <si>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</si>
  <si>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</si>
  <si>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</si>
  <si>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</si>
  <si>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</si>
  <si>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</si>
  <si>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</si>
  <si>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</si>
  <si>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</si>
  <si>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</si>
  <si>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</si>
  <si>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</si>
  <si>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</si>
  <si>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</si>
  <si>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</si>
  <si>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</si>
  <si>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</si>
  <si>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</si>
  <si>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</si>
  <si>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</si>
  <si>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</si>
  <si>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</si>
  <si>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</si>
  <si>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</si>
  <si>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</si>
  <si>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</si>
  <si>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</si>
  <si>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</si>
  <si>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</si>
  <si>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</si>
  <si>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</si>
  <si>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</si>
  <si>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</si>
  <si>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</si>
  <si>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</si>
  <si>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</si>
  <si>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</si>
  <si>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</si>
  <si>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</si>
  <si>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</si>
  <si>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</si>
  <si>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</si>
  <si>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</si>
  <si>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</si>
  <si>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</si>
  <si>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</si>
  <si>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</si>
  <si>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</si>
  <si>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</si>
  <si>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</si>
  <si>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</si>
  <si>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</si>
  <si>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</si>
  <si>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</si>
  <si>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</si>
  <si>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</si>
  <si>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</si>
  <si>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</si>
  <si>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</si>
  <si>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</si>
  <si>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</si>
  <si>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</si>
  <si>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</si>
  <si>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</si>
  <si>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</si>
  <si>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</si>
  <si>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</si>
  <si>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</si>
  <si>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</si>
  <si>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</si>
  <si>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</si>
  <si>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</si>
  <si>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</si>
  <si>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</si>
  <si>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</si>
  <si>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</si>
  <si>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</si>
  <si>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</si>
  <si>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</si>
  <si>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</si>
  <si>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</si>
  <si>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</si>
  <si>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</si>
  <si>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</si>
  <si>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</si>
  <si>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</si>
  <si>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</si>
  <si>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</si>
  <si>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</si>
  <si>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</si>
  <si>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</si>
  <si>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</si>
  <si>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</si>
  <si>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</si>
  <si>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</si>
  <si>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</si>
  <si>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</si>
  <si>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</si>
  <si>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</si>
  <si>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</si>
  <si>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</si>
  <si>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</si>
  <si>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</si>
  <si>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</si>
  <si>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</si>
  <si>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</si>
  <si>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</si>
  <si>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</si>
  <si>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</si>
  <si>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</si>
  <si>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</si>
  <si>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</si>
  <si>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</si>
  <si>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</si>
  <si>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</si>
  <si>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</si>
  <si>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</si>
  <si>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</si>
  <si>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</si>
  <si>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</si>
  <si>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</si>
  <si>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</si>
  <si>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</si>
  <si>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</si>
  <si>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</si>
  <si>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</si>
  <si>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</si>
  <si>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</si>
  <si>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</si>
  <si>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</si>
  <si>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</si>
  <si>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</si>
  <si>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</si>
  <si>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</si>
  <si>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</si>
  <si>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</si>
  <si>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</si>
  <si>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</si>
  <si>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</si>
  <si>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</si>
  <si>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</si>
  <si>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</si>
  <si>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</si>
  <si>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</si>
  <si>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</si>
  <si>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</si>
  <si>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</si>
  <si>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</si>
  <si>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</si>
  <si>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</si>
  <si>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</si>
  <si>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</si>
  <si>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</si>
  <si>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</si>
  <si>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</si>
  <si>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</si>
  <si>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</si>
  <si>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</si>
  <si>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</si>
  <si>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</si>
  <si>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</si>
  <si>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</si>
  <si>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</si>
  <si>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</si>
  <si>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</si>
  <si>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</si>
  <si>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</si>
  <si>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</si>
  <si>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</si>
  <si>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</si>
  <si>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</si>
  <si>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</si>
  <si>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</si>
  <si>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</si>
  <si>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</si>
  <si>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</si>
  <si>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</si>
  <si>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</si>
  <si>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</si>
  <si>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</si>
  <si>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</si>
  <si>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</si>
  <si>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</si>
  <si>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</si>
  <si>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</si>
  <si>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</si>
  <si>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</si>
  <si>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</si>
  <si>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</si>
  <si>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</si>
  <si>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</si>
  <si>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</si>
  <si>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</si>
  <si>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</si>
  <si>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</si>
  <si>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</si>
  <si>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</si>
  <si>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</si>
  <si>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</si>
  <si>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</si>
  <si>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</si>
  <si>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</si>
  <si>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</si>
  <si>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</si>
  <si>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</si>
  <si>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</si>
  <si>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</si>
  <si>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</si>
  <si>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</si>
  <si>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</si>
  <si>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</si>
  <si>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</si>
  <si>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</si>
  <si>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</si>
  <si>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</si>
  <si>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</si>
  <si>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</si>
  <si>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</si>
  <si>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</si>
  <si>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</si>
  <si>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</si>
  <si>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</si>
  <si>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</si>
  <si>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</si>
  <si>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</si>
  <si>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</si>
  <si>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</si>
  <si>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</si>
  <si>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</si>
  <si>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</si>
  <si>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</si>
  <si>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</si>
  <si>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</si>
  <si>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</si>
  <si>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</si>
  <si>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</si>
  <si>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</si>
  <si>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</si>
  <si>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</si>
  <si>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</si>
  <si>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</si>
  <si>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</si>
  <si>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</si>
  <si>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</si>
  <si>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</si>
  <si>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</si>
  <si>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</si>
  <si>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</si>
  <si>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</si>
  <si>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</si>
  <si>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</si>
  <si>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</si>
  <si>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</si>
  <si>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</si>
  <si>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</si>
  <si>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</si>
  <si>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</si>
  <si>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</si>
  <si>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</si>
  <si>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</si>
  <si>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</si>
  <si>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</si>
  <si>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</si>
  <si>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</si>
  <si>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</si>
  <si>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</si>
  <si>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</si>
  <si>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</si>
  <si>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</si>
  <si>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</si>
  <si>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</si>
  <si>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</si>
  <si>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</si>
  <si>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</si>
  <si>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</si>
  <si>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</si>
  <si>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</si>
  <si>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</si>
  <si>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</si>
  <si>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</si>
  <si>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</si>
  <si>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</si>
  <si>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</si>
  <si>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</si>
  <si>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</si>
  <si>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</si>
  <si>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</si>
  <si>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</si>
  <si>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</si>
  <si>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</si>
  <si>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</si>
  <si>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</si>
  <si>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</si>
  <si>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</si>
  <si>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</si>
  <si>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</si>
  <si>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</si>
  <si>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</si>
  <si>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</si>
  <si>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</si>
  <si>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</si>
  <si>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</si>
  <si>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</si>
  <si>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</si>
  <si>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</si>
  <si>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</si>
  <si>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</si>
  <si>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</si>
  <si>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</si>
  <si>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</si>
  <si>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</si>
  <si>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</si>
  <si>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</si>
  <si>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</si>
  <si>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</si>
  <si>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</si>
  <si>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</si>
  <si>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</si>
  <si>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</si>
  <si>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</si>
  <si>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</si>
  <si>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</si>
  <si>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</si>
  <si>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</si>
  <si>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</si>
  <si>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</si>
  <si>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</si>
  <si>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</si>
  <si>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</si>
  <si>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</si>
  <si>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</si>
  <si>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</si>
  <si>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</si>
  <si>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</si>
  <si>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</si>
  <si>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</si>
  <si>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</si>
  <si>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</si>
  <si>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</si>
  <si>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</si>
  <si>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</si>
  <si>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</si>
  <si>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</si>
  <si>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</si>
  <si>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</si>
  <si>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</si>
  <si>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</si>
  <si>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</si>
  <si>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</si>
  <si>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</si>
  <si>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</si>
  <si>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</si>
  <si>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</si>
  <si>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</si>
  <si>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</si>
  <si>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</si>
  <si>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</si>
  <si>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</si>
  <si>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</si>
  <si>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</si>
  <si>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</si>
  <si>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</si>
  <si>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</si>
  <si>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</si>
  <si>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</si>
  <si>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</si>
  <si>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</si>
  <si>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</si>
  <si>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</si>
  <si>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</si>
  <si>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</si>
  <si>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</si>
  <si>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</si>
  <si>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</si>
  <si>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</si>
  <si>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</si>
  <si>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</si>
  <si>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</si>
  <si>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</si>
  <si>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</si>
  <si>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</si>
  <si>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</si>
  <si>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</si>
  <si>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</si>
  <si>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</si>
  <si>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</si>
  <si>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</si>
  <si>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</si>
  <si>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</si>
  <si>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</si>
  <si>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</si>
  <si>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</si>
  <si>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</si>
  <si>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</si>
  <si>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</si>
  <si>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</si>
  <si>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</si>
  <si>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</si>
  <si>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</si>
  <si>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</si>
  <si>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</si>
  <si>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</si>
  <si>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</si>
  <si>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</si>
  <si>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</si>
  <si>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</si>
  <si>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</si>
  <si>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</si>
  <si>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</si>
  <si>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</si>
  <si>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</si>
  <si>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</si>
  <si>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</si>
  <si>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</si>
  <si>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</si>
  <si>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</si>
  <si>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</si>
  <si>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</si>
  <si>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</si>
  <si>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</si>
  <si>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</si>
  <si>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</si>
  <si>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</si>
  <si>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</si>
  <si>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</si>
  <si>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</si>
  <si>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</si>
  <si>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</si>
  <si>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</si>
  <si>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</si>
  <si>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</si>
  <si>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</si>
  <si>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</si>
  <si>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</si>
  <si>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</si>
  <si>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</si>
  <si>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</si>
  <si>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</si>
  <si>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</si>
  <si>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</si>
  <si>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</si>
  <si>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</si>
  <si>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</si>
  <si>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</si>
  <si>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</si>
  <si>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</si>
  <si>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</si>
  <si>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</si>
  <si>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</si>
  <si>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</si>
  <si>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</si>
  <si>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</si>
  <si>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</si>
  <si>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</si>
  <si>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</si>
  <si>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</si>
  <si>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</si>
  <si>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</si>
  <si>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</si>
  <si>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</si>
  <si>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</si>
  <si>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</si>
  <si>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</si>
  <si>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</si>
  <si>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</si>
  <si>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</si>
  <si>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</si>
  <si>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</si>
  <si>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</si>
  <si>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</si>
  <si>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</si>
  <si>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</si>
  <si>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</si>
  <si>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</si>
  <si>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</si>
  <si>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</si>
  <si>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</si>
  <si>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</si>
  <si>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</si>
  <si>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</si>
  <si>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</si>
  <si>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</si>
  <si>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</si>
  <si>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</si>
  <si>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</si>
  <si>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</si>
  <si>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</si>
  <si>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</si>
  <si>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</si>
  <si>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</si>
  <si>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</si>
  <si>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</si>
  <si>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</si>
  <si>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</si>
  <si>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</si>
  <si>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</si>
  <si>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</si>
  <si>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</si>
  <si>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</si>
  <si>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</si>
  <si>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</si>
  <si>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</si>
  <si>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</si>
  <si>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</si>
  <si>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</si>
  <si>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</si>
  <si>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</si>
  <si>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</si>
  <si>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</si>
  <si>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</si>
  <si>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</si>
  <si>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</si>
  <si>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</si>
  <si>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</si>
  <si>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</si>
  <si>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</si>
  <si>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</si>
  <si>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</si>
  <si>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</si>
  <si>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</si>
  <si>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</si>
  <si>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</si>
  <si>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</si>
  <si>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</si>
  <si>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</si>
  <si>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</si>
  <si>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</si>
  <si>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</si>
  <si>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</si>
  <si>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</si>
  <si>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</si>
  <si>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</si>
  <si>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</si>
  <si>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</si>
  <si>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</si>
  <si>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</si>
  <si>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</si>
  <si>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</si>
  <si>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</si>
  <si>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</si>
  <si>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</si>
  <si>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</si>
  <si>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</si>
  <si>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</si>
  <si>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</si>
  <si>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</si>
  <si>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</si>
  <si>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</si>
  <si>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</si>
  <si>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</si>
  <si>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</si>
  <si>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</si>
  <si>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</si>
  <si>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</si>
  <si>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</si>
  <si>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</si>
  <si>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</si>
  <si>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</si>
  <si>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</si>
  <si>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</si>
  <si>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</si>
  <si>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</si>
  <si>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</si>
  <si>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</si>
  <si>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</si>
  <si>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</si>
  <si>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</si>
  <si>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</si>
  <si>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</si>
  <si>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</si>
  <si>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</si>
  <si>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</si>
  <si>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</si>
  <si>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</si>
  <si>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</si>
  <si>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</si>
  <si>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</si>
  <si>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</si>
  <si>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</si>
  <si>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</si>
  <si>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</si>
  <si>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</si>
  <si>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</si>
  <si>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</si>
  <si>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</si>
  <si>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</si>
  <si>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</si>
  <si>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</si>
  <si>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</si>
  <si>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</si>
  <si>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</si>
  <si>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</si>
  <si>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</si>
  <si>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</si>
  <si>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</si>
  <si>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</si>
  <si>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</si>
  <si>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</si>
  <si>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</si>
  <si>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</si>
  <si>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</si>
  <si>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</si>
  <si>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</si>
  <si>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</si>
  <si>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</si>
  <si>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</si>
  <si>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</si>
  <si>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</si>
  <si>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</si>
  <si>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</si>
  <si>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</si>
  <si>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</si>
  <si>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</si>
  <si>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</si>
  <si>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</si>
  <si>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</si>
  <si>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</si>
  <si>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</si>
  <si>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</si>
  <si>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</si>
  <si>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</si>
  <si>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</si>
  <si>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</si>
  <si>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</si>
  <si>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</si>
  <si>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</si>
  <si>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</si>
  <si>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</si>
  <si>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</si>
  <si>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</si>
  <si>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</si>
  <si>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</si>
  <si>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</si>
  <si>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</si>
  <si>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</si>
  <si>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</si>
  <si>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</si>
  <si>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</si>
  <si>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</si>
  <si>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</si>
  <si>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</si>
  <si>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</si>
  <si>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</si>
  <si>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</si>
  <si>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</si>
  <si>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</si>
  <si>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</si>
  <si>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</si>
  <si>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</si>
  <si>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</si>
  <si>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</si>
  <si>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</si>
  <si>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</si>
  <si>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</si>
  <si>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</si>
  <si>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</si>
  <si>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</si>
  <si>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</si>
  <si>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</si>
  <si>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</si>
  <si>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</si>
  <si>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</si>
  <si>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</si>
  <si>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</si>
  <si>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</si>
  <si>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</si>
  <si>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</si>
  <si>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</si>
  <si>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</si>
  <si>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</si>
  <si>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</si>
  <si>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</si>
  <si>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</si>
  <si>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</si>
  <si>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</si>
  <si>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</si>
  <si>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</si>
  <si>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</si>
  <si>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</si>
  <si>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</si>
  <si>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</si>
  <si>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</si>
  <si>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</si>
  <si>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</si>
  <si>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</si>
  <si>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</si>
  <si>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</si>
  <si>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</si>
  <si>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</si>
  <si>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</si>
  <si>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</si>
  <si>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</si>
  <si>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</si>
  <si>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</si>
  <si>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</si>
  <si>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</si>
  <si>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</si>
  <si>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</si>
  <si>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</si>
  <si>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</si>
  <si>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</si>
  <si>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</si>
  <si>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</si>
  <si>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</si>
  <si>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</si>
  <si>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</si>
  <si>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</si>
  <si>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</si>
  <si>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</si>
  <si>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</si>
  <si>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</si>
  <si>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</si>
  <si>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</si>
  <si>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</si>
  <si>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</si>
  <si>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</si>
  <si>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</si>
  <si>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</si>
  <si>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</si>
  <si>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</si>
  <si>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</si>
  <si>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</si>
  <si>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</si>
  <si>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</si>
  <si>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</si>
  <si>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</si>
  <si>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</si>
  <si>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</si>
  <si>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</si>
  <si>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</si>
  <si>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</si>
  <si>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</si>
  <si>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</si>
  <si>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</si>
  <si>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</si>
  <si>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</si>
  <si>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</si>
  <si>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</si>
  <si>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</si>
  <si>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</si>
  <si>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</si>
  <si>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</si>
  <si>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</si>
  <si>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</si>
  <si>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</si>
  <si>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</si>
  <si>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</si>
  <si>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</si>
  <si>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</si>
  <si>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</si>
  <si>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</si>
  <si>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</si>
  <si>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</si>
  <si>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</si>
  <si>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</si>
  <si>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</si>
  <si>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</si>
  <si>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</si>
  <si>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</si>
  <si>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</si>
  <si>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</si>
  <si>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</si>
  <si>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</si>
  <si>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</si>
  <si>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</si>
  <si>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</si>
  <si>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</si>
  <si>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</si>
  <si>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</si>
  <si>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</si>
  <si>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</si>
  <si>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</si>
  <si>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</si>
  <si>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</si>
  <si>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</si>
  <si>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</si>
  <si>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</si>
  <si>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</si>
  <si>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</si>
  <si>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</si>
  <si>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</si>
  <si>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</si>
  <si>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</si>
  <si>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</si>
  <si>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</si>
  <si>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</si>
  <si>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</si>
  <si>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</si>
  <si>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</si>
  <si>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</si>
  <si>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</si>
  <si>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</si>
  <si>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</si>
  <si>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</si>
  <si>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</si>
  <si>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</si>
  <si>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</si>
  <si>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</si>
  <si>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</si>
  <si>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</si>
  <si>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</si>
  <si>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</si>
  <si>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</si>
  <si>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</si>
  <si>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</si>
  <si>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</si>
  <si>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</si>
  <si>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</si>
  <si>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</si>
  <si>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</si>
  <si>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</si>
  <si>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</si>
  <si>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</si>
  <si>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</si>
  <si>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</si>
  <si>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</si>
  <si>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</si>
  <si>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</si>
  <si>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</si>
  <si>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</si>
  <si>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</si>
  <si>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</si>
  <si>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</si>
  <si>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</si>
  <si>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</si>
  <si>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</si>
  <si>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</si>
  <si>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</si>
  <si>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</si>
  <si>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</si>
  <si>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</si>
  <si>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</si>
  <si>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</si>
  <si>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</si>
  <si>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</si>
  <si>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</si>
  <si>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</si>
  <si>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</si>
  <si>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</si>
  <si>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</si>
  <si>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</si>
  <si>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</si>
  <si>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</si>
  <si>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</si>
  <si>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</si>
  <si>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</si>
  <si>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</si>
  <si>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</si>
  <si>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</si>
  <si>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</si>
  <si>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</si>
  <si>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</si>
  <si>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</si>
  <si>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</si>
  <si>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</si>
  <si>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</si>
  <si>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</si>
  <si>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</si>
  <si>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</si>
  <si>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</si>
  <si>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</si>
  <si>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</si>
  <si>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</si>
  <si>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</si>
  <si>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</si>
  <si>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</si>
  <si>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</si>
  <si>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</si>
  <si>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</si>
  <si>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</si>
  <si>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</si>
  <si>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</si>
  <si>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</si>
  <si>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</si>
  <si>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</si>
  <si>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</si>
  <si>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</si>
  <si>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</si>
  <si>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</si>
  <si>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</si>
  <si>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</si>
  <si>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</si>
  <si>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</si>
  <si>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</si>
  <si>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</si>
  <si>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</si>
  <si>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</si>
  <si>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</si>
  <si>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</si>
  <si>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</si>
  <si>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</si>
  <si>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</si>
  <si>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</si>
  <si>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</si>
  <si>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</si>
  <si>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</si>
  <si>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</si>
  <si>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</si>
  <si>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</si>
  <si>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</si>
  <si>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</si>
  <si>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</si>
  <si>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</si>
  <si>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</si>
  <si>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</si>
  <si>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</si>
  <si>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</si>
  <si>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</si>
  <si>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</si>
  <si>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</si>
  <si>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</si>
  <si>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</si>
  <si>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</si>
  <si>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</si>
  <si>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</si>
  <si>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</si>
  <si>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</si>
  <si>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</si>
  <si>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</si>
  <si>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</si>
  <si>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</si>
  <si>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</si>
  <si>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</si>
  <si>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</si>
  <si>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</si>
  <si>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</si>
  <si>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</si>
  <si>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</si>
  <si>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</si>
  <si>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</si>
  <si>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</si>
  <si>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</si>
  <si>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</si>
  <si>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</si>
  <si>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</si>
  <si>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</si>
  <si>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</si>
  <si>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</si>
  <si>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</si>
  <si>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</si>
  <si>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</si>
  <si>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</si>
  <si>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</si>
  <si>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</si>
  <si>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</si>
  <si>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</si>
  <si>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</si>
  <si>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</si>
  <si>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</si>
  <si>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</si>
  <si>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</si>
  <si>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</si>
  <si>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</si>
  <si>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</si>
  <si>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</si>
  <si>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</si>
  <si>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</si>
  <si>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</si>
  <si>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</si>
  <si>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</si>
  <si>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</si>
  <si>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</si>
  <si>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</si>
  <si>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</si>
  <si>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</si>
  <si>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</si>
  <si>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</si>
  <si>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</si>
  <si>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</si>
  <si>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</si>
  <si>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</si>
  <si>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</si>
  <si>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</si>
  <si>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</si>
  <si>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</si>
  <si>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</si>
  <si>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</si>
  <si>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</si>
  <si>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</si>
  <si>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</si>
  <si>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</si>
  <si>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</si>
  <si>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</si>
  <si>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</si>
  <si>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</si>
  <si>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</si>
  <si>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</si>
  <si>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</si>
  <si>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</si>
  <si>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</si>
  <si>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</si>
  <si>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</si>
  <si>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</si>
  <si>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</si>
  <si>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</si>
  <si>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</si>
  <si>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</si>
  <si>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</si>
  <si>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</si>
  <si>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</si>
  <si>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</si>
  <si>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</si>
  <si>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</si>
  <si>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</si>
  <si>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</si>
  <si>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</si>
  <si>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</si>
  <si>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</si>
  <si>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</si>
  <si>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</si>
  <si>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</si>
  <si>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</si>
  <si>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</si>
  <si>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</si>
  <si>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</si>
  <si>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</si>
  <si>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</si>
  <si>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</si>
  <si>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</si>
  <si>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</si>
  <si>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</si>
  <si>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</si>
  <si>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</si>
  <si>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</si>
  <si>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</si>
  <si>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</si>
  <si>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</si>
  <si>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</si>
  <si>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</si>
  <si>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</si>
  <si>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</si>
  <si>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</si>
  <si>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</si>
  <si>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</si>
  <si>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</si>
  <si>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</si>
  <si>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</si>
  <si>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</si>
  <si>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</si>
  <si>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</si>
  <si>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</si>
  <si>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</si>
  <si>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</si>
  <si>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</si>
  <si>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</si>
  <si>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</si>
  <si>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</si>
  <si>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</si>
  <si>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</si>
  <si>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</si>
  <si>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</si>
  <si>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</si>
  <si>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</si>
  <si>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</si>
  <si>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</si>
  <si>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</si>
  <si>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</si>
  <si>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</si>
  <si>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</si>
  <si>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</si>
  <si>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</si>
  <si>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</si>
  <si>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</si>
  <si>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</si>
  <si>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</si>
  <si>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</si>
  <si>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</si>
  <si>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</si>
  <si>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</si>
  <si>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</si>
  <si>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</si>
  <si>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</si>
  <si>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</si>
  <si>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</si>
  <si>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</si>
  <si>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</si>
  <si>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</si>
  <si>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</si>
  <si>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</si>
  <si>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</si>
  <si>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</si>
  <si>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</si>
  <si>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</si>
  <si>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</si>
  <si>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</si>
  <si>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</si>
  <si>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</si>
  <si>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</si>
  <si>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</si>
  <si>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</si>
  <si>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</si>
  <si>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</si>
  <si>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</si>
  <si>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</si>
  <si>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</si>
  <si>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</si>
  <si>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</si>
  <si>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</si>
  <si>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</si>
  <si>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</si>
  <si>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</si>
  <si>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</si>
  <si>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</si>
  <si>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</si>
  <si>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</si>
  <si>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</si>
  <si>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</si>
  <si>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</si>
  <si>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</si>
  <si>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</si>
  <si>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</si>
  <si>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</si>
  <si>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</si>
  <si>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</si>
  <si>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</si>
  <si>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</si>
  <si>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</si>
  <si>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</si>
  <si>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</si>
  <si>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</si>
  <si>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</si>
  <si>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</si>
  <si>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</si>
  <si>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</si>
  <si>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</si>
  <si>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</si>
  <si>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</si>
  <si>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</si>
  <si>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</si>
  <si>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</si>
  <si>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</si>
  <si>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</si>
  <si>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</si>
  <si>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</si>
  <si>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</si>
  <si>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</si>
  <si>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</si>
  <si>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</si>
  <si>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</si>
  <si>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</si>
  <si>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</si>
  <si>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</si>
  <si>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</si>
  <si>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</si>
  <si>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</si>
  <si>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</si>
  <si>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</si>
  <si>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</si>
  <si>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</si>
  <si>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</si>
  <si>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</si>
  <si>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</si>
  <si>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</si>
  <si>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</si>
  <si>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</si>
  <si>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</si>
  <si>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</si>
  <si>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</si>
  <si>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</si>
  <si>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</si>
  <si>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</si>
  <si>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</si>
  <si>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</si>
  <si>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</si>
  <si>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</si>
  <si>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</si>
  <si>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</si>
  <si>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</si>
  <si>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</si>
  <si>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</si>
  <si>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</si>
  <si>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</si>
  <si>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</si>
  <si>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</si>
  <si>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</si>
  <si>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</si>
  <si>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</si>
  <si>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</si>
  <si>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</si>
  <si>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</si>
  <si>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</si>
  <si>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</si>
  <si>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</si>
  <si>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</si>
  <si>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</si>
  <si>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</si>
  <si>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</si>
  <si>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</si>
  <si>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</si>
  <si>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</si>
  <si>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</si>
  <si>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</si>
  <si>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</si>
  <si>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</si>
  <si>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</si>
  <si>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</si>
  <si>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</si>
  <si>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</si>
  <si>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</si>
  <si>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</si>
  <si>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</si>
  <si>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</si>
  <si>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</si>
  <si>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</si>
  <si>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</si>
  <si>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</si>
  <si>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</si>
  <si>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</si>
  <si>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</si>
  <si>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</si>
  <si>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</si>
  <si>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</si>
  <si>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</si>
  <si>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</si>
  <si>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</si>
  <si>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</si>
  <si>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</si>
  <si>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</si>
  <si>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</si>
  <si>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</si>
  <si>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</si>
  <si>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</si>
  <si>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</si>
  <si>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</si>
  <si>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</si>
  <si>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</si>
  <si>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</si>
  <si>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</si>
  <si>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</si>
  <si>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</si>
  <si>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</si>
  <si>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</si>
  <si>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</si>
  <si>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</si>
  <si>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</si>
  <si>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</si>
  <si>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</si>
  <si>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</si>
  <si>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</si>
  <si>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</si>
  <si>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</si>
  <si>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</si>
  <si>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</si>
  <si>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</si>
  <si>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</si>
  <si>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</si>
  <si>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</si>
  <si>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</si>
  <si>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</si>
  <si>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</si>
  <si>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</si>
  <si>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</si>
  <si>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</si>
  <si>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</si>
  <si>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</si>
  <si>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</si>
  <si>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</si>
  <si>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</si>
  <si>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</si>
  <si>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</si>
  <si>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</si>
  <si>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</si>
  <si>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</si>
  <si>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</si>
  <si>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</si>
  <si>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</si>
  <si>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</si>
  <si>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</si>
  <si>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</si>
  <si>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</si>
  <si>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</si>
  <si>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</si>
  <si>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</si>
  <si>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</si>
  <si>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</si>
  <si>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</si>
  <si>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</si>
  <si>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</si>
  <si>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</si>
  <si>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</si>
  <si>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</si>
  <si>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</si>
  <si>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</si>
  <si>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</si>
  <si>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</si>
  <si>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</si>
  <si>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</si>
  <si>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</si>
  <si>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</si>
  <si>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</si>
  <si>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</si>
  <si>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</si>
  <si>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</si>
  <si>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</si>
  <si>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</si>
  <si>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</si>
  <si>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</si>
  <si>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</si>
  <si>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</si>
  <si>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</si>
  <si>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</si>
  <si>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</si>
  <si>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</si>
  <si>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</si>
  <si>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</si>
  <si>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</si>
  <si>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</si>
  <si>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</si>
  <si>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</si>
  <si>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</si>
  <si>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</si>
  <si>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</si>
  <si>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</si>
  <si>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</si>
  <si>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</si>
  <si>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</si>
  <si>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</si>
  <si>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</si>
  <si>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</si>
  <si>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</si>
  <si>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</si>
  <si>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</si>
  <si>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</si>
  <si>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</si>
  <si>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</si>
  <si>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</si>
  <si>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</si>
  <si>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</si>
  <si>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</si>
  <si>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</si>
  <si>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</si>
  <si>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</si>
  <si>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</si>
  <si>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</si>
  <si>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</si>
  <si>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</si>
  <si>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</si>
  <si>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</si>
  <si>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</si>
  <si>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</si>
  <si>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</si>
  <si>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</si>
  <si>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</si>
  <si>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</si>
  <si>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</si>
  <si>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</si>
  <si>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</si>
  <si>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</si>
  <si>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</si>
  <si>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</si>
  <si>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</si>
  <si>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</si>
  <si>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</si>
  <si>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</si>
  <si>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</si>
  <si>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</si>
  <si>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</si>
  <si>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</si>
  <si>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</si>
  <si>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</si>
  <si>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</si>
  <si>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</si>
  <si>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</si>
  <si>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</si>
  <si>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</si>
  <si>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</si>
  <si>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</si>
  <si>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</si>
  <si>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</si>
  <si>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</si>
  <si>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</si>
  <si>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</si>
  <si>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</si>
  <si>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</si>
  <si>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</si>
  <si>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</si>
  <si>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</si>
  <si>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</si>
  <si>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</si>
  <si>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</si>
  <si>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</si>
  <si>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</si>
  <si>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</si>
  <si>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</si>
  <si>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</si>
  <si>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</si>
  <si>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</si>
  <si>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</si>
  <si>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</si>
  <si>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</si>
  <si>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</si>
  <si>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</si>
  <si>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</si>
  <si>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</si>
  <si>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</si>
  <si>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</si>
  <si>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</si>
  <si>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</si>
  <si>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</si>
  <si>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</si>
  <si>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</si>
  <si>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</si>
  <si>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</si>
  <si>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</si>
  <si>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</si>
  <si>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</si>
  <si>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</si>
  <si>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</si>
  <si>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</si>
  <si>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</si>
  <si>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</si>
  <si>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</si>
  <si>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</si>
  <si>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</si>
  <si>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</si>
  <si>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</si>
  <si>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</si>
  <si>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</si>
  <si>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</si>
  <si>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</si>
  <si>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</si>
  <si>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</si>
  <si>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</si>
  <si>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</si>
  <si>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</si>
  <si>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</si>
  <si>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</si>
  <si>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</si>
  <si>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</si>
  <si>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</si>
  <si>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</si>
  <si>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</si>
  <si>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</si>
  <si>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</si>
  <si>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</si>
  <si>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</si>
  <si>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</si>
  <si>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</si>
  <si>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</si>
  <si>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</si>
  <si>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</si>
  <si>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</si>
  <si>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</si>
  <si>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</si>
  <si>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</si>
  <si>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</si>
  <si>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</si>
  <si>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</si>
  <si>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</si>
  <si>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</si>
  <si>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</si>
  <si>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</si>
  <si>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</si>
  <si>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</si>
  <si>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</si>
  <si>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</si>
  <si>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</si>
  <si>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</si>
  <si>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</si>
  <si>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</si>
  <si>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</si>
  <si>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</si>
  <si>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</si>
  <si>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</si>
  <si>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</si>
  <si>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</si>
  <si>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</si>
  <si>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</si>
  <si>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</si>
  <si>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</si>
  <si>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</si>
  <si>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</si>
  <si>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</si>
  <si>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</si>
  <si>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</si>
  <si>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</si>
  <si>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</si>
  <si>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</si>
  <si>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</si>
  <si>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</si>
  <si>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</si>
  <si>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</si>
  <si>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</si>
  <si>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</si>
  <si>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</si>
  <si>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</si>
  <si>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</si>
  <si>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</si>
  <si>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</si>
  <si>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</si>
  <si>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</si>
  <si>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</si>
  <si>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</si>
  <si>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</si>
  <si>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</si>
  <si>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</si>
  <si>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</si>
  <si>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</si>
  <si>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</si>
  <si>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</si>
  <si>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</si>
  <si>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</si>
  <si>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</si>
  <si>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</si>
  <si>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</si>
  <si>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</si>
  <si>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</si>
  <si>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</si>
  <si>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</si>
  <si>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</si>
  <si>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</si>
  <si>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</si>
  <si>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</si>
  <si>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</si>
  <si>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</si>
  <si>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</si>
  <si>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</si>
  <si>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</si>
  <si>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</si>
  <si>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</si>
  <si>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</si>
  <si>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</si>
  <si>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</si>
  <si>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</si>
  <si>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</si>
  <si>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</si>
  <si>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</si>
  <si>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</si>
  <si>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</si>
  <si>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</si>
  <si>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</si>
  <si>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</si>
  <si>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</si>
  <si>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</si>
  <si>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</si>
  <si>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</si>
  <si>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</si>
  <si>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</si>
  <si>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</si>
  <si>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</si>
  <si>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</si>
  <si>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</si>
  <si>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</si>
  <si>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</si>
  <si>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</si>
  <si>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</si>
  <si>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</si>
  <si>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</si>
  <si>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</si>
  <si>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</si>
  <si>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</si>
  <si>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</si>
  <si>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</si>
  <si>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</si>
  <si>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</si>
  <si>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</si>
  <si>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</si>
  <si>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</si>
  <si>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</si>
  <si>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</si>
  <si>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</si>
  <si>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</si>
  <si>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</si>
  <si>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</si>
  <si>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</si>
  <si>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</si>
  <si>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</si>
  <si>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</si>
  <si>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</si>
  <si>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</si>
  <si>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</si>
  <si>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</si>
  <si>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</si>
  <si>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</si>
  <si>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</si>
  <si>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</si>
  <si>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</si>
  <si>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</si>
  <si>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</si>
  <si>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</si>
  <si>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</si>
  <si>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</si>
  <si>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</si>
  <si>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</si>
  <si>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</si>
  <si>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</si>
  <si>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</si>
  <si>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</si>
  <si>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</si>
  <si>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</si>
  <si>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</si>
  <si>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</si>
  <si>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</si>
  <si>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</si>
  <si>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</si>
  <si>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</si>
  <si>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</si>
  <si>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</si>
  <si>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</si>
  <si>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</si>
  <si>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</si>
  <si>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</si>
  <si>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</si>
  <si>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</si>
  <si>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</si>
  <si>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</si>
  <si>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</si>
  <si>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</si>
  <si>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</si>
  <si>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</si>
  <si>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</si>
  <si>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</si>
  <si>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</si>
  <si>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</si>
  <si>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</si>
  <si>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</si>
  <si>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</si>
  <si>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</si>
  <si>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</si>
  <si>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</si>
  <si>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</si>
  <si>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</si>
  <si>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</si>
  <si>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</si>
  <si>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</si>
  <si>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</si>
  <si>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</si>
  <si>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</si>
  <si>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</si>
  <si>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</si>
  <si>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</si>
  <si>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</si>
  <si>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</si>
  <si>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</si>
  <si>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</si>
  <si>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</si>
  <si>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</si>
  <si>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</si>
  <si>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</si>
  <si>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</si>
  <si>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</si>
  <si>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</si>
  <si>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</si>
  <si>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</si>
  <si>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</si>
  <si>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</si>
  <si>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</si>
  <si>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</si>
  <si>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</si>
  <si>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</si>
  <si>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</si>
  <si>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</si>
  <si>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</si>
  <si>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</si>
  <si>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</si>
  <si>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</si>
  <si>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</si>
  <si>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</si>
  <si>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</si>
  <si>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</si>
  <si>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</si>
  <si>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</si>
  <si>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</si>
  <si>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</si>
  <si>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</si>
  <si>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</si>
  <si>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</si>
  <si>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</si>
  <si>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</si>
  <si>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</si>
  <si>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</si>
  <si>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</si>
  <si>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</si>
  <si>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</si>
  <si>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</si>
  <si>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</si>
  <si>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</si>
  <si>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</si>
  <si>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</si>
  <si>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</si>
  <si>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</si>
  <si>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</si>
  <si>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</si>
  <si>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</si>
  <si>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</si>
  <si>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</si>
  <si>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</si>
  <si>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</si>
  <si>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</si>
  <si>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</si>
  <si>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</si>
  <si>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</si>
  <si>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</si>
  <si>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</si>
  <si>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</si>
  <si>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</si>
  <si>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</si>
  <si>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</si>
  <si>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</si>
  <si>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</si>
  <si>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</si>
  <si>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</si>
  <si>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</si>
  <si>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</si>
  <si>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</si>
  <si>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</si>
  <si>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</si>
  <si>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</si>
  <si>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</si>
  <si>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</si>
  <si>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</si>
  <si>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</si>
  <si>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</si>
  <si>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</si>
  <si>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</si>
  <si>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</si>
  <si>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</si>
  <si>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</si>
  <si>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</si>
  <si>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</si>
  <si>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</si>
  <si>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</si>
  <si>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</si>
  <si>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</si>
  <si>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</si>
  <si>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</si>
  <si>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</si>
  <si>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</si>
  <si>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</si>
  <si>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</si>
  <si>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</si>
  <si>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</si>
  <si>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</si>
  <si>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</si>
  <si>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</si>
  <si>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</si>
  <si>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</si>
  <si>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</si>
  <si>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</si>
  <si>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</si>
  <si>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</si>
  <si>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</si>
  <si>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</si>
  <si>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</si>
  <si>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</si>
  <si>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</si>
  <si>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</si>
  <si>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</si>
  <si>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</si>
  <si>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</si>
  <si>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</si>
  <si>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</si>
  <si>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</si>
  <si>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</si>
  <si>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</si>
  <si>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</si>
  <si>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</si>
  <si>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</si>
  <si>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</si>
  <si>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</si>
  <si>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</si>
  <si>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</si>
  <si>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</si>
  <si>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</si>
  <si>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</si>
  <si>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</si>
  <si>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</si>
  <si>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</si>
  <si>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</si>
  <si>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</si>
  <si>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</si>
  <si>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</si>
  <si>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</si>
  <si>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</si>
  <si>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</si>
  <si>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</si>
  <si>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</si>
  <si>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</si>
  <si>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</si>
  <si>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</si>
  <si>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</si>
  <si>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</si>
  <si>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</si>
  <si>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</si>
  <si>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</si>
  <si>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</si>
  <si>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</si>
  <si>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</si>
  <si>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</si>
  <si>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</si>
  <si>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</si>
  <si>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</si>
  <si>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</si>
  <si>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</si>
  <si>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</si>
  <si>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</si>
  <si>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</si>
  <si>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</si>
  <si>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</si>
  <si>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</si>
  <si>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</si>
  <si>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</si>
  <si>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</si>
  <si>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</si>
  <si>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</si>
  <si>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</si>
  <si>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</si>
  <si>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</si>
  <si>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</si>
  <si>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</si>
  <si>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</si>
  <si>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</si>
  <si>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</si>
  <si>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</si>
  <si>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</si>
  <si>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</si>
  <si>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</si>
  <si>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</si>
  <si>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</si>
  <si>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</si>
  <si>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</si>
  <si>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</si>
  <si>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</si>
  <si>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</si>
  <si>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</si>
  <si>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</si>
  <si>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</si>
  <si>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</si>
  <si>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</si>
  <si>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</si>
  <si>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</si>
  <si>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</si>
  <si>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</si>
  <si>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</si>
  <si>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</si>
  <si>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</si>
  <si>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</si>
  <si>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</si>
  <si>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</si>
  <si>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</si>
  <si>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</si>
  <si>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</si>
  <si>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</si>
  <si>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</si>
  <si>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</si>
  <si>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</si>
  <si>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</si>
  <si>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</si>
  <si>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</si>
  <si>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</si>
  <si>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</si>
  <si>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</si>
  <si>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</si>
  <si>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</si>
  <si>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</si>
  <si>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</si>
  <si>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</si>
  <si>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</si>
  <si>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</si>
  <si>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</si>
  <si>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</si>
  <si>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</si>
  <si>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</si>
  <si>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</si>
  <si>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</si>
  <si>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</si>
  <si>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</si>
  <si>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</si>
  <si>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</si>
  <si>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</si>
  <si>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</si>
  <si>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</si>
  <si>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</si>
  <si>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</si>
  <si>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</si>
  <si>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</si>
  <si>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</si>
  <si>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</si>
  <si>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</si>
  <si>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</si>
  <si>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</si>
  <si>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</si>
  <si>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</si>
  <si>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</si>
  <si>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</si>
  <si>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</si>
  <si>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</si>
  <si>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</si>
  <si>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</si>
  <si>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</si>
  <si>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</si>
  <si>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</si>
  <si>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</si>
  <si>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</si>
  <si>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</si>
  <si>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</si>
  <si>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</si>
  <si>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</si>
  <si>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</si>
  <si>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</si>
  <si>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</si>
  <si>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</si>
  <si>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</si>
  <si>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</si>
  <si>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</si>
  <si>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</si>
  <si>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</si>
  <si>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</si>
  <si>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</si>
  <si>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</si>
  <si>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</si>
  <si>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</si>
  <si>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</si>
  <si>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</si>
  <si>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</si>
  <si>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</si>
  <si>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</si>
  <si>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</si>
  <si>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</si>
  <si>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</si>
  <si>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</si>
  <si>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</si>
  <si>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</si>
  <si>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</si>
  <si>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</si>
  <si>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</si>
  <si>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</si>
  <si>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</si>
  <si>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</si>
  <si>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</si>
  <si>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</si>
  <si>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</si>
  <si>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</si>
  <si>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</si>
  <si>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</si>
  <si>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</si>
  <si>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</si>
  <si>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</si>
  <si>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</si>
  <si>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</si>
  <si>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</si>
  <si>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</si>
  <si>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</si>
  <si>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</si>
  <si>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</si>
  <si>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</si>
  <si>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</si>
  <si>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</si>
  <si>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</si>
  <si>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</si>
  <si>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</si>
  <si>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</si>
  <si>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</si>
  <si>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</si>
  <si>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</si>
  <si>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</si>
  <si>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</si>
  <si>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</si>
  <si>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</si>
  <si>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</si>
  <si>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</si>
  <si>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</si>
  <si>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</si>
  <si>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</si>
  <si>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</si>
  <si>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</si>
  <si>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</si>
  <si>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</si>
  <si>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</si>
  <si>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</si>
  <si>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</si>
  <si>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</si>
  <si>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</si>
  <si>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</si>
  <si>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</si>
  <si>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</si>
  <si>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</si>
  <si>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</si>
  <si>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</si>
  <si>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</si>
  <si>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</si>
  <si>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</si>
  <si>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</si>
  <si>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</si>
  <si>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</si>
  <si>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</si>
  <si>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</si>
  <si>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</si>
  <si>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</si>
  <si>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</si>
  <si>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</si>
  <si>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</si>
  <si>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</si>
  <si>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</si>
  <si>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</si>
  <si>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</si>
  <si>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</si>
  <si>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</si>
  <si>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</si>
  <si>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</si>
  <si>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</si>
  <si>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</si>
  <si>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</si>
  <si>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</si>
  <si>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</si>
  <si>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</si>
  <si>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</si>
  <si>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</si>
  <si>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</si>
  <si>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</si>
  <si>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</si>
  <si>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</si>
  <si>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</si>
  <si>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</si>
  <si>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</si>
  <si>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</si>
  <si>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</si>
  <si>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</si>
  <si>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</si>
  <si>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</si>
  <si>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</si>
  <si>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</si>
  <si>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</si>
  <si>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</si>
  <si>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</si>
  <si>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</si>
  <si>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</si>
  <si>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</si>
  <si>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</si>
  <si>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</si>
  <si>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</si>
  <si>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</si>
  <si>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</si>
  <si>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</si>
  <si>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</si>
  <si>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</si>
  <si>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</si>
  <si>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</si>
  <si>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</si>
  <si>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</si>
  <si>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</si>
  <si>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</si>
  <si>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</si>
  <si>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</si>
  <si>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</si>
  <si>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</si>
  <si>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</si>
  <si>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</si>
  <si>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</si>
  <si>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</si>
  <si>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</si>
  <si>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</si>
  <si>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</si>
  <si>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</si>
  <si>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</si>
  <si>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</si>
  <si>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</si>
  <si>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</si>
  <si>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</si>
  <si>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</si>
  <si>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</si>
  <si>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</si>
  <si>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</si>
  <si>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</si>
  <si>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</si>
  <si>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</si>
  <si>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</si>
  <si>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</si>
  <si>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</si>
  <si>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</si>
  <si>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</si>
  <si>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</si>
  <si>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</si>
  <si>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</si>
  <si>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</si>
  <si>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</si>
  <si>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</si>
  <si>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</si>
  <si>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</si>
  <si>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</si>
  <si>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</si>
  <si>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</si>
  <si>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</si>
  <si>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</si>
  <si>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</si>
  <si>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</si>
  <si>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</si>
  <si>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</si>
  <si>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</si>
  <si>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</si>
  <si>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</si>
  <si>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</si>
  <si>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</si>
  <si>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</si>
  <si>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</si>
  <si>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</si>
  <si>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</si>
  <si>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</si>
  <si>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</si>
  <si>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</si>
  <si>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</si>
  <si>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</si>
  <si>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</si>
  <si>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</si>
  <si>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</si>
  <si>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</si>
  <si>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</si>
  <si>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</si>
  <si>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</si>
  <si>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</si>
  <si>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</si>
  <si>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</si>
  <si>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</si>
  <si>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</si>
  <si>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</si>
  <si>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</si>
  <si>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</si>
  <si>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</si>
  <si>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</si>
  <si>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</si>
  <si>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</si>
  <si>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</si>
  <si>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</si>
  <si>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</si>
  <si>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</si>
  <si>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</si>
  <si>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</si>
  <si>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</si>
  <si>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</si>
  <si>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</si>
  <si>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</si>
  <si>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</si>
  <si>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</si>
  <si>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</si>
  <si>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</si>
  <si>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</si>
  <si>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</si>
  <si>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</si>
  <si>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</si>
  <si>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</si>
  <si>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</si>
  <si>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</si>
  <si>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</si>
  <si>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</si>
  <si>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</si>
  <si>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</si>
  <si>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</si>
  <si>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</si>
  <si>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</si>
  <si>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</si>
  <si>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</si>
  <si>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</si>
  <si>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</si>
  <si>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</si>
  <si>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</si>
  <si>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</si>
  <si>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</si>
  <si>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</si>
  <si>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</si>
  <si>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</si>
  <si>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</si>
  <si>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</si>
  <si>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</si>
  <si>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</si>
  <si>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</si>
  <si>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</si>
  <si>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</si>
  <si>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</si>
  <si>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</si>
  <si>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</si>
  <si>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</si>
  <si>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</si>
  <si>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</si>
  <si>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</si>
  <si>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</si>
  <si>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</si>
  <si>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</si>
  <si>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</si>
  <si>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</si>
  <si>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</si>
  <si>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</si>
  <si>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</si>
  <si>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</si>
  <si>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</si>
  <si>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</si>
  <si>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</si>
  <si>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</si>
  <si>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</si>
  <si>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</si>
  <si>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</si>
  <si>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</si>
  <si>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</si>
  <si>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</si>
  <si>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</si>
  <si>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</si>
  <si>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</si>
  <si>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</si>
  <si>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</si>
  <si>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</si>
  <si>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</si>
  <si>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</si>
  <si>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</si>
  <si>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</si>
  <si>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</si>
  <si>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</si>
  <si>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</si>
  <si>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</si>
  <si>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</si>
  <si>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</si>
  <si>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</si>
  <si>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</si>
  <si>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</si>
  <si>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</si>
  <si>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</si>
  <si>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</si>
  <si>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</si>
  <si>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</si>
  <si>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</si>
  <si>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</si>
  <si>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</si>
  <si>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</si>
  <si>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</si>
  <si>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</si>
  <si>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</si>
  <si>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</si>
  <si>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</si>
  <si>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</si>
  <si>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</si>
  <si>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</si>
  <si>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</si>
  <si>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</si>
  <si>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</si>
  <si>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</si>
  <si>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</si>
  <si>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</si>
  <si>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</si>
  <si>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</si>
  <si>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</si>
  <si>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</si>
  <si>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</si>
  <si>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</si>
  <si>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</si>
  <si>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</si>
  <si>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</si>
  <si>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</si>
  <si>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</si>
  <si>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</si>
  <si>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</si>
  <si>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</si>
  <si>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</si>
  <si>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</si>
  <si>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</si>
  <si>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</si>
  <si>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</si>
  <si>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</si>
  <si>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</si>
  <si>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</si>
  <si>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</si>
  <si>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</si>
  <si>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</si>
  <si>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</si>
  <si>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</si>
  <si>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</si>
  <si>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</si>
  <si>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</si>
  <si>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</si>
  <si>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</si>
  <si>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</si>
  <si>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</si>
  <si>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</si>
  <si>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</si>
  <si>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</si>
  <si>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</si>
  <si>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</si>
  <si>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</si>
  <si>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</si>
  <si>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</si>
  <si>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</si>
  <si>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</si>
  <si>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</si>
  <si>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</si>
  <si>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</si>
  <si>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</si>
  <si>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</si>
  <si>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</si>
  <si>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</si>
  <si>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</si>
  <si>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</si>
  <si>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</si>
  <si>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</si>
  <si>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</si>
  <si>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</si>
  <si>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</si>
  <si>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</si>
  <si>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</si>
  <si>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</si>
  <si>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</si>
  <si>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</si>
  <si>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</si>
  <si>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</si>
  <si>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</si>
  <si>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</si>
  <si>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</si>
  <si>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</si>
  <si>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</si>
  <si>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</si>
  <si>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</si>
  <si>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</si>
  <si>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</si>
  <si>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</si>
  <si>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</si>
  <si>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</si>
  <si>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</si>
  <si>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</si>
  <si>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</si>
  <si>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</si>
  <si>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</si>
  <si>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</si>
  <si>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</si>
  <si>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</si>
  <si>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</si>
  <si>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</si>
  <si>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</si>
  <si>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</si>
  <si>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</si>
  <si>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</si>
  <si>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</si>
  <si>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</si>
  <si>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</si>
  <si>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</si>
  <si>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</si>
  <si>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</si>
  <si>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</si>
  <si>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</si>
  <si>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</si>
  <si>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</si>
  <si>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</si>
  <si>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</si>
  <si>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</si>
  <si>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</si>
  <si>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</si>
  <si>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</si>
  <si>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</si>
  <si>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</si>
  <si>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</si>
  <si>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</si>
  <si>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</si>
  <si>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</si>
  <si>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</si>
  <si>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</si>
  <si>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</si>
  <si>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</si>
  <si>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</si>
  <si>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</si>
  <si>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</si>
  <si>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</si>
  <si>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</si>
  <si>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</si>
  <si>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</si>
  <si>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</si>
  <si>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</si>
  <si>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</si>
  <si>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</si>
  <si>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</si>
  <si>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</si>
  <si>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</si>
  <si>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</si>
  <si>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</si>
  <si>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</si>
  <si>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</si>
  <si>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</si>
  <si>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</si>
  <si>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</si>
  <si>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</si>
  <si>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</si>
  <si>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</si>
  <si>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</si>
  <si>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</si>
  <si>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</si>
  <si>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</si>
  <si>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</si>
  <si>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</si>
  <si>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</si>
  <si>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</si>
  <si>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</si>
  <si>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</si>
  <si>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</si>
  <si>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</si>
  <si>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</si>
  <si>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</si>
  <si>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</si>
  <si>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</si>
  <si>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</si>
  <si>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</si>
  <si>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</si>
  <si>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</si>
  <si>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</si>
  <si>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</si>
  <si>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</si>
  <si>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</si>
  <si>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</si>
  <si>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</si>
  <si>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</si>
  <si>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</si>
  <si>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</si>
  <si>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</si>
  <si>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</si>
  <si>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</si>
  <si>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</si>
  <si>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</si>
  <si>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</si>
  <si>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</si>
  <si>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</si>
  <si>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</si>
  <si>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</si>
  <si>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</si>
  <si>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</si>
  <si>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</si>
  <si>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</si>
  <si>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</si>
  <si>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</si>
  <si>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</si>
  <si>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</si>
  <si>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</si>
  <si>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</si>
  <si>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</si>
  <si>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</si>
  <si>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</si>
  <si>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</si>
  <si>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</si>
  <si>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</si>
  <si>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</si>
  <si>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</si>
  <si>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</si>
  <si>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</si>
  <si>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</si>
  <si>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</si>
  <si>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</si>
  <si>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</si>
  <si>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</si>
  <si>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</si>
  <si>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</si>
  <si>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</si>
  <si>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</si>
  <si>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</si>
  <si>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</si>
  <si>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</si>
  <si>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</si>
  <si>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</si>
  <si>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</si>
  <si>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</si>
  <si>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</si>
  <si>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</si>
  <si>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</si>
  <si>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</si>
  <si>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</si>
  <si>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</si>
  <si>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</si>
  <si>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</si>
  <si>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</si>
  <si>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</si>
  <si>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</si>
  <si>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</si>
  <si>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</si>
  <si>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</si>
  <si>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</si>
  <si>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</si>
  <si>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</si>
  <si>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</si>
  <si>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</si>
  <si>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</si>
  <si>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</si>
  <si>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</si>
  <si>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</si>
  <si>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</si>
  <si>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</si>
  <si>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</si>
  <si>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</si>
  <si>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</si>
  <si>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</si>
  <si>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</si>
  <si>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</si>
  <si>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</si>
  <si>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</si>
  <si>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</si>
  <si>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</si>
  <si>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</si>
  <si>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</si>
  <si>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</si>
  <si>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</si>
  <si>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</si>
  <si>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</si>
  <si>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</si>
  <si>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</si>
  <si>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</si>
  <si>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</si>
  <si>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</si>
  <si>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</si>
  <si>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</si>
  <si>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</si>
  <si>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</si>
  <si>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</si>
  <si>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</si>
  <si>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</si>
  <si>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</si>
  <si>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</si>
  <si>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</si>
  <si>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</si>
  <si>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</si>
  <si>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</si>
  <si>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</si>
  <si>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</si>
  <si>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</si>
  <si>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</si>
  <si>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</si>
  <si>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</si>
  <si>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</si>
  <si>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</si>
  <si>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</si>
  <si>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</si>
  <si>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</si>
  <si>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</si>
  <si>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</si>
  <si>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</si>
  <si>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</si>
  <si>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</si>
  <si>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</si>
  <si>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</si>
  <si>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</si>
  <si>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</si>
  <si>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</si>
  <si>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</si>
  <si>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</si>
  <si>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</si>
  <si>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</si>
  <si>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</si>
  <si>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</si>
  <si>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</si>
  <si>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</si>
  <si>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</si>
  <si>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</si>
  <si>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</si>
  <si>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</si>
  <si>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</si>
  <si>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</si>
  <si>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</si>
  <si>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</si>
  <si>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</si>
  <si>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</si>
  <si>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</si>
  <si>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</si>
  <si>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</si>
  <si>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</si>
  <si>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</si>
  <si>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</si>
  <si>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</si>
  <si>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</si>
  <si>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</si>
  <si>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</si>
  <si>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</si>
  <si>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</si>
  <si>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</si>
  <si>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</si>
  <si>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</si>
  <si>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</si>
  <si>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</si>
  <si>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</si>
  <si>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</si>
  <si>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</si>
  <si>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</si>
  <si>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</si>
  <si>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</si>
  <si>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</si>
  <si>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</si>
  <si>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</si>
  <si>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</si>
  <si>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</si>
  <si>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</si>
  <si>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</si>
  <si>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</si>
  <si>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</si>
  <si>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</si>
  <si>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</si>
  <si>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</si>
  <si>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</si>
  <si>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</si>
  <si>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</si>
  <si>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</si>
  <si>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</si>
  <si>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</si>
  <si>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</si>
  <si>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</si>
  <si>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</si>
  <si>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</si>
  <si>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</si>
  <si>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</si>
  <si>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</si>
  <si>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</si>
  <si>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</si>
  <si>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</si>
  <si>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</si>
  <si>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</si>
  <si>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</si>
  <si>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</si>
  <si>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</si>
  <si>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</si>
  <si>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</si>
  <si>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</si>
  <si>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</si>
  <si>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</si>
  <si>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</si>
  <si>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</si>
  <si>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</si>
  <si>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</si>
  <si>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</si>
  <si>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</si>
  <si>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</si>
  <si>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</si>
  <si>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</si>
  <si>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</si>
  <si>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</si>
  <si>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</si>
  <si>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</si>
  <si>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</si>
  <si>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</si>
  <si>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</si>
  <si>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</si>
  <si>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</si>
  <si>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</si>
  <si>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</si>
  <si>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</si>
  <si>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</si>
  <si>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</si>
  <si>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</si>
  <si>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</si>
  <si>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</si>
  <si>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</si>
  <si>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</si>
  <si>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</si>
  <si>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</si>
  <si>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</si>
  <si>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</si>
  <si>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</si>
  <si>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</si>
  <si>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</si>
  <si>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</si>
  <si>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</si>
  <si>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</si>
  <si>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</si>
  <si>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</si>
  <si>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</si>
  <si>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</si>
  <si>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</si>
  <si>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</si>
  <si>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</si>
  <si>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</si>
  <si>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</si>
  <si>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</si>
  <si>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</si>
  <si>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</si>
  <si>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</si>
  <si>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</si>
  <si>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</si>
  <si>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</si>
  <si>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</si>
  <si>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</si>
  <si>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</si>
  <si>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</si>
  <si>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</si>
  <si>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</si>
  <si>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</si>
  <si>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</si>
  <si>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</si>
  <si>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</si>
  <si>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</si>
  <si>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</si>
  <si>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</si>
  <si>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</si>
  <si>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</si>
  <si>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</si>
  <si>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</si>
  <si>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</si>
  <si>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</si>
  <si>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</si>
  <si>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</si>
  <si>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</si>
  <si>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</si>
  <si>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</si>
  <si>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</si>
  <si>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</si>
  <si>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</si>
  <si>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</si>
  <si>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</si>
  <si>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</si>
  <si>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</si>
  <si>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</si>
  <si>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</si>
  <si>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</si>
  <si>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</si>
  <si>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</si>
  <si>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</si>
  <si>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</si>
  <si>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</si>
  <si>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</si>
  <si>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</si>
  <si>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</si>
  <si>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</si>
  <si>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</si>
  <si>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</si>
  <si>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</si>
  <si>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</si>
  <si>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</si>
  <si>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</si>
  <si>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</si>
  <si>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</si>
  <si>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</si>
  <si>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</si>
  <si>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</si>
  <si>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</si>
  <si>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</si>
  <si>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</si>
  <si>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</si>
  <si>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</si>
  <si>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</si>
  <si>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</si>
  <si>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</si>
  <si>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</si>
  <si>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</si>
  <si>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</si>
  <si>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</si>
  <si>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</si>
  <si>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</si>
  <si>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</si>
  <si>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</si>
  <si>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</si>
  <si>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</si>
  <si>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</si>
  <si>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</si>
  <si>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</si>
  <si>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</si>
  <si>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</si>
  <si>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</si>
  <si>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</si>
  <si>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</si>
  <si>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</si>
  <si>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</si>
  <si>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</si>
  <si>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</si>
  <si>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</si>
  <si>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</si>
  <si>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</si>
  <si>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</si>
  <si>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</si>
  <si>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</si>
  <si>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</si>
  <si>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</si>
  <si>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</si>
  <si>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</si>
  <si>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</si>
  <si>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</si>
  <si>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</si>
  <si>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</si>
  <si>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</si>
  <si>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</si>
  <si>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</si>
  <si>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</si>
  <si>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</si>
  <si>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</si>
  <si>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</si>
  <si>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</si>
  <si>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</si>
  <si>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</si>
  <si>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</si>
  <si>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</si>
  <si>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</si>
  <si>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</si>
  <si>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</si>
  <si>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</si>
  <si>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</si>
  <si>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</si>
  <si>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</si>
  <si>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</si>
  <si>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</si>
  <si>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</si>
  <si>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</si>
  <si>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</si>
  <si>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</si>
  <si>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</si>
  <si>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</si>
  <si>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</si>
  <si>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</si>
  <si>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</si>
  <si>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</si>
  <si>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</si>
  <si>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</si>
  <si>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</si>
  <si>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</si>
  <si>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</si>
  <si>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</si>
  <si>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</si>
  <si>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</si>
  <si>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</si>
  <si>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</si>
  <si>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</si>
  <si>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</si>
  <si>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</si>
  <si>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</si>
  <si>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</si>
  <si>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</si>
  <si>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</si>
  <si>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</si>
  <si>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</si>
  <si>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</si>
  <si>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</si>
  <si>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</si>
  <si>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</si>
  <si>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</si>
  <si>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</si>
  <si>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</si>
  <si>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</si>
  <si>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</si>
  <si>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</si>
  <si>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</si>
  <si>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</si>
  <si>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</si>
  <si>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</si>
  <si>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</si>
  <si>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</si>
  <si>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</si>
  <si>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</si>
  <si>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</si>
  <si>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</si>
  <si>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</si>
  <si>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</si>
  <si>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</si>
  <si>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</si>
  <si>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</si>
  <si>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</si>
  <si>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</si>
  <si>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</si>
  <si>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</si>
  <si>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</si>
  <si>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</si>
  <si>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</si>
  <si>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</si>
  <si>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</si>
  <si>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</si>
  <si>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</si>
  <si>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</si>
  <si>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</si>
  <si>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</si>
  <si>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</si>
  <si>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</si>
  <si>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</si>
  <si>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</si>
  <si>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</si>
  <si>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</si>
  <si>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</si>
  <si>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</si>
  <si>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</si>
  <si>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</si>
  <si>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</si>
  <si>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</si>
  <si>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</si>
  <si>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</si>
  <si>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</si>
  <si>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</si>
  <si>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</si>
  <si>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</si>
  <si>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</si>
  <si>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</si>
  <si>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</si>
  <si>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</si>
  <si>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</si>
  <si>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</si>
  <si>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</si>
  <si>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</si>
  <si>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</si>
  <si>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</si>
  <si>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</si>
  <si>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</si>
  <si>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</si>
  <si>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</si>
  <si>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</si>
  <si>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</si>
  <si>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</si>
  <si>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</si>
  <si>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</si>
  <si>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</si>
  <si>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</si>
  <si>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</si>
  <si>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</si>
  <si>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</si>
  <si>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</si>
  <si>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</si>
  <si>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</si>
  <si>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</si>
  <si>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</si>
  <si>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</si>
  <si>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</si>
  <si>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</si>
  <si>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</si>
  <si>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</si>
  <si>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</si>
  <si>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</si>
  <si>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</si>
  <si>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</si>
  <si>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</si>
  <si>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</si>
  <si>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</si>
  <si>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</si>
  <si>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</si>
  <si>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</si>
  <si>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</si>
  <si>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</si>
  <si>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</si>
  <si>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</si>
  <si>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</si>
  <si>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</si>
  <si>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</si>
  <si>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</si>
  <si>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</si>
  <si>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</si>
  <si>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</si>
  <si>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</si>
  <si>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</si>
  <si>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</si>
  <si>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</si>
  <si>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</si>
  <si>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</si>
  <si>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</si>
  <si>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</si>
  <si>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</si>
  <si>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</si>
  <si>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</si>
  <si>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</si>
  <si>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</si>
  <si>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</si>
  <si>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</si>
  <si>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</si>
  <si>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</si>
  <si>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</si>
  <si>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</si>
  <si>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</si>
  <si>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</si>
  <si>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</si>
  <si>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</si>
  <si>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</si>
  <si>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</si>
  <si>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</si>
  <si>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</si>
  <si>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</si>
  <si>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</si>
  <si>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</si>
  <si>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</si>
  <si>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</si>
  <si>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</si>
  <si>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</si>
  <si>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</si>
  <si>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</si>
  <si>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</si>
  <si>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</si>
  <si>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</si>
  <si>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</si>
  <si>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</si>
  <si>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</si>
  <si>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</si>
  <si>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</si>
  <si>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</si>
  <si>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</si>
  <si>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</si>
  <si>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</si>
  <si>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</si>
  <si>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</si>
  <si>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</si>
  <si>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</si>
  <si>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</si>
  <si>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</si>
  <si>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</si>
  <si>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</si>
  <si>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</si>
  <si>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</si>
  <si>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</si>
  <si>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</si>
  <si>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</si>
  <si>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</si>
  <si>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</si>
  <si>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</si>
  <si>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</si>
  <si>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</si>
  <si>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</si>
  <si>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</si>
  <si>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</si>
  <si>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</si>
  <si>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</si>
  <si>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</si>
  <si>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</si>
  <si>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</si>
  <si>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</si>
  <si>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</si>
  <si>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</si>
  <si>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</si>
  <si>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</si>
  <si>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</si>
  <si>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</si>
  <si>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</si>
  <si>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</si>
  <si>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</si>
  <si>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</si>
  <si>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</si>
  <si>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</si>
  <si>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</si>
  <si>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</si>
  <si>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</si>
  <si>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</si>
  <si>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</si>
  <si>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</si>
  <si>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</si>
  <si>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</si>
  <si>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</si>
  <si>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</si>
  <si>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</si>
  <si>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</si>
  <si>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</si>
  <si>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</si>
  <si>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</si>
  <si>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</si>
  <si>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</si>
  <si>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</si>
  <si>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</si>
  <si>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</si>
  <si>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</si>
  <si>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</si>
  <si>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</si>
  <si>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</si>
  <si>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</si>
  <si>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</si>
  <si>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</si>
  <si>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</si>
  <si>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</si>
  <si>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</si>
  <si>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</si>
  <si>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</si>
  <si>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</si>
  <si>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</si>
  <si>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</si>
  <si>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</si>
  <si>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</si>
  <si>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</si>
  <si>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</si>
  <si>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</si>
  <si>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</si>
  <si>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</si>
  <si>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</si>
  <si>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</si>
  <si>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</si>
  <si>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</si>
  <si>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</si>
  <si>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</si>
  <si>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</si>
  <si>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</si>
  <si>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</si>
  <si>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</si>
  <si>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</si>
  <si>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</si>
  <si>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</si>
  <si>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</si>
  <si>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</si>
  <si>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</si>
  <si>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</si>
  <si>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</si>
  <si>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</si>
  <si>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</si>
  <si>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</si>
  <si>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</si>
  <si>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</si>
  <si>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</si>
  <si>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</si>
  <si>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</si>
  <si>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</si>
  <si>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</si>
  <si>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</si>
  <si>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</si>
  <si>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</si>
  <si>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</si>
  <si>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</si>
  <si>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</si>
  <si>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</si>
  <si>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</si>
  <si>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</si>
  <si>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</si>
  <si>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</si>
  <si>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</si>
  <si>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</si>
  <si>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</si>
  <si>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</si>
  <si>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</si>
  <si>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</si>
  <si>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</si>
  <si>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</si>
  <si>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</si>
  <si>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</si>
  <si>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</si>
  <si>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</si>
  <si>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</si>
  <si>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</si>
  <si>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</si>
  <si>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</si>
  <si>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</si>
  <si>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</si>
  <si>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</si>
  <si>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</si>
  <si>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</si>
  <si>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</si>
  <si>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</si>
  <si>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</si>
  <si>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</si>
  <si>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</si>
  <si>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</si>
  <si>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</si>
  <si>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</si>
  <si>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</si>
  <si>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</si>
  <si>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</si>
  <si>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</si>
  <si>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</si>
  <si>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</si>
  <si>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</si>
  <si>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</si>
  <si>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</si>
  <si>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</si>
  <si>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</si>
  <si>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</si>
  <si>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</si>
  <si>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</si>
  <si>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</si>
  <si>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</si>
  <si>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</si>
  <si>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</si>
  <si>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</si>
  <si>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</si>
  <si>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</si>
  <si>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</si>
  <si>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</si>
  <si>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</si>
  <si>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</si>
  <si>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</si>
  <si>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</si>
  <si>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</si>
  <si>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</si>
  <si>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</si>
  <si>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</si>
  <si>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</si>
  <si>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</si>
  <si>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</si>
  <si>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</si>
  <si>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</si>
  <si>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</si>
  <si>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</si>
  <si>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</si>
  <si>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</si>
  <si>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</si>
  <si>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</si>
  <si>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</si>
  <si>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</si>
  <si>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</si>
  <si>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</si>
  <si>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</si>
  <si>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</si>
  <si>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</si>
  <si>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</si>
  <si>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</si>
  <si>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</si>
  <si>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</si>
  <si>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</si>
  <si>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</si>
  <si>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</si>
  <si>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</si>
  <si>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</si>
  <si>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</si>
  <si>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</si>
  <si>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</si>
  <si>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</si>
  <si>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</si>
  <si>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</si>
  <si>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</si>
  <si>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</si>
  <si>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</si>
  <si>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</si>
  <si>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</si>
  <si>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</si>
  <si>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</si>
  <si>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</si>
  <si>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</si>
  <si>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</si>
  <si>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</si>
  <si>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</si>
  <si>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</si>
  <si>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</si>
  <si>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</si>
  <si>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</si>
  <si>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</si>
  <si>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</si>
  <si>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</si>
  <si>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</si>
  <si>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</si>
  <si>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</si>
  <si>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</si>
  <si>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</si>
  <si>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</si>
  <si>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</si>
  <si>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</si>
  <si>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</si>
  <si>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</si>
  <si>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</si>
  <si>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</si>
  <si>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</si>
  <si>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</si>
  <si>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</si>
  <si>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</si>
  <si>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</si>
  <si>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</si>
  <si>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</si>
  <si>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</si>
  <si>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</si>
  <si>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</si>
  <si>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</si>
  <si>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</si>
  <si>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</si>
  <si>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</si>
  <si>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</si>
  <si>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</si>
  <si>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</si>
  <si>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</si>
  <si>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</si>
  <si>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</si>
  <si>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</si>
  <si>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</si>
  <si>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</si>
  <si>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</si>
  <si>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</si>
  <si>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</si>
  <si>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</si>
  <si>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</si>
  <si>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</si>
  <si>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</si>
  <si>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</si>
  <si>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</si>
  <si>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</si>
  <si>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</si>
  <si>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</si>
  <si>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</si>
  <si>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</si>
  <si>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</si>
  <si>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</si>
  <si>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</si>
  <si>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</si>
  <si>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</si>
  <si>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</si>
  <si>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</si>
  <si>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</si>
  <si>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</si>
  <si>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</si>
  <si>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</si>
  <si>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</si>
  <si>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</si>
  <si>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</si>
  <si>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</si>
  <si>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</si>
  <si>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</si>
  <si>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</si>
  <si>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</si>
  <si>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</si>
  <si>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</si>
  <si>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</si>
  <si>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</si>
  <si>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</si>
  <si>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</si>
  <si>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</si>
  <si>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</si>
  <si>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</si>
  <si>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</si>
  <si>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</si>
  <si>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</si>
  <si>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</si>
  <si>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</si>
  <si>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</si>
  <si>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</si>
  <si>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</si>
  <si>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</si>
  <si>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</si>
  <si>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</si>
  <si>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</si>
  <si>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</si>
  <si>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</si>
  <si>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</si>
  <si>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</si>
  <si>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</si>
  <si>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</si>
  <si>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</si>
  <si>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</si>
  <si>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</si>
  <si>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</si>
  <si>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</si>
  <si>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</si>
  <si>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</si>
  <si>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</si>
  <si>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</si>
  <si>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</si>
  <si>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</si>
  <si>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</si>
  <si>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</si>
  <si>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</si>
  <si>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</si>
  <si>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</si>
  <si>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</si>
  <si>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</si>
  <si>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</si>
  <si>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</si>
  <si>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</si>
  <si>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</si>
  <si>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</si>
  <si>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</si>
  <si>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</si>
  <si>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</si>
  <si>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</si>
  <si>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</si>
  <si>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</si>
  <si>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</si>
  <si>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</si>
  <si>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</si>
  <si>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</si>
  <si>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</si>
  <si>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</si>
  <si>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</si>
  <si>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</si>
  <si>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</si>
  <si>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</si>
  <si>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</si>
  <si>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</si>
  <si>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</si>
  <si>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</si>
  <si>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</si>
  <si>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</si>
  <si>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</si>
  <si>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</si>
  <si>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</si>
  <si>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</si>
  <si>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</si>
  <si>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</si>
  <si>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</si>
  <si>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</si>
  <si>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</si>
  <si>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</si>
  <si>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</si>
  <si>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</si>
  <si>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</si>
  <si>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</si>
  <si>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</si>
  <si>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</si>
  <si>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</si>
  <si>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</si>
  <si>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</si>
  <si>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</si>
  <si>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</si>
  <si>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</si>
  <si>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</si>
  <si>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</si>
  <si>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</si>
  <si>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</si>
  <si>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</si>
  <si>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</si>
  <si>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</si>
  <si>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</si>
  <si>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</si>
  <si>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</si>
  <si>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</si>
  <si>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</si>
  <si>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</si>
  <si>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</si>
  <si>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</si>
  <si>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</si>
  <si>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</si>
  <si>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</si>
  <si>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</si>
  <si>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</si>
  <si>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</si>
  <si>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</si>
  <si>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</si>
  <si>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</si>
  <si>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</si>
  <si>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</si>
  <si>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</si>
  <si>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</si>
  <si>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</si>
  <si>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</si>
  <si>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</si>
  <si>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</si>
  <si>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</si>
  <si>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</si>
  <si>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</si>
  <si>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</si>
  <si>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</si>
  <si>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</si>
  <si>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</si>
  <si>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</si>
  <si>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</si>
  <si>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</si>
  <si>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</si>
  <si>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</si>
  <si>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</si>
  <si>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</si>
  <si>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</si>
  <si>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</si>
  <si>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</si>
  <si>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</si>
  <si>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</si>
  <si>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</si>
  <si>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</si>
  <si>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</si>
  <si>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</si>
  <si>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</si>
  <si>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</si>
  <si>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</si>
  <si>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</si>
  <si>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</si>
  <si>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</si>
  <si>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</si>
  <si>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</si>
  <si>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</si>
  <si>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</si>
  <si>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</si>
  <si>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</si>
  <si>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</si>
  <si>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</si>
  <si>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</si>
  <si>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</si>
  <si>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</si>
  <si>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</si>
  <si>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</si>
  <si>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</si>
  <si>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</si>
  <si>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</si>
  <si>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</si>
  <si>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</si>
  <si>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</si>
  <si>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</si>
  <si>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</si>
  <si>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</si>
  <si>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</si>
  <si>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</si>
  <si>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</si>
  <si>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</si>
  <si>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</si>
  <si>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</si>
  <si>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</si>
  <si>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</si>
  <si>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</si>
  <si>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</si>
  <si>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</si>
  <si>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</si>
  <si>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</si>
  <si>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</si>
  <si>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</si>
  <si>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</si>
  <si>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</si>
  <si>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</si>
  <si>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</si>
  <si>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</si>
  <si>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</si>
  <si>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</si>
  <si>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</si>
  <si>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</si>
  <si>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</si>
  <si>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</si>
  <si>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</si>
  <si>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</si>
  <si>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</si>
  <si>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</si>
  <si>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</si>
  <si>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</si>
  <si>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</si>
  <si>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</si>
  <si>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</si>
  <si>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</si>
  <si>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</si>
  <si>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</si>
  <si>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</si>
  <si>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</si>
  <si>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</si>
  <si>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</si>
  <si>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</si>
  <si>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</si>
  <si>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</si>
  <si>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</si>
  <si>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</si>
  <si>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</si>
  <si>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</si>
  <si>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</si>
  <si>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</si>
  <si>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</si>
  <si>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</si>
  <si>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</si>
  <si>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</si>
  <si>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</si>
  <si>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</si>
  <si>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</si>
  <si>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</si>
  <si>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</si>
  <si>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</si>
  <si>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</si>
  <si>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</si>
  <si>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</si>
  <si>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</si>
  <si>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</si>
  <si>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</si>
  <si>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</si>
  <si>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</si>
  <si>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</si>
  <si>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</si>
  <si>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</si>
  <si>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</si>
  <si>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</si>
  <si>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</si>
  <si>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</si>
  <si>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</si>
  <si>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</si>
  <si>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</si>
  <si>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</si>
  <si>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</si>
  <si>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</si>
  <si>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</si>
  <si>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</si>
  <si>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</si>
  <si>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</si>
  <si>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</si>
  <si>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</si>
  <si>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</si>
  <si>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</si>
  <si>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</si>
  <si>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</si>
  <si>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</si>
  <si>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</si>
  <si>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</si>
  <si>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</si>
  <si>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</si>
  <si>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</si>
  <si>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</si>
  <si>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</si>
  <si>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</si>
  <si>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</si>
  <si>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</si>
  <si>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</si>
  <si>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</si>
  <si>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</si>
  <si>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</si>
  <si>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</si>
  <si>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</si>
  <si>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</si>
  <si>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</si>
  <si>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</si>
  <si>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</si>
  <si>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</si>
  <si>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</si>
  <si>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</si>
  <si>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</si>
  <si>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</si>
  <si>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</si>
  <si>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</si>
  <si>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</si>
  <si>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</si>
  <si>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</si>
  <si>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</si>
  <si>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</si>
  <si>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</si>
  <si>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</si>
  <si>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</si>
  <si>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</si>
  <si>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</si>
  <si>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</si>
  <si>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</si>
  <si>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</si>
  <si>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</si>
  <si>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</si>
  <si>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</si>
  <si>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</si>
  <si>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</si>
  <si>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</si>
  <si>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</si>
  <si>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</si>
  <si>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</si>
  <si>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</si>
  <si>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</si>
  <si>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</si>
  <si>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</si>
  <si>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</si>
  <si>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</si>
  <si>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</si>
  <si>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</si>
  <si>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</si>
  <si>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</si>
  <si>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</si>
  <si>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</si>
  <si>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</si>
  <si>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</si>
  <si>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</si>
  <si>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</si>
  <si>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</si>
  <si>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</si>
  <si>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</si>
  <si>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</si>
  <si>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</si>
  <si>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</si>
  <si>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</si>
  <si>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</si>
  <si>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</si>
  <si>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</si>
  <si>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</si>
  <si>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</si>
  <si>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</si>
  <si>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</si>
  <si>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</si>
  <si>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</si>
  <si>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</si>
  <si>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</si>
  <si>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</si>
  <si>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</si>
  <si>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</si>
  <si>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</si>
  <si>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</si>
  <si>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</si>
  <si>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</si>
  <si>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</si>
  <si>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</si>
  <si>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</si>
  <si>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</si>
  <si>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</si>
  <si>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</si>
  <si>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</si>
  <si>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</si>
  <si>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</si>
  <si>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</si>
  <si>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</si>
  <si>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</si>
  <si>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</si>
  <si>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</si>
  <si>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</si>
  <si>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</si>
  <si>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</si>
  <si>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</si>
  <si>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</si>
  <si>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</si>
  <si>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</si>
  <si>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</si>
  <si>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</si>
  <si>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</si>
  <si>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</si>
  <si>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</si>
  <si>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</si>
  <si>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</si>
  <si>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</si>
  <si>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</si>
  <si>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</si>
  <si>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</si>
  <si>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</si>
  <si>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</si>
  <si>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</si>
  <si>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</si>
  <si>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</si>
  <si>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</si>
  <si>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</si>
  <si>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</si>
  <si>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</si>
  <si>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</si>
  <si>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</si>
  <si>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</si>
  <si>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</si>
  <si>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</si>
  <si>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</si>
  <si>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</si>
  <si>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</si>
  <si>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</si>
  <si>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</si>
  <si>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</si>
  <si>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</si>
  <si>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</si>
  <si>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</si>
  <si>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</si>
  <si>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</si>
  <si>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</si>
  <si>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</si>
  <si>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</si>
  <si>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</si>
  <si>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</si>
  <si>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</si>
  <si>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</si>
  <si>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</si>
  <si>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</si>
  <si>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</si>
  <si>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</si>
  <si>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</si>
  <si>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</si>
  <si>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</si>
  <si>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</si>
  <si>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</si>
  <si>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</si>
  <si>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</si>
  <si>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</si>
  <si>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</si>
  <si>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</si>
  <si>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</si>
  <si>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</si>
  <si>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</si>
  <si>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</si>
  <si>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</si>
  <si>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</si>
  <si>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</si>
  <si>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</si>
  <si>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</si>
  <si>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</si>
  <si>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</si>
  <si>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</si>
  <si>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</si>
  <si>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</si>
  <si>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</si>
  <si>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</si>
  <si>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</si>
  <si>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</si>
  <si>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</si>
  <si>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</si>
  <si>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</si>
  <si>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</si>
  <si>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</si>
  <si>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</si>
  <si>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</si>
  <si>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</si>
  <si>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</si>
  <si>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</si>
  <si>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</si>
  <si>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</si>
  <si>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</si>
  <si>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</si>
  <si>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</si>
  <si>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</si>
  <si>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</si>
  <si>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</si>
  <si>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</si>
  <si>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</si>
  <si>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</si>
  <si>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</si>
  <si>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</si>
  <si>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</si>
  <si>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</si>
  <si>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</si>
  <si>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</si>
  <si>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</si>
  <si>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</si>
  <si>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</si>
  <si>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</si>
  <si>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</si>
  <si>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</si>
  <si>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</si>
  <si>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</si>
  <si>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</si>
  <si>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</si>
  <si>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</si>
  <si>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</si>
  <si>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</si>
  <si>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</si>
  <si>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</si>
  <si>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</si>
  <si>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</si>
  <si>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</si>
  <si>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</si>
  <si>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</si>
  <si>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</si>
  <si>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</si>
  <si>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</si>
  <si>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</si>
  <si>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</si>
  <si>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</si>
  <si>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</si>
  <si>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</si>
  <si>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</si>
  <si>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</si>
  <si>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</si>
  <si>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</si>
  <si>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</si>
  <si>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</si>
  <si>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</si>
  <si>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</si>
  <si>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</si>
  <si>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</si>
  <si>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</si>
  <si>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</si>
  <si>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</si>
  <si>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</si>
  <si>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</si>
  <si>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</si>
  <si>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</si>
  <si>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</si>
  <si>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</si>
  <si>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</si>
  <si>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</si>
  <si>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</si>
  <si>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</si>
  <si>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</si>
  <si>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</si>
  <si>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</si>
  <si>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</si>
  <si>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</si>
  <si>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</si>
  <si>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</si>
  <si>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</si>
  <si>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</si>
  <si>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</si>
  <si>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</si>
  <si>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</si>
  <si>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</si>
  <si>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</si>
  <si>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</si>
  <si>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</si>
  <si>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</si>
  <si>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</si>
  <si>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</si>
  <si>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</si>
  <si>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</si>
  <si>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</si>
  <si>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</si>
  <si>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</si>
  <si>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</si>
  <si>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</si>
  <si>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</si>
  <si>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</si>
  <si>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</si>
  <si>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</si>
  <si>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</si>
  <si>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</si>
  <si>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</si>
  <si>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</si>
  <si>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</si>
  <si>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</si>
  <si>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</si>
  <si>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</si>
  <si>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</si>
  <si>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</si>
  <si>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</si>
  <si>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</si>
  <si>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</si>
  <si>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</si>
  <si>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</si>
  <si>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</si>
  <si>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</si>
  <si>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</si>
  <si>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</si>
  <si>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</si>
  <si>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</si>
  <si>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</si>
  <si>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</si>
  <si>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</si>
  <si>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</si>
  <si>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</si>
  <si>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</si>
  <si>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</si>
  <si>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</si>
  <si>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</si>
  <si>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</si>
  <si>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</si>
  <si>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</si>
  <si>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</si>
  <si>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</si>
  <si>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</si>
  <si>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</si>
  <si>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</si>
  <si>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</si>
  <si>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</si>
  <si>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</si>
  <si>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</si>
  <si>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</si>
  <si>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</si>
  <si>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</si>
  <si>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</si>
  <si>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</si>
  <si>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</si>
  <si>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</si>
  <si>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</si>
  <si>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</si>
  <si>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</si>
  <si>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</si>
  <si>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</si>
  <si>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</si>
  <si>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</si>
  <si>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</si>
  <si>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</si>
  <si>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</si>
  <si>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</si>
  <si>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</si>
  <si>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</si>
  <si>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</si>
  <si>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</si>
  <si>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</si>
  <si>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</si>
  <si>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</si>
  <si>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</si>
  <si>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</si>
  <si>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</si>
  <si>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</si>
  <si>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</si>
  <si>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</si>
  <si>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</si>
  <si>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</si>
  <si>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</si>
  <si>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</si>
  <si>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</si>
  <si>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</si>
  <si>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</si>
  <si>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</si>
  <si>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</si>
  <si>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</si>
  <si>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</si>
  <si>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</si>
  <si>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</si>
  <si>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</si>
  <si>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</si>
  <si>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</si>
  <si>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</si>
  <si>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</si>
  <si>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</si>
  <si>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</si>
  <si>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</si>
  <si>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</si>
  <si>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</si>
  <si>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</si>
  <si>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</si>
  <si>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</si>
  <si>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</si>
  <si>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</si>
  <si>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</si>
  <si>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</si>
  <si>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</si>
  <si>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</si>
  <si>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</si>
  <si>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</si>
  <si>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</si>
  <si>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</si>
  <si>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</si>
  <si>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</si>
  <si>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</si>
  <si>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</si>
  <si>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</si>
  <si>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</si>
  <si>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</si>
  <si>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</si>
  <si>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</si>
  <si>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</si>
  <si>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</si>
  <si>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</si>
  <si>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</si>
  <si>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</si>
  <si>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</si>
  <si>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</si>
  <si>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</si>
  <si>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</si>
  <si>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</si>
  <si>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</si>
  <si>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</si>
  <si>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</si>
  <si>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</si>
  <si>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</si>
  <si>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</si>
  <si>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</si>
  <si>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</si>
  <si>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</si>
  <si>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</si>
  <si>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</si>
  <si>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</si>
  <si>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</si>
  <si>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</si>
  <si>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</si>
  <si>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</si>
  <si>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</si>
  <si>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</si>
  <si>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</si>
  <si>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</si>
  <si>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</si>
  <si>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</si>
  <si>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</si>
  <si>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</si>
  <si>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</si>
  <si>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</si>
  <si>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</si>
  <si>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</si>
  <si>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</si>
  <si>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</si>
  <si>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</si>
  <si>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</si>
  <si>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</si>
  <si>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</si>
  <si>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</si>
  <si>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</si>
  <si>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</si>
  <si>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</si>
  <si>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</si>
  <si>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</si>
  <si>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</si>
  <si>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</si>
  <si>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</si>
  <si>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</si>
  <si>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</si>
  <si>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</si>
  <si>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</si>
  <si>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</si>
  <si>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</si>
  <si>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</si>
  <si>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</si>
  <si>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</si>
  <si>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</si>
  <si>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</si>
  <si>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</si>
  <si>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</si>
  <si>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</si>
  <si>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</si>
  <si>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</si>
  <si>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</si>
  <si>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</si>
  <si>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</si>
  <si>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</si>
  <si>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</si>
  <si>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</si>
  <si>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</si>
  <si>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</si>
  <si>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</si>
  <si>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</si>
  <si>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</si>
  <si>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</si>
  <si>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</si>
  <si>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</si>
  <si>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</si>
  <si>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</si>
  <si>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</si>
  <si>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</si>
  <si>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</si>
  <si>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</si>
  <si>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</si>
  <si>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</si>
  <si>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</si>
  <si>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</si>
  <si>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</si>
  <si>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</si>
  <si>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</si>
  <si>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</si>
  <si>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</si>
  <si>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</si>
  <si>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</si>
  <si>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</si>
  <si>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</si>
  <si>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</si>
  <si>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</si>
  <si>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</si>
  <si>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</si>
  <si>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</si>
  <si>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</si>
  <si>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</si>
  <si>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</si>
  <si>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</si>
  <si>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</si>
  <si>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</si>
  <si>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</si>
  <si>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</si>
  <si>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</si>
  <si>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</si>
  <si>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</si>
  <si>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</si>
  <si>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</si>
  <si>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</si>
  <si>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</si>
  <si>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</si>
  <si>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</si>
  <si>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</si>
  <si>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</si>
  <si>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</si>
  <si>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</si>
  <si>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</si>
  <si>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</si>
  <si>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</si>
  <si>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</si>
  <si>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</si>
  <si>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</si>
  <si>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</si>
  <si>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</si>
  <si>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</si>
  <si>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</si>
  <si>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</si>
  <si>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</si>
  <si>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</si>
  <si>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</si>
  <si>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</si>
  <si>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</si>
  <si>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</si>
  <si>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</si>
  <si>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</si>
  <si>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</si>
  <si>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</si>
  <si>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</si>
  <si>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</si>
  <si>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</si>
  <si>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</si>
  <si>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</si>
  <si>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</si>
  <si>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</si>
  <si>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</si>
  <si>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</si>
  <si>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</si>
  <si>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</si>
  <si>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</si>
  <si>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</si>
  <si>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</si>
  <si>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</si>
  <si>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</si>
  <si>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</si>
  <si>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</si>
  <si>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</si>
  <si>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</si>
  <si>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</si>
  <si>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</si>
  <si>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</si>
  <si>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</si>
  <si>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</si>
  <si>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</si>
  <si>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</si>
  <si>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</si>
  <si>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</si>
  <si>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</si>
  <si>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</si>
  <si>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</si>
  <si>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</si>
  <si>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</si>
  <si>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</si>
  <si>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</si>
  <si>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</si>
  <si>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</si>
  <si>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</si>
  <si>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</si>
  <si>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</si>
  <si>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</si>
  <si>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</si>
  <si>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</si>
  <si>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</si>
  <si>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</si>
  <si>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</si>
  <si>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</si>
  <si>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</si>
  <si>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</si>
  <si>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</si>
  <si>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</si>
  <si>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</si>
  <si>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</si>
  <si>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</si>
  <si>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</si>
  <si>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</si>
  <si>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</si>
  <si>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</si>
  <si>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</si>
  <si>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</si>
  <si>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</si>
  <si>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</si>
  <si>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</si>
  <si>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</si>
  <si>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</si>
  <si>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</si>
  <si>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</si>
  <si>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</si>
  <si>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</si>
  <si>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</si>
  <si>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</si>
  <si>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</si>
  <si>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</si>
  <si>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</si>
  <si>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</si>
  <si>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</si>
  <si>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</si>
  <si>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</si>
  <si>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</si>
  <si>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</si>
  <si>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</si>
  <si>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</si>
  <si>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</si>
  <si>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</si>
  <si>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</si>
  <si>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</si>
  <si>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</si>
  <si>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</si>
  <si>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</si>
  <si>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</si>
  <si>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</si>
  <si>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</si>
  <si>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</si>
  <si>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</si>
  <si>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</si>
  <si>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</si>
  <si>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</si>
  <si>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</si>
  <si>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</si>
  <si>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</si>
  <si>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</si>
  <si>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</si>
  <si>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</si>
  <si>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</si>
  <si>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</si>
  <si>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</si>
  <si>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</si>
  <si>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</si>
  <si>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</si>
  <si>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</si>
  <si>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</si>
  <si>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</si>
  <si>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</si>
  <si>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</si>
  <si>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</si>
  <si>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</si>
  <si>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</si>
  <si>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</si>
  <si>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</si>
  <si>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</si>
  <si>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</si>
  <si>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</si>
  <si>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</si>
  <si>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</si>
  <si>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</si>
  <si>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</si>
  <si>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</si>
  <si>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</si>
  <si>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</si>
  <si>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</si>
  <si>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</si>
  <si>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</si>
  <si>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</si>
  <si>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</si>
  <si>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</si>
  <si>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</si>
  <si>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</si>
  <si>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</si>
  <si>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</si>
  <si>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</si>
  <si>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</si>
  <si>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</si>
  <si>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</si>
  <si>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</si>
  <si>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</si>
  <si>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</si>
  <si>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</si>
  <si>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</si>
  <si>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</si>
  <si>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</si>
  <si>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</si>
  <si>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</si>
  <si>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</si>
  <si>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</si>
  <si>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</si>
  <si>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</si>
  <si>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</si>
  <si>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</si>
  <si>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</si>
  <si>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</si>
  <si>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</si>
  <si>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</si>
  <si>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</si>
  <si>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</si>
  <si>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</si>
  <si>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</si>
  <si>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</si>
  <si>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</si>
  <si>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</si>
  <si>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</si>
  <si>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</si>
  <si>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</si>
  <si>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</si>
  <si>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</si>
  <si>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</si>
  <si>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</si>
  <si>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</si>
  <si>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</si>
  <si>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</si>
  <si>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</si>
  <si>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</si>
  <si>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</si>
  <si>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</si>
  <si>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</si>
  <si>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</si>
  <si>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</si>
  <si>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</si>
  <si>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</si>
  <si>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</si>
  <si>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</si>
  <si>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</si>
  <si>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</si>
  <si>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</si>
  <si>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</si>
  <si>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</si>
  <si>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</si>
  <si>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</si>
  <si>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</si>
  <si>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</si>
  <si>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</si>
  <si>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</si>
  <si>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</si>
  <si>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</si>
  <si>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</si>
  <si>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</si>
  <si>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</si>
  <si>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</si>
  <si>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</si>
  <si>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</si>
  <si>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</si>
  <si>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</si>
  <si>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</si>
  <si>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</si>
  <si>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</si>
  <si>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</si>
  <si>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</si>
  <si>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</si>
  <si>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</si>
  <si>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</si>
  <si>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</si>
  <si>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</si>
  <si>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</si>
  <si>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</si>
  <si>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</si>
  <si>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</si>
  <si>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</si>
  <si>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</si>
  <si>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</si>
  <si>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</si>
  <si>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</si>
  <si>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</si>
  <si>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</si>
  <si>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</si>
  <si>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</si>
  <si>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</si>
  <si>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</si>
  <si>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</si>
  <si>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</si>
  <si>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</si>
  <si>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</si>
  <si>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</si>
  <si>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</si>
  <si>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</si>
  <si>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</si>
  <si>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</si>
  <si>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</si>
  <si>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</si>
  <si>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</si>
  <si>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</si>
  <si>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</si>
  <si>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</si>
  <si>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</si>
  <si>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</si>
  <si>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</si>
  <si>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</si>
  <si>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</si>
  <si>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</si>
  <si>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</si>
  <si>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</si>
  <si>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</si>
  <si>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</si>
  <si>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</si>
  <si>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</si>
  <si>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</si>
  <si>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</si>
  <si>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</si>
  <si>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</si>
  <si>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</si>
  <si>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</si>
  <si>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</si>
  <si>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</si>
  <si>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</si>
  <si>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</si>
  <si>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</si>
  <si>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</si>
  <si>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</si>
  <si>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</si>
  <si>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</si>
  <si>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</si>
  <si>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</si>
  <si>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</si>
  <si>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</si>
  <si>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</si>
  <si>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</si>
  <si>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</si>
  <si>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</si>
  <si>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</si>
  <si>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</si>
  <si>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</si>
  <si>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</si>
  <si>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</si>
  <si>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</si>
  <si>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</si>
  <si>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</si>
  <si>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</si>
  <si>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</si>
  <si>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</si>
  <si>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</si>
  <si>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</si>
  <si>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</si>
  <si>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</si>
  <si>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</si>
  <si>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</si>
  <si>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</si>
  <si>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</si>
  <si>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</si>
  <si>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</si>
  <si>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</si>
  <si>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</si>
  <si>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</si>
  <si>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</si>
  <si>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</si>
  <si>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</si>
  <si>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</si>
  <si>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</si>
  <si>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</si>
  <si>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</si>
  <si>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</si>
  <si>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</si>
  <si>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</si>
  <si>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</si>
  <si>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</si>
  <si>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</si>
  <si>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</si>
  <si>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</si>
  <si>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</si>
  <si>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</si>
  <si>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</si>
  <si>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</si>
  <si>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</si>
  <si>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</si>
  <si>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</si>
  <si>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</si>
  <si>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</si>
  <si>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</si>
  <si>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</si>
  <si>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</si>
  <si>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</si>
  <si>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</si>
  <si>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</si>
  <si>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</si>
  <si>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</si>
  <si>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</si>
  <si>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</si>
  <si>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</si>
  <si>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</si>
  <si>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</si>
  <si>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</si>
  <si>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</si>
  <si>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</si>
  <si>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</si>
  <si>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</si>
  <si>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</si>
  <si>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</si>
  <si>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</si>
  <si>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</si>
  <si>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</si>
  <si>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</si>
  <si>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</si>
  <si>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</si>
  <si>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</si>
  <si>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</si>
  <si>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</si>
  <si>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</si>
  <si>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</si>
  <si>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</si>
  <si>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</si>
  <si>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</si>
  <si>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</si>
  <si>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</si>
  <si>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</si>
  <si>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</si>
  <si>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</si>
  <si>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</si>
  <si>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</si>
  <si>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</si>
  <si>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</si>
  <si>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</si>
  <si>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</si>
  <si>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</si>
  <si>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</si>
  <si>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</si>
  <si>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</si>
  <si>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</si>
  <si>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</si>
  <si>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</si>
  <si>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</si>
  <si>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</si>
  <si>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</si>
  <si>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</si>
  <si>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</si>
  <si>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</si>
  <si>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</si>
  <si>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</si>
  <si>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</si>
  <si>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</si>
  <si>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</si>
  <si>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</si>
  <si>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</si>
  <si>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</si>
  <si>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</si>
  <si>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</si>
  <si>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</si>
  <si>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</si>
  <si>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</si>
  <si>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</si>
  <si>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</si>
  <si>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</si>
  <si>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</si>
  <si>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</si>
  <si>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</si>
  <si>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</si>
  <si>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</si>
  <si>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</si>
  <si>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</si>
  <si>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</si>
  <si>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</si>
  <si>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</si>
  <si>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</si>
  <si>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</si>
  <si>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</si>
  <si>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</si>
  <si>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</si>
  <si>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</si>
  <si>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</si>
  <si>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</si>
  <si>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</si>
  <si>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</si>
  <si>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</si>
  <si>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</si>
  <si>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</si>
  <si>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</si>
  <si>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</si>
  <si>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</si>
  <si>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</si>
  <si>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</si>
  <si>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</si>
  <si>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</si>
  <si>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</si>
  <si>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</si>
  <si>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</si>
  <si>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</si>
  <si>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</si>
  <si>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</si>
  <si>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</si>
  <si>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</si>
  <si>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</si>
  <si>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</si>
  <si>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</si>
  <si>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</si>
  <si>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</si>
  <si>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</si>
  <si>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</si>
  <si>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</si>
  <si>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</si>
  <si>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</si>
  <si>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</si>
  <si>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</si>
  <si>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</si>
  <si>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</si>
  <si>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</si>
  <si>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</si>
  <si>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</si>
  <si>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</si>
  <si>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</si>
  <si>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</si>
  <si>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</si>
  <si>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</si>
  <si>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</si>
  <si>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</si>
  <si>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</si>
  <si>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</si>
  <si>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</si>
  <si>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</si>
  <si>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</si>
  <si>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</si>
  <si>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</si>
  <si>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</si>
  <si>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</si>
  <si>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</si>
  <si>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</si>
  <si>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</si>
  <si>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</si>
  <si>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</si>
  <si>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</si>
  <si>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</si>
  <si>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</si>
  <si>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</si>
  <si>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</si>
  <si>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</si>
  <si>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</si>
  <si>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</si>
  <si>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</si>
  <si>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</si>
  <si>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</si>
  <si>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</si>
  <si>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</si>
  <si>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</si>
  <si>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</si>
  <si>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</si>
  <si>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</si>
  <si>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</si>
  <si>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</si>
  <si>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</si>
  <si>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</si>
  <si>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</si>
  <si>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</si>
  <si>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</si>
  <si>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</si>
  <si>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</si>
  <si>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</si>
  <si>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</si>
  <si>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</si>
  <si>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</si>
  <si>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</si>
  <si>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</si>
  <si>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</si>
  <si>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</si>
  <si>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</si>
  <si>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</si>
  <si>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</si>
  <si>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</si>
  <si>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</si>
  <si>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</si>
  <si>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</si>
  <si>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</si>
  <si>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</si>
  <si>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</si>
  <si>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</si>
  <si>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</si>
  <si>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</si>
  <si>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</si>
  <si>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</si>
  <si>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</si>
  <si>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</si>
  <si>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</si>
  <si>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</si>
  <si>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</si>
  <si>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</si>
  <si>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</si>
  <si>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</si>
  <si>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</si>
  <si>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</si>
  <si>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</si>
  <si>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</si>
  <si>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</si>
  <si>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</si>
  <si>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</si>
  <si>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</si>
  <si>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</si>
  <si>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</si>
  <si>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</si>
  <si>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</si>
  <si>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</si>
  <si>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</si>
  <si>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</si>
  <si>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</si>
  <si>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</si>
  <si>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</si>
  <si>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</si>
  <si>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</si>
  <si>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</si>
  <si>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</si>
  <si>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</si>
  <si>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</si>
  <si>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</si>
  <si>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</si>
  <si>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</si>
  <si>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</si>
  <si>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</si>
  <si>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</si>
  <si>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</si>
  <si>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</si>
  <si>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</si>
  <si>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</si>
  <si>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</si>
  <si>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</si>
  <si>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</si>
  <si>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</si>
  <si>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</si>
  <si>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</si>
  <si>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</si>
  <si>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</si>
  <si>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</si>
  <si>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</si>
  <si>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</si>
  <si>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</si>
  <si>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</si>
  <si>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</si>
  <si>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</si>
  <si>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</si>
  <si>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</si>
  <si>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</si>
  <si>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</si>
  <si>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</si>
  <si>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</si>
  <si>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</si>
  <si>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</si>
  <si>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</si>
  <si>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</si>
  <si>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</si>
  <si>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</si>
  <si>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</si>
  <si>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</si>
  <si>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</si>
  <si>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</si>
  <si>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</si>
  <si>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</si>
  <si>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</si>
  <si>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</si>
  <si>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</si>
  <si>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</si>
  <si>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</si>
  <si>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</si>
  <si>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</si>
  <si>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</si>
  <si>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</si>
  <si>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</si>
  <si>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</si>
  <si>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</si>
  <si>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</si>
  <si>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</si>
  <si>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</si>
  <si>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</si>
  <si>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</si>
  <si>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</si>
  <si>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</si>
  <si>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</si>
  <si>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</si>
  <si>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</si>
  <si>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</si>
  <si>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</si>
  <si>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</si>
  <si>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</si>
  <si>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</si>
  <si>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</si>
  <si>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</si>
  <si>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</si>
  <si>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</si>
  <si>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</si>
  <si>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</si>
  <si>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</si>
  <si>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</si>
  <si>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</si>
  <si>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</si>
  <si>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</si>
  <si>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</si>
  <si>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</si>
  <si>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</si>
  <si>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</si>
  <si>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</si>
  <si>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</si>
  <si>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</si>
  <si>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</si>
  <si>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</si>
  <si>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</si>
  <si>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</si>
  <si>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</si>
  <si>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</si>
  <si>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</si>
  <si>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</si>
  <si>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</si>
  <si>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</si>
  <si>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</si>
  <si>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</si>
  <si>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</si>
  <si>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</si>
  <si>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</si>
  <si>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</si>
  <si>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</si>
  <si>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</si>
  <si>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</si>
  <si>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</si>
  <si>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</si>
  <si>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</si>
  <si>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</si>
  <si>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</si>
  <si>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</si>
  <si>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</si>
  <si>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</si>
  <si>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</si>
  <si>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</si>
  <si>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</si>
  <si>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</si>
  <si>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</si>
  <si>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</si>
  <si>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</si>
  <si>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</si>
  <si>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</si>
  <si>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</si>
  <si>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</si>
  <si>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</si>
  <si>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</si>
  <si>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</si>
  <si>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</si>
  <si>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</si>
  <si>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</si>
  <si>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</si>
  <si>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</si>
  <si>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</si>
  <si>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</si>
  <si>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</si>
  <si>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</si>
  <si>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</si>
  <si>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</si>
  <si>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</si>
  <si>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</si>
  <si>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</si>
  <si>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</si>
  <si>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</si>
  <si>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</si>
  <si>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</si>
  <si>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</si>
  <si>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</si>
  <si>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</si>
  <si>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</si>
  <si>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</si>
  <si>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</si>
  <si>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</si>
  <si>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</si>
  <si>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</si>
  <si>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</si>
  <si>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</si>
  <si>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</si>
  <si>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</si>
  <si>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</si>
  <si>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</si>
  <si>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</si>
  <si>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</si>
  <si>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</si>
  <si>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</si>
  <si>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</si>
  <si>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</si>
  <si>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</si>
  <si>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</si>
  <si>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</si>
  <si>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</si>
  <si>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</si>
  <si>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</si>
  <si>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</si>
  <si>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</si>
  <si>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</si>
  <si>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</si>
  <si>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</si>
  <si>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</si>
  <si>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</si>
  <si>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</si>
  <si>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</si>
  <si>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</si>
  <si>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</si>
  <si>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</si>
  <si>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</si>
  <si>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</si>
  <si>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</si>
  <si>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</si>
  <si>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</si>
  <si>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</si>
  <si>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</si>
  <si>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</si>
  <si>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</si>
  <si>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</si>
  <si>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</si>
  <si>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</si>
  <si>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</si>
  <si>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</si>
  <si>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</si>
  <si>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</si>
  <si>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</si>
  <si>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</si>
  <si>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</si>
  <si>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</si>
  <si>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</si>
  <si>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</si>
  <si>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</si>
  <si>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</si>
  <si>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</si>
  <si>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</si>
  <si>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</si>
  <si>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</si>
  <si>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</si>
  <si>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</si>
  <si>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</si>
  <si>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</si>
  <si>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</si>
  <si>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</si>
  <si>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</si>
  <si>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</si>
  <si>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</si>
  <si>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</si>
  <si>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</si>
  <si>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</si>
  <si>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</si>
  <si>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</si>
  <si>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</si>
  <si>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</si>
  <si>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</si>
  <si>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</si>
  <si>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</si>
  <si>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</si>
  <si>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</si>
  <si>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</si>
  <si>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</si>
  <si>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</si>
  <si>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</si>
  <si>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</si>
  <si>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</si>
  <si>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</si>
  <si>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</si>
  <si>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</si>
  <si>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</si>
  <si>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</si>
  <si>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</si>
  <si>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</si>
  <si>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</si>
  <si>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</si>
  <si>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</si>
  <si>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</si>
  <si>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</si>
  <si>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</si>
  <si>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</si>
  <si>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</si>
  <si>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</si>
  <si>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</si>
  <si>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</si>
  <si>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</si>
  <si>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</si>
  <si>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</si>
  <si>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</si>
  <si>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</si>
  <si>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</si>
  <si>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</si>
  <si>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</si>
  <si>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</si>
  <si>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</si>
  <si>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</si>
  <si>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</si>
  <si>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</si>
  <si>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</si>
  <si>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</si>
  <si>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</si>
  <si>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</si>
  <si>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</si>
  <si>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</si>
  <si>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</si>
  <si>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</si>
  <si>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</si>
  <si>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</si>
  <si>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</si>
  <si>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</si>
  <si>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</si>
  <si>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</si>
  <si>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</si>
  <si>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</si>
  <si>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</si>
  <si>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</si>
  <si>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</si>
  <si>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</si>
  <si>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</si>
  <si>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</si>
  <si>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</si>
  <si>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</si>
  <si>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</si>
  <si>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</si>
  <si>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</si>
  <si>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</si>
  <si>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</si>
  <si>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</si>
  <si>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</si>
  <si>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</si>
  <si>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</si>
  <si>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</si>
  <si>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</si>
  <si>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</si>
  <si>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</si>
  <si>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</si>
  <si>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</si>
  <si>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</si>
  <si>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EMCal Trunk cables</t>
  </si>
  <si>
    <t>Hcal Trunk cables</t>
  </si>
  <si>
    <t>MIE part</t>
  </si>
  <si>
    <t>Diffuse Laser Additions (6 * $45K - $100K left in P6)</t>
  </si>
  <si>
    <t>EMCal signal cables (92.8 % of P6 activity line is trunk signal cables)</t>
  </si>
  <si>
    <t>HCal signal cables (83.1% of P6 activity line is trunk signal cables)</t>
  </si>
  <si>
    <t>Sum of adjustments above</t>
  </si>
  <si>
    <t>TOTALs for "Fractions"</t>
  </si>
  <si>
    <t>Above</t>
  </si>
  <si>
    <t>Contracting Categories</t>
  </si>
  <si>
    <t>Contract Price (expected MIE share of Webreq)</t>
  </si>
  <si>
    <t>TOTAL Budget</t>
  </si>
  <si>
    <t>M&amp;S Fraction Under Contract</t>
  </si>
  <si>
    <t>M&amp;S Fraction Pay-as-you-go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</si>
  <si>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</si>
  <si>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</si>
  <si>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</si>
  <si>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</si>
  <si>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</si>
  <si>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Pay-as-you-go</t>
  </si>
  <si>
    <t>Updated ETC M&amp;S To-Be-Contracted</t>
  </si>
  <si>
    <t>Updated ETC Labor Underway</t>
  </si>
  <si>
    <t>Updated ETC Labor Pay-as-you-go (e.g. LOE)</t>
  </si>
  <si>
    <t>Updated ETC Labor To-Be-Started</t>
  </si>
  <si>
    <t>Added expected cost for signal cables (Contract price - sum of four P6 items above)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</si>
  <si>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</si>
  <si>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</si>
  <si>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</si>
  <si>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</si>
  <si>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</si>
  <si>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</si>
  <si>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</si>
  <si>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</si>
  <si>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Open Commitment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</si>
  <si>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</si>
  <si>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</si>
  <si>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</si>
  <si>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</si>
  <si>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</si>
  <si>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</si>
  <si>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</si>
  <si>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</si>
  <si>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</si>
  <si>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</si>
  <si>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</si>
  <si>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</si>
  <si>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</si>
  <si>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Prep for Prototype prod</t>
  </si>
  <si>
    <t>Wayne State U</t>
  </si>
  <si>
    <t>Lab set up for sPHENIX</t>
  </si>
  <si>
    <t>Temple U</t>
  </si>
  <si>
    <t>1.2.5</t>
  </si>
  <si>
    <t>TPC FEE</t>
  </si>
  <si>
    <t>LV Bulk Supplies</t>
  </si>
  <si>
    <t>Mannel</t>
  </si>
  <si>
    <t>Vicor Corp</t>
  </si>
  <si>
    <t>LV Supplies for sPHENIX</t>
  </si>
  <si>
    <t>TPC FEE prototype v2 as</t>
  </si>
  <si>
    <t>Sakaguchi</t>
  </si>
  <si>
    <t>AA Technology</t>
  </si>
  <si>
    <t>PARPRO Technologies Inc</t>
  </si>
  <si>
    <t>sPHENIX TPC FEE PCB</t>
  </si>
  <si>
    <t>Palpilot International Corporation</t>
  </si>
  <si>
    <t>sPHENIX TPC FEE FPGA</t>
  </si>
  <si>
    <t>Avnet In</t>
  </si>
  <si>
    <t>sPHENIX TPC LV 12AWG cable</t>
  </si>
  <si>
    <t>Allied Wire &amp; Cable</t>
  </si>
  <si>
    <t>sPHENIX TPC LV 18AWG cable</t>
  </si>
  <si>
    <t>Mouser Electronics Inc</t>
  </si>
  <si>
    <t>1.2.6</t>
  </si>
  <si>
    <t>TPC DAM</t>
  </si>
  <si>
    <t>DellaPenna</t>
  </si>
  <si>
    <t>AA Technology Inc</t>
  </si>
  <si>
    <t>Data Acquisitions PCs</t>
  </si>
  <si>
    <t>Source Code dba Aberdeen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</si>
  <si>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</si>
  <si>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</si>
  <si>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</si>
  <si>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</si>
  <si>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</si>
  <si>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</si>
  <si>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</si>
  <si>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</si>
  <si>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</si>
  <si>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</si>
  <si>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</si>
  <si>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Light Diffuser</t>
  </si>
  <si>
    <t>Luminit LLC</t>
  </si>
  <si>
    <t>7 QLI Line Lasers for T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</si>
  <si>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</si>
  <si>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</si>
  <si>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</si>
  <si>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</si>
  <si>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</si>
  <si>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</si>
  <si>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</si>
  <si>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</si>
  <si>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</si>
  <si>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</si>
  <si>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</si>
  <si>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</si>
  <si>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</si>
  <si>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EMCal SiPM Copper cooling</t>
  </si>
  <si>
    <t>Nicholas Duda, LLC</t>
  </si>
  <si>
    <t>Therm Conductive Epoxy</t>
  </si>
  <si>
    <t>Pisani</t>
  </si>
  <si>
    <t>EMCal Sector Assembly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</si>
  <si>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</si>
  <si>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</si>
  <si>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</si>
  <si>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</si>
  <si>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</si>
  <si>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</si>
  <si>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4 Hilman Rollers</t>
  </si>
  <si>
    <t>Pontieri</t>
  </si>
  <si>
    <t>Hilman, Inc</t>
  </si>
  <si>
    <t>NativeVet Materiel, LLC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</si>
  <si>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</si>
  <si>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</si>
  <si>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</si>
  <si>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</si>
  <si>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</si>
  <si>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</si>
  <si>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</si>
  <si>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</si>
  <si>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</si>
  <si>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</si>
  <si>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</si>
  <si>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</si>
  <si>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</si>
  <si>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EMCal Signal Cable Sect</t>
  </si>
  <si>
    <t>Hcal SiPM Boards</t>
  </si>
  <si>
    <t>CEM Ltd</t>
  </si>
  <si>
    <t>EMCal Interior Signal Cables</t>
  </si>
  <si>
    <t>Connectors</t>
  </si>
  <si>
    <t>EMCal Scomm Transition Board</t>
  </si>
  <si>
    <t>RCE Manufacturing LLC</t>
  </si>
  <si>
    <t>Hcal Interface</t>
  </si>
  <si>
    <t>Vicor Corporation</t>
  </si>
  <si>
    <t>Techni-Tool Inc, a TestEquity Company</t>
  </si>
  <si>
    <t>EMCal SiPM board Assembly</t>
  </si>
  <si>
    <t>EMCal Preamp Boards</t>
  </si>
  <si>
    <t>Power Cables for Hcal</t>
  </si>
  <si>
    <t>Becker Electronics Inc</t>
  </si>
  <si>
    <t>Power Cables for Emcal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</si>
  <si>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</si>
  <si>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</si>
  <si>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</si>
  <si>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</si>
  <si>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</si>
  <si>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</si>
  <si>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</si>
  <si>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</si>
  <si>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</si>
  <si>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</si>
  <si>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File Servers and Racks</t>
  </si>
  <si>
    <t>Raid, Inc</t>
  </si>
  <si>
    <t>1.6.2</t>
  </si>
  <si>
    <t>LL-1</t>
  </si>
  <si>
    <t>sPHENIX Electronics (LL1 production)</t>
  </si>
  <si>
    <t>1.6.4</t>
  </si>
  <si>
    <t>Timing</t>
  </si>
  <si>
    <t>sPHENIX FFO Assembly</t>
  </si>
  <si>
    <t>sPHENIX FFO Asssembly</t>
  </si>
  <si>
    <t>Padrazo</t>
  </si>
  <si>
    <t>sPHENIX Final Fab MINIP</t>
  </si>
  <si>
    <t>Huang</t>
  </si>
  <si>
    <t>Avnet, Inc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</si>
  <si>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</si>
  <si>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</si>
  <si>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</si>
  <si>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</si>
  <si>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</si>
  <si>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</si>
  <si>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sPHENIX LN2 System</t>
  </si>
  <si>
    <t>Orfin</t>
  </si>
  <si>
    <t>Ability</t>
  </si>
  <si>
    <t>sPHENIX Turbo Gauges/Co</t>
  </si>
  <si>
    <t>Weiss, Daniel</t>
  </si>
  <si>
    <t>MKS Instruments</t>
  </si>
  <si>
    <t>sPHENIX valves</t>
  </si>
  <si>
    <t>Tallerico</t>
  </si>
  <si>
    <t>Control Associates Inc</t>
  </si>
  <si>
    <t>sPHENIX 20kW heaters</t>
  </si>
  <si>
    <t>Chromalox Inc c/o Faber Associates</t>
  </si>
  <si>
    <t>interface cable 3 meter</t>
  </si>
  <si>
    <t>Leybold USA Inc</t>
  </si>
  <si>
    <t>generator cable and RTD</t>
  </si>
  <si>
    <t>K C Electronic Distributors Inc</t>
  </si>
  <si>
    <t>Cryogenics system sPHENIX (Helium)</t>
  </si>
  <si>
    <t>Than, Yatming</t>
  </si>
  <si>
    <t>2.2.4</t>
  </si>
  <si>
    <t>Power Supply/QD</t>
  </si>
  <si>
    <t>standard 14 days (??)</t>
  </si>
  <si>
    <t>Schultheiss</t>
  </si>
  <si>
    <t>Holman's USA LLC</t>
  </si>
  <si>
    <t>2.3.3</t>
  </si>
  <si>
    <t>Barrel Steel</t>
  </si>
  <si>
    <t>Mass Crane 912 complex</t>
  </si>
  <si>
    <t>Streckenbach</t>
  </si>
  <si>
    <t>2.4.1</t>
  </si>
  <si>
    <t>Infrastructure - Detector</t>
  </si>
  <si>
    <t>Job Shopper - Peter Hamblen</t>
  </si>
  <si>
    <t>National Resource Management LLC</t>
  </si>
  <si>
    <t>Job Shopper - Joseph Curran</t>
  </si>
  <si>
    <t>Feder</t>
  </si>
  <si>
    <t>ION Computer Systems Inc</t>
  </si>
  <si>
    <t>Job Shopper - Jermaine Jo()</t>
  </si>
  <si>
    <t>United Global Technologies</t>
  </si>
  <si>
    <t>Electrical Connection B</t>
  </si>
  <si>
    <t>Vasquez</t>
  </si>
  <si>
    <t>H.H.Benfield Electric dba</t>
  </si>
  <si>
    <t>Fiber Optic System</t>
  </si>
  <si>
    <t>Fiber Instrument Sales</t>
  </si>
  <si>
    <t>Cable Tray System</t>
  </si>
  <si>
    <t>Power Distribution Panel</t>
  </si>
  <si>
    <t>2.4.2</t>
  </si>
  <si>
    <t>Infrastructure - Facilities</t>
  </si>
  <si>
    <t>Engineering Services</t>
  </si>
  <si>
    <t>Mills</t>
  </si>
  <si>
    <t>Burns &amp; McDonald Engineering Co</t>
  </si>
  <si>
    <t>Welding inspection for</t>
  </si>
  <si>
    <t>Quality Control Laboratories LLC</t>
  </si>
  <si>
    <t>sPHENIX Inspection and</t>
  </si>
  <si>
    <t>Al-Be beampipe for sPHENIX</t>
  </si>
  <si>
    <t>Nayak, Sumanta</t>
  </si>
  <si>
    <t>Materion Brush Inc</t>
  </si>
  <si>
    <t>EP1128654 C1008311VKVK</t>
  </si>
  <si>
    <t>Kearney</t>
  </si>
  <si>
    <t>Ferguson Enterprises</t>
  </si>
  <si>
    <t>Heat Exchanger Plates 1</t>
  </si>
  <si>
    <t>Tranter Inc</t>
  </si>
  <si>
    <t>(concrete track work)</t>
  </si>
  <si>
    <t>G&amp;M Earth Moving Inc</t>
  </si>
  <si>
    <t>2.1.5</t>
  </si>
  <si>
    <t>Installation Management</t>
  </si>
  <si>
    <t>sPHENX Inner Hcal support</t>
  </si>
  <si>
    <t>Xometry Inc</t>
  </si>
  <si>
    <t>sPHENIX InnerHCAl slider beam</t>
  </si>
  <si>
    <t>IHCal End Ring Attachments</t>
  </si>
  <si>
    <t>Installation</t>
  </si>
  <si>
    <t>Motor, gearbox and Cont</t>
  </si>
  <si>
    <t>Demino, Leo</t>
  </si>
  <si>
    <t>Design &amp; fab, silicon det (MVTX</t>
  </si>
  <si>
    <t>MIT (LNS)</t>
  </si>
  <si>
    <t>sPHENIX EMCal fixture a</t>
  </si>
  <si>
    <t>Carriage/Cradle</t>
  </si>
  <si>
    <t>sPHENIX Hydraulic Equip</t>
  </si>
  <si>
    <t>Mahler</t>
  </si>
  <si>
    <t>AWISCO Corp</t>
  </si>
  <si>
    <t>tilt saddle for sPHENIX</t>
  </si>
  <si>
    <t>Hock, Jon</t>
  </si>
  <si>
    <t>sPHENIX Magnet endcap</t>
  </si>
  <si>
    <t>2.3.1</t>
  </si>
  <si>
    <t>LSR, Inner Rings etc</t>
  </si>
  <si>
    <t>sPHENIX Magnet Support</t>
  </si>
  <si>
    <t>Holland, Robert</t>
  </si>
  <si>
    <t>Centerline Precision IN</t>
  </si>
  <si>
    <t>Large Support Ring Comp</t>
  </si>
  <si>
    <t>Sreck's Inc</t>
  </si>
  <si>
    <t>2.3.4</t>
  </si>
  <si>
    <t>Pole Tips</t>
  </si>
  <si>
    <t>sPHENIX End Cap Bracket</t>
  </si>
  <si>
    <t>Jacobi Industries</t>
  </si>
  <si>
    <t>sPHENIX Magnet Endcap d</t>
  </si>
  <si>
    <t>2.3.5</t>
  </si>
  <si>
    <t>Bridge, Platforms</t>
  </si>
  <si>
    <t>sPHENIX Floor Grating</t>
  </si>
  <si>
    <t>McNichols Company</t>
  </si>
  <si>
    <t>sPHENIX Platform parts</t>
  </si>
  <si>
    <t>Stairs for sPHENIX platform</t>
  </si>
  <si>
    <t>Panel Built</t>
  </si>
  <si>
    <t>2.3.2</t>
  </si>
  <si>
    <t>FELIX Production 56BD_A</t>
  </si>
  <si>
    <t>On Physics Monthly Summary List from KellyCarroll?</t>
  </si>
  <si>
    <t>Electronics Assembly Su</t>
  </si>
  <si>
    <t>REMARKS</t>
  </si>
  <si>
    <t>never placed</t>
  </si>
  <si>
    <t>Webreq amount appears. Will be replaced by contract amount shown in yellow</t>
  </si>
  <si>
    <t>Not placed yet</t>
  </si>
  <si>
    <t>Should be gone?</t>
  </si>
  <si>
    <t>Never placed</t>
  </si>
  <si>
    <t>Not appearing yet</t>
  </si>
  <si>
    <t>Spent money but appears as REQ</t>
  </si>
  <si>
    <t>Not placed yet, copper wire cost</t>
  </si>
  <si>
    <t>?????</t>
  </si>
  <si>
    <t>This section is a bit</t>
  </si>
  <si>
    <t>confused because</t>
  </si>
  <si>
    <t>sum of all items is</t>
  </si>
  <si>
    <t>$20K more than the</t>
  </si>
  <si>
    <t>commitments showing</t>
  </si>
  <si>
    <t xml:space="preserve">but latest item is </t>
  </si>
  <si>
    <t>$3K - not enough, and</t>
  </si>
  <si>
    <t>next item is $25K, too</t>
  </si>
  <si>
    <t>much - watch in future</t>
  </si>
  <si>
    <t>Mass Crane &amp; Hoist Services Inc</t>
  </si>
  <si>
    <t>Forecast Data (July status file - path June by hand)</t>
  </si>
  <si>
    <t>Corresponding P6 Sum, both placed and trying-to-place</t>
  </si>
  <si>
    <t>Notes on Commitments vs P6</t>
  </si>
  <si>
    <t>Correction for the ETC/EAC Estimate (Commit - P6)</t>
  </si>
  <si>
    <t>sPHENIX scintillator testing</t>
  </si>
  <si>
    <t>Unsupported 5-step ladder</t>
  </si>
  <si>
    <t>Open Commitment on B&amp;E Monthly Summary</t>
  </si>
  <si>
    <t>On Physics Monthly Summary List from KellyCarroll? (I.e. this sum appears to match)</t>
  </si>
  <si>
    <t>Burdened added cost for signal cables (above plus overhead)(on Kelley's list so not here)</t>
  </si>
  <si>
    <t>de-commit?</t>
  </si>
  <si>
    <t>Placed in early August</t>
  </si>
  <si>
    <t>Placed in late August</t>
  </si>
  <si>
    <t>EMCal Sector Assembly (sawteeth or cooling loops?)</t>
  </si>
  <si>
    <t>TOTAL CORRECTION</t>
  </si>
  <si>
    <t>JACK board for TPC FEE (verbal estimate)(reduce by $40K for AVNET FPGAs that will be in hand)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</si>
  <si>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July MIE total)</t>
    </r>
  </si>
  <si>
    <t>Calorimeter FEE</t>
  </si>
  <si>
    <t>ACWP from July 2021</t>
  </si>
  <si>
    <t>This is derived from the Open Commitments Cat A tab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</si>
  <si>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</si>
  <si>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</si>
  <si>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</si>
  <si>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</si>
  <si>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</si>
  <si>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</si>
  <si>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</si>
  <si>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IHCal assy A-Frame stand</t>
  </si>
  <si>
    <t>(I think these should all be under WBS 2.5 Installation and account 16727)</t>
  </si>
  <si>
    <t>note I include things under 16726</t>
  </si>
  <si>
    <r>
      <t xml:space="preserve">P6 Sums to Compare to B&amp;E/Kelly Carroll Values - </t>
    </r>
    <r>
      <rPr>
        <b/>
        <sz val="11"/>
        <color theme="1"/>
        <rFont val="Calibri"/>
        <family val="2"/>
        <scheme val="minor"/>
      </rPr>
      <t>M&amp;S ONLY</t>
    </r>
  </si>
  <si>
    <t>P6 Sums to Compare to B&amp;E/Kelly Carroll Values - only include things ordered and/or with Webreq; No pay-as-you-go labor</t>
  </si>
  <si>
    <t>laser, gas, cooling all</t>
  </si>
  <si>
    <t>rolled up into this line</t>
  </si>
  <si>
    <t>all block work on this line</t>
  </si>
  <si>
    <t>all module and sector</t>
  </si>
  <si>
    <t>work on this line</t>
  </si>
  <si>
    <t>EMCal and HCal FEE here</t>
  </si>
  <si>
    <t>only buffer box, other orders</t>
  </si>
  <si>
    <t>not yet placed</t>
  </si>
  <si>
    <t>proto and production LL1</t>
  </si>
  <si>
    <t>all He work at Ability</t>
  </si>
  <si>
    <t>All Ability N2 system</t>
  </si>
  <si>
    <t>All Cryo Controls M&amp;S</t>
  </si>
  <si>
    <t>M&amp;S in-progress</t>
  </si>
  <si>
    <t>All warm Piping</t>
  </si>
  <si>
    <t>All magnet PSU</t>
  </si>
  <si>
    <t>in-progress</t>
  </si>
  <si>
    <t>All field-measurement</t>
  </si>
  <si>
    <t>All cradle-carriage</t>
  </si>
  <si>
    <t>&amp;S in-progress</t>
  </si>
  <si>
    <t>All Pole-tips M&amp;S</t>
  </si>
  <si>
    <t>All Bridge/platform</t>
  </si>
  <si>
    <t>Detector M&amp;S in-progress</t>
  </si>
  <si>
    <t>All Infrasructure Facility</t>
  </si>
  <si>
    <t xml:space="preserve">All Installation </t>
  </si>
  <si>
    <t>Infrastructure</t>
  </si>
  <si>
    <t>SUM "Commits - P6 budget"</t>
  </si>
  <si>
    <t>Some labor should be</t>
  </si>
  <si>
    <t xml:space="preserve">tagged for Peter, Joseph, </t>
  </si>
  <si>
    <t>Cable trays forgotten in P6</t>
  </si>
  <si>
    <t>Panels perhaps should be</t>
  </si>
  <si>
    <t>marked in P6</t>
  </si>
  <si>
    <t>heaters claimed; late invoice?</t>
  </si>
  <si>
    <t>Helium nearly matches</t>
  </si>
  <si>
    <t>LN2 late 50K  invoice?</t>
  </si>
  <si>
    <t>BCWR from P6 from July 2021</t>
  </si>
  <si>
    <t>This is derived from the Open Commitments Cat C tab</t>
  </si>
  <si>
    <t>As-Yet unassigned Cat A Contingency</t>
  </si>
  <si>
    <t>As-Yet unassigned Cat A Contingency w/o Risk or EU</t>
  </si>
  <si>
    <t>Amount of likely late Invoicing</t>
  </si>
  <si>
    <t>Amount of Cost Growth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</si>
  <si>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May MIE review total)</t>
    </r>
  </si>
  <si>
    <t>Adjustments</t>
  </si>
  <si>
    <t>Adjust for other anticipated but not-yet-realized overruns</t>
  </si>
  <si>
    <t>returned item</t>
  </si>
  <si>
    <t>BCWR + Additions</t>
  </si>
  <si>
    <t>Sum of known additions above</t>
  </si>
  <si>
    <t>ETC = BCWR+Additions+Adjustments</t>
  </si>
  <si>
    <t>EAC = ETC + ACWP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</si>
  <si>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(use Irina's April I&amp;F Review Average Expected Value total)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</si>
</sst>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9DA74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2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165" fontId="0" fillId="0" borderId="17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165" fontId="2" fillId="0" borderId="0" xfId="0" applyNumberFormat="1" applyFont="1" applyBorder="1"/>
    <xf numFmtId="0" fontId="0" fillId="0" borderId="0" xfId="0" applyBorder="1"/>
    <xf numFmtId="165" fontId="0" fillId="8" borderId="20" xfId="0" applyNumberFormat="1" applyFill="1" applyBorder="1"/>
    <xf numFmtId="165" fontId="0" fillId="8" borderId="22" xfId="0" applyNumberFormat="1" applyFill="1" applyBorder="1"/>
    <xf numFmtId="165" fontId="0" fillId="9" borderId="22" xfId="0" applyNumberFormat="1" applyFill="1" applyBorder="1"/>
    <xf numFmtId="165" fontId="0" fillId="7" borderId="22" xfId="0" applyNumberFormat="1" applyFill="1" applyBorder="1"/>
    <xf numFmtId="165" fontId="2" fillId="0" borderId="25" xfId="0" applyNumberFormat="1" applyFont="1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26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8" borderId="18" xfId="0" applyFill="1" applyBorder="1" applyAlignment="1">
      <alignment wrapText="1"/>
    </xf>
    <xf numFmtId="0" fontId="0" fillId="8" borderId="19" xfId="0" applyFill="1" applyBorder="1" applyAlignment="1">
      <alignment wrapText="1"/>
    </xf>
    <xf numFmtId="0" fontId="0" fillId="8" borderId="21" xfId="0" applyFill="1" applyBorder="1" applyAlignment="1">
      <alignment wrapText="1"/>
    </xf>
    <xf numFmtId="0" fontId="0" fillId="8" borderId="0" xfId="0" applyFill="1" applyBorder="1" applyAlignment="1">
      <alignment wrapText="1"/>
    </xf>
    <xf numFmtId="0" fontId="0" fillId="9" borderId="21" xfId="0" applyFill="1" applyBorder="1" applyAlignment="1">
      <alignment wrapText="1"/>
    </xf>
    <xf numFmtId="0" fontId="0" fillId="9" borderId="0" xfId="0" applyFill="1" applyBorder="1" applyAlignment="1">
      <alignment wrapText="1"/>
    </xf>
    <xf numFmtId="0" fontId="0" fillId="7" borderId="21" xfId="0" applyFill="1" applyBorder="1" applyAlignment="1">
      <alignment wrapText="1"/>
    </xf>
    <xf numFmtId="0" fontId="0" fillId="7" borderId="0" xfId="0" applyFill="1" applyBorder="1" applyAlignment="1">
      <alignment wrapText="1"/>
    </xf>
    <xf numFmtId="0" fontId="2" fillId="0" borderId="23" xfId="0" applyFont="1" applyBorder="1" applyAlignment="1">
      <alignment wrapText="1"/>
    </xf>
    <xf numFmtId="0" fontId="0" fillId="0" borderId="24" xfId="0" applyBorder="1" applyAlignment="1">
      <alignment wrapText="1"/>
    </xf>
    <xf numFmtId="1" fontId="0" fillId="0" borderId="0" xfId="0" applyNumberFormat="1" applyAlignment="1">
      <alignment wrapText="1"/>
    </xf>
    <xf numFmtId="0" fontId="2" fillId="15" borderId="0" xfId="0" applyFont="1" applyFill="1"/>
    <xf numFmtId="165" fontId="2" fillId="15" borderId="0" xfId="0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A9DA74"/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169"/>
  <sheetViews>
    <sheetView workbookViewId="0">
      <pane xSplit="4" ySplit="4" topLeftCell="N130" activePane="bottomRight" state="frozen"/>
      <selection pane="topRight" activeCell="E1" sqref="E1"/>
      <selection pane="bottomLeft" activeCell="A5" sqref="A5"/>
      <selection pane="bottomRight" activeCell="U138" sqref="U138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43" customWidth="1"/>
    <col min="8" max="8" width="23.10937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12" t="s">
        <v>3815</v>
      </c>
      <c r="B1" s="113"/>
      <c r="C1" s="113"/>
      <c r="D1" s="114"/>
      <c r="E1" s="115" t="s">
        <v>8311</v>
      </c>
      <c r="F1" s="116"/>
      <c r="G1" s="117"/>
      <c r="H1" s="34"/>
    </row>
    <row r="2" spans="1:21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8007</v>
      </c>
      <c r="P2" s="28" t="s">
        <v>8008</v>
      </c>
      <c r="Q2" s="28" t="s">
        <v>8009</v>
      </c>
      <c r="R2" s="56" t="s">
        <v>8010</v>
      </c>
      <c r="S2" s="57" t="s">
        <v>8011</v>
      </c>
      <c r="T2" s="58" t="s">
        <v>8012</v>
      </c>
      <c r="U2" s="108" t="s">
        <v>8341</v>
      </c>
    </row>
    <row r="3" spans="1:21" x14ac:dyDescent="0.3">
      <c r="A3" s="7" t="s">
        <v>3727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21" ht="15" thickBot="1" x14ac:dyDescent="0.35">
      <c r="A4" s="3" t="s">
        <v>7819</v>
      </c>
      <c r="B4" s="3"/>
      <c r="C4" s="3"/>
      <c r="D4" s="4"/>
      <c r="E4" s="15"/>
      <c r="F4" s="15"/>
      <c r="G4" s="41"/>
      <c r="H4" s="3"/>
      <c r="I4" s="38"/>
      <c r="J4" s="3"/>
      <c r="K4" s="3"/>
      <c r="L4" s="32"/>
      <c r="M4" s="32"/>
      <c r="N4" s="32"/>
    </row>
    <row r="5" spans="1:21" x14ac:dyDescent="0.3">
      <c r="A5" s="5" t="s">
        <v>35</v>
      </c>
      <c r="B5" s="5" t="s">
        <v>36</v>
      </c>
      <c r="C5" s="5">
        <v>1050</v>
      </c>
      <c r="D5" s="6">
        <v>170568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42">
        <v>0.82799999999999996</v>
      </c>
      <c r="H5" s="5" t="s">
        <v>3756</v>
      </c>
      <c r="I5" s="39">
        <f t="shared" ref="I5:I6" si="0">C5*(1-G5)</f>
        <v>180.60000000000005</v>
      </c>
      <c r="J5" s="5"/>
      <c r="K5" s="5"/>
      <c r="L5" s="33">
        <f t="shared" ref="L5:L6" si="1">D5*(1-G5)</f>
        <v>29337.696000000007</v>
      </c>
      <c r="M5" s="33">
        <f t="shared" ref="M5:M6" si="2">IF(J5="",L5,(D5/C5)*J5)</f>
        <v>29337.696000000007</v>
      </c>
      <c r="N5" s="33">
        <f t="shared" ref="N5:N6" si="3">L5-M5</f>
        <v>0</v>
      </c>
      <c r="P5">
        <v>1</v>
      </c>
      <c r="R5" s="59">
        <f>O5*M5</f>
        <v>0</v>
      </c>
      <c r="S5" s="60">
        <f>P5*M5</f>
        <v>29337.696000000007</v>
      </c>
      <c r="T5" s="61">
        <f>Q5*M5</f>
        <v>0</v>
      </c>
    </row>
    <row r="6" spans="1:21" x14ac:dyDescent="0.3">
      <c r="A6" s="5" t="s">
        <v>37</v>
      </c>
      <c r="B6" s="5" t="s">
        <v>38</v>
      </c>
      <c r="C6" s="5">
        <v>68</v>
      </c>
      <c r="D6" s="6">
        <v>11361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42">
        <f>VLOOKUP(A6,'forecast data dump'!$A$1:$H$3450,8,FALSE)</f>
        <v>0</v>
      </c>
      <c r="H6" s="5" t="s">
        <v>3756</v>
      </c>
      <c r="I6" s="39">
        <f t="shared" si="0"/>
        <v>68</v>
      </c>
      <c r="J6" s="5"/>
      <c r="K6" s="5"/>
      <c r="L6" s="33">
        <f t="shared" si="1"/>
        <v>11361</v>
      </c>
      <c r="M6" s="33">
        <f t="shared" si="2"/>
        <v>11361</v>
      </c>
      <c r="N6" s="33">
        <f t="shared" si="3"/>
        <v>0</v>
      </c>
      <c r="P6">
        <v>1</v>
      </c>
      <c r="R6" s="62">
        <f t="shared" ref="R6:R45" si="4">O6*M6</f>
        <v>0</v>
      </c>
      <c r="S6" s="63">
        <f t="shared" ref="S6:S45" si="5">P6*M6</f>
        <v>11361</v>
      </c>
      <c r="T6" s="64">
        <f t="shared" ref="T6:T45" si="6">Q6*M6</f>
        <v>0</v>
      </c>
    </row>
    <row r="7" spans="1:21" x14ac:dyDescent="0.3">
      <c r="A7" s="3" t="s">
        <v>7820</v>
      </c>
      <c r="B7" s="3"/>
      <c r="C7" s="3"/>
      <c r="D7" s="4"/>
      <c r="E7" s="15"/>
      <c r="F7" s="15"/>
      <c r="G7" s="41"/>
      <c r="H7" s="3"/>
      <c r="I7" s="38"/>
      <c r="J7" s="3"/>
      <c r="K7" s="3"/>
      <c r="L7" s="32"/>
      <c r="M7" s="32"/>
      <c r="N7" s="32"/>
      <c r="R7" s="62"/>
      <c r="S7" s="63"/>
      <c r="T7" s="64"/>
    </row>
    <row r="8" spans="1:21" x14ac:dyDescent="0.3">
      <c r="A8" s="5" t="s">
        <v>29</v>
      </c>
      <c r="B8" s="5" t="s">
        <v>30</v>
      </c>
      <c r="C8" s="5">
        <v>5000</v>
      </c>
      <c r="D8" s="6">
        <v>6905</v>
      </c>
      <c r="E8" s="17" t="str">
        <f>VLOOKUP(A8,'forecast data dump'!$A$1:$H$3450,4,FALSE)</f>
        <v>01-Oct-20 A</v>
      </c>
      <c r="F8" s="17">
        <f>VLOOKUP(A8,'forecast data dump'!$A$1:$H$3450,5,FALSE)</f>
        <v>44469</v>
      </c>
      <c r="G8" s="42">
        <v>0.82799999999999996</v>
      </c>
      <c r="H8" s="5" t="s">
        <v>3796</v>
      </c>
      <c r="I8" s="39">
        <f t="shared" ref="I8" si="7">C8*(1-G8)</f>
        <v>860.00000000000023</v>
      </c>
      <c r="J8" s="5"/>
      <c r="K8" s="5"/>
      <c r="L8" s="33">
        <f t="shared" ref="L8" si="8">D8*(1-G8)</f>
        <v>1187.6600000000003</v>
      </c>
      <c r="M8" s="33">
        <f t="shared" ref="M8" si="9">IF(J8="",L8,(D8/C8)*J8)</f>
        <v>1187.6600000000003</v>
      </c>
      <c r="N8" s="33">
        <f t="shared" ref="N8" si="10">L8-M8</f>
        <v>0</v>
      </c>
      <c r="P8">
        <v>1</v>
      </c>
      <c r="R8" s="62">
        <f t="shared" si="4"/>
        <v>0</v>
      </c>
      <c r="S8" s="63">
        <f t="shared" si="5"/>
        <v>1187.6600000000003</v>
      </c>
      <c r="T8" s="64">
        <f t="shared" si="6"/>
        <v>0</v>
      </c>
    </row>
    <row r="9" spans="1:21" x14ac:dyDescent="0.3">
      <c r="A9" s="3" t="s">
        <v>7821</v>
      </c>
      <c r="B9" s="3"/>
      <c r="C9" s="3"/>
      <c r="D9" s="4"/>
      <c r="E9" s="15"/>
      <c r="F9" s="15"/>
      <c r="G9" s="41"/>
      <c r="H9" s="3"/>
      <c r="I9" s="38"/>
      <c r="J9" s="3"/>
      <c r="K9" s="3"/>
      <c r="L9" s="32"/>
      <c r="M9" s="32"/>
      <c r="N9" s="32"/>
      <c r="R9" s="62"/>
      <c r="S9" s="63"/>
      <c r="T9" s="64"/>
      <c r="U9" s="29">
        <f>SUM(T10:T12)</f>
        <v>383.70000000000005</v>
      </c>
    </row>
    <row r="10" spans="1:21" x14ac:dyDescent="0.3">
      <c r="A10" s="5" t="s">
        <v>166</v>
      </c>
      <c r="B10" s="5" t="s">
        <v>167</v>
      </c>
      <c r="C10" s="5">
        <v>1102</v>
      </c>
      <c r="D10" s="6">
        <v>1279</v>
      </c>
      <c r="E10" s="17" t="str">
        <f>VLOOKUP(A10,'forecast data dump'!$A$1:$H$3450,4,FALSE)</f>
        <v>17-May-21 A</v>
      </c>
      <c r="F10" s="17">
        <f>VLOOKUP(A10,'forecast data dump'!$A$1:$H$3450,5,FALSE)</f>
        <v>44448</v>
      </c>
      <c r="G10" s="42">
        <v>0.7</v>
      </c>
      <c r="H10" s="5" t="s">
        <v>3797</v>
      </c>
      <c r="I10" s="39">
        <f t="shared" ref="I10:I12" si="11">C10*(1-G10)</f>
        <v>330.6</v>
      </c>
      <c r="J10" s="5"/>
      <c r="K10" s="5"/>
      <c r="L10" s="33">
        <f t="shared" ref="L10:L12" si="12">D10*(1-G10)</f>
        <v>383.70000000000005</v>
      </c>
      <c r="M10" s="33">
        <f t="shared" ref="M10:M12" si="13">IF(J10="",L10,(D10/C10)*J10)</f>
        <v>383.70000000000005</v>
      </c>
      <c r="N10" s="33">
        <f t="shared" ref="N10:N12" si="14">L10-M10</f>
        <v>0</v>
      </c>
      <c r="Q10">
        <v>1</v>
      </c>
      <c r="R10" s="62">
        <f t="shared" si="4"/>
        <v>0</v>
      </c>
      <c r="S10" s="63">
        <f t="shared" si="5"/>
        <v>0</v>
      </c>
      <c r="T10" s="64">
        <f t="shared" si="6"/>
        <v>383.70000000000005</v>
      </c>
    </row>
    <row r="11" spans="1:21" x14ac:dyDescent="0.3">
      <c r="A11" s="5" t="s">
        <v>170</v>
      </c>
      <c r="B11" s="5" t="s">
        <v>171</v>
      </c>
      <c r="C11" s="5">
        <v>20000</v>
      </c>
      <c r="D11" s="6">
        <v>23254</v>
      </c>
      <c r="E11" s="17" t="str">
        <f>VLOOKUP(A11,'forecast data dump'!$A$1:$H$3450,4,FALSE)</f>
        <v>01-Jun-21 A</v>
      </c>
      <c r="F11" s="17">
        <f>VLOOKUP(A11,'forecast data dump'!$A$1:$H$3450,5,FALSE)</f>
        <v>44459</v>
      </c>
      <c r="G11" s="42">
        <v>0.54310000000000003</v>
      </c>
      <c r="H11" s="5" t="s">
        <v>3762</v>
      </c>
      <c r="I11" s="39">
        <f t="shared" si="11"/>
        <v>9138</v>
      </c>
      <c r="J11" s="5"/>
      <c r="K11" s="5"/>
      <c r="L11" s="33">
        <f t="shared" si="12"/>
        <v>10624.7526</v>
      </c>
      <c r="M11" s="33">
        <f t="shared" si="13"/>
        <v>10624.7526</v>
      </c>
      <c r="N11" s="33">
        <f t="shared" si="14"/>
        <v>0</v>
      </c>
      <c r="P11">
        <v>1</v>
      </c>
      <c r="R11" s="62">
        <f t="shared" si="4"/>
        <v>0</v>
      </c>
      <c r="S11" s="63">
        <f t="shared" si="5"/>
        <v>10624.7526</v>
      </c>
      <c r="T11" s="64">
        <f t="shared" si="6"/>
        <v>0</v>
      </c>
    </row>
    <row r="12" spans="1:21" x14ac:dyDescent="0.3">
      <c r="A12" s="5" t="s">
        <v>172</v>
      </c>
      <c r="B12" s="5" t="s">
        <v>173</v>
      </c>
      <c r="C12" s="5">
        <v>1500</v>
      </c>
      <c r="D12" s="6">
        <v>156234</v>
      </c>
      <c r="E12" s="17" t="str">
        <f>VLOOKUP(A12,'forecast data dump'!$A$1:$H$3450,4,FALSE)</f>
        <v>01-Feb-21 A</v>
      </c>
      <c r="F12" s="17">
        <f>VLOOKUP(A12,'forecast data dump'!$A$1:$H$3450,5,FALSE)</f>
        <v>44581</v>
      </c>
      <c r="G12" s="42">
        <v>0.52259999999999995</v>
      </c>
      <c r="H12" s="5" t="s">
        <v>3798</v>
      </c>
      <c r="I12" s="39">
        <f t="shared" si="11"/>
        <v>716.1</v>
      </c>
      <c r="J12" s="5"/>
      <c r="K12" s="5"/>
      <c r="L12" s="33">
        <f t="shared" si="12"/>
        <v>74586.111600000004</v>
      </c>
      <c r="M12" s="33">
        <f t="shared" si="13"/>
        <v>74586.111600000004</v>
      </c>
      <c r="N12" s="33">
        <f t="shared" si="14"/>
        <v>0</v>
      </c>
      <c r="P12">
        <v>1</v>
      </c>
      <c r="R12" s="62">
        <f t="shared" si="4"/>
        <v>0</v>
      </c>
      <c r="S12" s="63">
        <f t="shared" si="5"/>
        <v>74586.111600000004</v>
      </c>
      <c r="T12" s="64">
        <f t="shared" si="6"/>
        <v>0</v>
      </c>
    </row>
    <row r="13" spans="1:21" x14ac:dyDescent="0.3">
      <c r="A13" s="3" t="s">
        <v>7823</v>
      </c>
      <c r="B13" s="3"/>
      <c r="C13" s="3"/>
      <c r="D13" s="4"/>
      <c r="E13" s="15"/>
      <c r="F13" s="15"/>
      <c r="G13" s="41"/>
      <c r="H13" s="3"/>
      <c r="I13" s="38"/>
      <c r="J13" s="3"/>
      <c r="K13" s="3"/>
      <c r="L13" s="32"/>
      <c r="M13" s="32"/>
      <c r="N13" s="32"/>
      <c r="R13" s="62"/>
      <c r="S13" s="63"/>
      <c r="T13" s="64"/>
      <c r="U13" s="29">
        <f>SUM(R14:R19)</f>
        <v>232636.86199999999</v>
      </c>
    </row>
    <row r="14" spans="1:21" x14ac:dyDescent="0.3">
      <c r="A14" s="5" t="s">
        <v>311</v>
      </c>
      <c r="B14" s="5" t="s">
        <v>312</v>
      </c>
      <c r="C14" s="5">
        <v>60155</v>
      </c>
      <c r="D14" s="6">
        <v>69821</v>
      </c>
      <c r="E14" s="17" t="str">
        <f>VLOOKUP(A14,'forecast data dump'!$A$1:$H$3450,4,FALSE)</f>
        <v>15-Mar-21 A</v>
      </c>
      <c r="F14" s="17">
        <f>VLOOKUP(A14,'forecast data dump'!$A$1:$H$3450,5,FALSE)</f>
        <v>44407</v>
      </c>
      <c r="G14" s="42">
        <f>VLOOKUP(A14,'forecast data dump'!$A$1:$H$3450,8,FALSE)</f>
        <v>0.17799999999999999</v>
      </c>
      <c r="H14" s="5" t="s">
        <v>3762</v>
      </c>
      <c r="I14" s="39">
        <f t="shared" ref="I14:I19" si="15">C14*(1-G14)</f>
        <v>49447.41</v>
      </c>
      <c r="J14" s="5"/>
      <c r="K14" s="5"/>
      <c r="L14" s="33">
        <f t="shared" ref="L14:L19" si="16">D14*(1-G14)</f>
        <v>57392.862000000001</v>
      </c>
      <c r="M14" s="33">
        <f t="shared" ref="M14:M19" si="17">IF(J14="",L14,(D14/C14)*J14)</f>
        <v>57392.862000000001</v>
      </c>
      <c r="N14" s="33">
        <f t="shared" ref="N14:N19" si="18">L14-M14</f>
        <v>0</v>
      </c>
      <c r="O14">
        <v>1</v>
      </c>
      <c r="R14" s="62">
        <f t="shared" si="4"/>
        <v>57392.862000000001</v>
      </c>
      <c r="S14" s="63">
        <f t="shared" si="5"/>
        <v>0</v>
      </c>
      <c r="T14" s="64">
        <f t="shared" si="6"/>
        <v>0</v>
      </c>
    </row>
    <row r="15" spans="1:21" x14ac:dyDescent="0.3">
      <c r="A15" s="5" t="s">
        <v>323</v>
      </c>
      <c r="B15" s="5" t="s">
        <v>324</v>
      </c>
      <c r="C15" s="5">
        <v>190056</v>
      </c>
      <c r="D15" s="6">
        <v>220595</v>
      </c>
      <c r="E15" s="17" t="str">
        <f>VLOOKUP(A15,'forecast data dump'!$A$1:$H$3450,4,FALSE)</f>
        <v>25-Jan-21 A</v>
      </c>
      <c r="F15" s="17">
        <f>VLOOKUP(A15,'forecast data dump'!$A$1:$H$3450,5,FALSE)</f>
        <v>44407</v>
      </c>
      <c r="G15" s="42">
        <v>0.84</v>
      </c>
      <c r="H15" s="5" t="s">
        <v>3762</v>
      </c>
      <c r="I15" s="39">
        <f t="shared" si="15"/>
        <v>30408.960000000006</v>
      </c>
      <c r="J15" s="5"/>
      <c r="K15" s="5"/>
      <c r="L15" s="33">
        <f t="shared" si="16"/>
        <v>35295.200000000004</v>
      </c>
      <c r="M15" s="33">
        <f t="shared" si="17"/>
        <v>35295.200000000004</v>
      </c>
      <c r="N15" s="33">
        <f t="shared" si="18"/>
        <v>0</v>
      </c>
      <c r="Q15">
        <v>1</v>
      </c>
      <c r="R15" s="62">
        <f t="shared" si="4"/>
        <v>0</v>
      </c>
      <c r="S15" s="63">
        <f t="shared" si="5"/>
        <v>0</v>
      </c>
      <c r="T15" s="64">
        <f t="shared" si="6"/>
        <v>35295.200000000004</v>
      </c>
    </row>
    <row r="16" spans="1:21" x14ac:dyDescent="0.3">
      <c r="A16" s="5" t="s">
        <v>325</v>
      </c>
      <c r="B16" s="5" t="s">
        <v>326</v>
      </c>
      <c r="C16" s="5">
        <v>150983</v>
      </c>
      <c r="D16" s="6">
        <v>175244</v>
      </c>
      <c r="E16" s="17">
        <f>VLOOKUP(A16,'forecast data dump'!$A$1:$H$3450,4,FALSE)</f>
        <v>44468</v>
      </c>
      <c r="F16" s="17">
        <f>VLOOKUP(A16,'forecast data dump'!$A$1:$H$3450,5,FALSE)</f>
        <v>44474</v>
      </c>
      <c r="G16" s="42">
        <f>VLOOKUP(A16,'forecast data dump'!$A$1:$H$3450,8,FALSE)</f>
        <v>0</v>
      </c>
      <c r="H16" s="5" t="s">
        <v>3762</v>
      </c>
      <c r="I16" s="39">
        <f t="shared" si="15"/>
        <v>150983</v>
      </c>
      <c r="J16" s="5"/>
      <c r="K16" s="5"/>
      <c r="L16" s="33">
        <f t="shared" si="16"/>
        <v>175244</v>
      </c>
      <c r="M16" s="33">
        <f t="shared" si="17"/>
        <v>175244</v>
      </c>
      <c r="N16" s="33">
        <f t="shared" si="18"/>
        <v>0</v>
      </c>
      <c r="O16">
        <v>1</v>
      </c>
      <c r="R16" s="62">
        <f t="shared" si="4"/>
        <v>175244</v>
      </c>
      <c r="S16" s="63">
        <f t="shared" si="5"/>
        <v>0</v>
      </c>
      <c r="T16" s="64">
        <f t="shared" si="6"/>
        <v>0</v>
      </c>
    </row>
    <row r="17" spans="1:21" x14ac:dyDescent="0.3">
      <c r="A17" s="5" t="s">
        <v>327</v>
      </c>
      <c r="B17" s="5" t="s">
        <v>328</v>
      </c>
      <c r="C17" s="5">
        <v>266694</v>
      </c>
      <c r="D17" s="6">
        <v>309548</v>
      </c>
      <c r="E17" s="17" t="str">
        <f>VLOOKUP(A17,'forecast data dump'!$A$1:$H$3450,4,FALSE)</f>
        <v>02-Nov-20 A</v>
      </c>
      <c r="F17" s="17">
        <f>VLOOKUP(A17,'forecast data dump'!$A$1:$H$3450,5,FALSE)</f>
        <v>44407</v>
      </c>
      <c r="G17" s="42">
        <v>0.97</v>
      </c>
      <c r="H17" s="5" t="s">
        <v>3762</v>
      </c>
      <c r="I17" s="39">
        <f t="shared" si="15"/>
        <v>8000.820000000007</v>
      </c>
      <c r="J17" s="5"/>
      <c r="K17" s="5"/>
      <c r="L17" s="33">
        <f t="shared" si="16"/>
        <v>9286.4400000000078</v>
      </c>
      <c r="M17" s="33">
        <f t="shared" si="17"/>
        <v>9286.4400000000078</v>
      </c>
      <c r="N17" s="33">
        <f t="shared" si="18"/>
        <v>0</v>
      </c>
      <c r="Q17">
        <v>1</v>
      </c>
      <c r="R17" s="62">
        <f t="shared" si="4"/>
        <v>0</v>
      </c>
      <c r="S17" s="63">
        <f t="shared" si="5"/>
        <v>0</v>
      </c>
      <c r="T17" s="64">
        <f t="shared" si="6"/>
        <v>9286.4400000000078</v>
      </c>
    </row>
    <row r="18" spans="1:21" x14ac:dyDescent="0.3">
      <c r="A18" s="5" t="s">
        <v>333</v>
      </c>
      <c r="B18" s="5" t="s">
        <v>334</v>
      </c>
      <c r="C18" s="5">
        <v>1500</v>
      </c>
      <c r="D18" s="6">
        <v>119731</v>
      </c>
      <c r="E18" s="17" t="str">
        <f>VLOOKUP(A18,'forecast data dump'!$A$1:$H$3450,4,FALSE)</f>
        <v>01-Feb-21 A</v>
      </c>
      <c r="F18" s="17">
        <f>VLOOKUP(A18,'forecast data dump'!$A$1:$H$3450,5,FALSE)</f>
        <v>44559</v>
      </c>
      <c r="G18" s="42">
        <v>0.55649999999999999</v>
      </c>
      <c r="H18" s="5" t="s">
        <v>3800</v>
      </c>
      <c r="I18" s="39">
        <f t="shared" si="15"/>
        <v>665.25</v>
      </c>
      <c r="J18" s="5"/>
      <c r="K18" s="5"/>
      <c r="L18" s="33">
        <f t="shared" si="16"/>
        <v>53100.698499999999</v>
      </c>
      <c r="M18" s="33">
        <f t="shared" si="17"/>
        <v>53100.698499999999</v>
      </c>
      <c r="N18" s="33">
        <f t="shared" si="18"/>
        <v>0</v>
      </c>
      <c r="P18">
        <v>1</v>
      </c>
      <c r="R18" s="62">
        <f t="shared" si="4"/>
        <v>0</v>
      </c>
      <c r="S18" s="63">
        <f t="shared" si="5"/>
        <v>53100.698499999999</v>
      </c>
      <c r="T18" s="64">
        <f t="shared" si="6"/>
        <v>0</v>
      </c>
    </row>
    <row r="19" spans="1:21" x14ac:dyDescent="0.3">
      <c r="A19" s="5" t="s">
        <v>335</v>
      </c>
      <c r="B19" s="5" t="s">
        <v>336</v>
      </c>
      <c r="C19" s="5">
        <v>0</v>
      </c>
      <c r="D19" s="6">
        <v>0</v>
      </c>
      <c r="E19" s="17" t="str">
        <f>VLOOKUP(A19,'forecast data dump'!$A$1:$H$3450,4,FALSE)</f>
        <v>01-Feb-21 A</v>
      </c>
      <c r="F19" s="17">
        <f>VLOOKUP(A19,'forecast data dump'!$A$1:$H$3450,5,FALSE)</f>
        <v>44559</v>
      </c>
      <c r="G19" s="42">
        <v>0.55649999999999999</v>
      </c>
      <c r="H19" s="5" t="s">
        <v>3801</v>
      </c>
      <c r="I19" s="39">
        <f t="shared" si="15"/>
        <v>0</v>
      </c>
      <c r="J19" s="5"/>
      <c r="K19" s="5"/>
      <c r="L19" s="33">
        <f t="shared" si="16"/>
        <v>0</v>
      </c>
      <c r="M19" s="33">
        <f t="shared" si="17"/>
        <v>0</v>
      </c>
      <c r="N19" s="33">
        <f t="shared" si="18"/>
        <v>0</v>
      </c>
      <c r="P19">
        <v>1</v>
      </c>
      <c r="R19" s="62">
        <f t="shared" si="4"/>
        <v>0</v>
      </c>
      <c r="S19" s="63">
        <f t="shared" si="5"/>
        <v>0</v>
      </c>
      <c r="T19" s="64">
        <f t="shared" si="6"/>
        <v>0</v>
      </c>
    </row>
    <row r="20" spans="1:21" x14ac:dyDescent="0.3">
      <c r="A20" s="3" t="s">
        <v>7824</v>
      </c>
      <c r="B20" s="3"/>
      <c r="C20" s="3"/>
      <c r="D20" s="4"/>
      <c r="E20" s="15"/>
      <c r="F20" s="15"/>
      <c r="G20" s="41"/>
      <c r="H20" s="3"/>
      <c r="I20" s="38"/>
      <c r="J20" s="3"/>
      <c r="K20" s="3"/>
      <c r="L20" s="32"/>
      <c r="M20" s="32"/>
      <c r="N20" s="32"/>
      <c r="R20" s="62"/>
      <c r="S20" s="63"/>
      <c r="T20" s="64"/>
      <c r="U20" s="29">
        <f>SUM(R21:R23)</f>
        <v>18157.079999999998</v>
      </c>
    </row>
    <row r="21" spans="1:21" x14ac:dyDescent="0.3">
      <c r="A21" s="5" t="s">
        <v>427</v>
      </c>
      <c r="B21" s="5" t="s">
        <v>428</v>
      </c>
      <c r="C21" s="5">
        <v>130362</v>
      </c>
      <c r="D21" s="6">
        <v>151309</v>
      </c>
      <c r="E21" s="17" t="str">
        <f>VLOOKUP(A21,'forecast data dump'!$A$1:$H$3450,4,FALSE)</f>
        <v>02-Dec-20 A</v>
      </c>
      <c r="F21" s="17">
        <f>VLOOKUP(A21,'forecast data dump'!$A$1:$H$3450,5,FALSE)</f>
        <v>44406</v>
      </c>
      <c r="G21" s="42">
        <v>0.88</v>
      </c>
      <c r="H21" s="5" t="s">
        <v>3762</v>
      </c>
      <c r="I21" s="39">
        <f t="shared" ref="I21:I23" si="19">C21*(1-G21)</f>
        <v>15643.439999999999</v>
      </c>
      <c r="J21" s="5"/>
      <c r="K21" s="5"/>
      <c r="L21" s="33">
        <f t="shared" ref="L21:L23" si="20">D21*(1-G21)</f>
        <v>18157.079999999998</v>
      </c>
      <c r="M21" s="33">
        <f t="shared" ref="M21:M23" si="21">IF(J21="",L21,(D21/C21)*J21)</f>
        <v>18157.079999999998</v>
      </c>
      <c r="N21" s="33">
        <f t="shared" ref="N21:N23" si="22">L21-M21</f>
        <v>0</v>
      </c>
      <c r="O21">
        <v>1</v>
      </c>
      <c r="R21" s="62">
        <f t="shared" si="4"/>
        <v>18157.079999999998</v>
      </c>
      <c r="S21" s="63">
        <f t="shared" si="5"/>
        <v>0</v>
      </c>
      <c r="T21" s="64">
        <f t="shared" si="6"/>
        <v>0</v>
      </c>
    </row>
    <row r="22" spans="1:21" x14ac:dyDescent="0.3">
      <c r="A22" s="5" t="s">
        <v>439</v>
      </c>
      <c r="B22" s="5" t="s">
        <v>440</v>
      </c>
      <c r="C22" s="5">
        <v>80745</v>
      </c>
      <c r="D22" s="6">
        <v>93719</v>
      </c>
      <c r="E22" s="17">
        <f>VLOOKUP(A22,'forecast data dump'!$A$1:$H$3450,4,FALSE)</f>
        <v>44489</v>
      </c>
      <c r="F22" s="17">
        <f>VLOOKUP(A22,'forecast data dump'!$A$1:$H$3450,5,FALSE)</f>
        <v>44495</v>
      </c>
      <c r="G22" s="42">
        <f>VLOOKUP(A22,'forecast data dump'!$A$1:$H$3450,8,FALSE)</f>
        <v>0</v>
      </c>
      <c r="H22" s="5" t="s">
        <v>3762</v>
      </c>
      <c r="I22" s="39">
        <f t="shared" si="19"/>
        <v>80745</v>
      </c>
      <c r="J22" s="5"/>
      <c r="K22" s="5"/>
      <c r="L22" s="33">
        <f t="shared" si="20"/>
        <v>93719</v>
      </c>
      <c r="M22" s="33">
        <f t="shared" si="21"/>
        <v>93719</v>
      </c>
      <c r="N22" s="33">
        <f t="shared" si="22"/>
        <v>0</v>
      </c>
      <c r="Q22">
        <v>1</v>
      </c>
      <c r="R22" s="62">
        <f t="shared" si="4"/>
        <v>0</v>
      </c>
      <c r="S22" s="63">
        <f t="shared" si="5"/>
        <v>0</v>
      </c>
      <c r="T22" s="64">
        <f t="shared" si="6"/>
        <v>93719</v>
      </c>
    </row>
    <row r="23" spans="1:21" x14ac:dyDescent="0.3">
      <c r="A23" s="5" t="s">
        <v>441</v>
      </c>
      <c r="B23" s="5" t="s">
        <v>442</v>
      </c>
      <c r="C23" s="5">
        <v>368</v>
      </c>
      <c r="D23" s="6">
        <v>48327</v>
      </c>
      <c r="E23" s="17" t="str">
        <f>VLOOKUP(A23,'forecast data dump'!$A$1:$H$3450,4,FALSE)</f>
        <v>01-Feb-21 A</v>
      </c>
      <c r="F23" s="17">
        <f>VLOOKUP(A23,'forecast data dump'!$A$1:$H$3450,5,FALSE)</f>
        <v>44560</v>
      </c>
      <c r="G23" s="42">
        <v>0.55000000000000004</v>
      </c>
      <c r="H23" s="5" t="s">
        <v>3801</v>
      </c>
      <c r="I23" s="39">
        <f t="shared" si="19"/>
        <v>165.6</v>
      </c>
      <c r="J23" s="5"/>
      <c r="K23" s="5"/>
      <c r="L23" s="33">
        <f t="shared" si="20"/>
        <v>21747.149999999998</v>
      </c>
      <c r="M23" s="33">
        <f t="shared" si="21"/>
        <v>21747.149999999998</v>
      </c>
      <c r="N23" s="33">
        <f t="shared" si="22"/>
        <v>0</v>
      </c>
      <c r="P23">
        <v>1</v>
      </c>
      <c r="R23" s="62">
        <f t="shared" si="4"/>
        <v>0</v>
      </c>
      <c r="S23" s="63">
        <f t="shared" si="5"/>
        <v>21747.149999999998</v>
      </c>
      <c r="T23" s="64">
        <f t="shared" si="6"/>
        <v>0</v>
      </c>
    </row>
    <row r="24" spans="1:21" x14ac:dyDescent="0.3">
      <c r="A24" s="3" t="s">
        <v>7825</v>
      </c>
      <c r="B24" s="3"/>
      <c r="C24" s="3"/>
      <c r="D24" s="4"/>
      <c r="E24" s="15"/>
      <c r="F24" s="15"/>
      <c r="G24" s="41"/>
      <c r="H24" s="3"/>
      <c r="I24" s="38"/>
      <c r="J24" s="3"/>
      <c r="K24" s="3"/>
      <c r="L24" s="32"/>
      <c r="M24" s="32"/>
      <c r="N24" s="32"/>
      <c r="R24" s="62"/>
      <c r="S24" s="63"/>
      <c r="T24" s="64"/>
      <c r="U24" s="29">
        <f>SUM(R25:R35)</f>
        <v>82977.5</v>
      </c>
    </row>
    <row r="25" spans="1:21" x14ac:dyDescent="0.3">
      <c r="A25" s="5" t="s">
        <v>463</v>
      </c>
      <c r="B25" s="5" t="s">
        <v>464</v>
      </c>
      <c r="C25" s="5">
        <v>145840</v>
      </c>
      <c r="D25" s="6">
        <v>165955</v>
      </c>
      <c r="E25" s="17" t="str">
        <f>VLOOKUP(A25,'forecast data dump'!$A$1:$H$3450,4,FALSE)</f>
        <v>06-Oct-20 A</v>
      </c>
      <c r="F25" s="17">
        <f>VLOOKUP(A25,'forecast data dump'!$A$1:$H$3450,5,FALSE)</f>
        <v>44424</v>
      </c>
      <c r="G25" s="42">
        <f>VLOOKUP(A25,'forecast data dump'!$A$1:$H$3450,8,FALSE)</f>
        <v>0.5</v>
      </c>
      <c r="H25" s="5" t="s">
        <v>3762</v>
      </c>
      <c r="I25" s="39">
        <f t="shared" ref="I25:I29" si="23">C25*(1-G25)</f>
        <v>72920</v>
      </c>
      <c r="J25" s="5"/>
      <c r="K25" s="5"/>
      <c r="L25" s="33">
        <f t="shared" ref="L25:L29" si="24">D25*(1-G25)</f>
        <v>82977.5</v>
      </c>
      <c r="M25" s="33">
        <f t="shared" ref="M25:M29" si="25">IF(J25="",L25,(D25/C25)*J25)</f>
        <v>82977.5</v>
      </c>
      <c r="N25" s="33">
        <f t="shared" ref="N25:N29" si="26">L25-M25</f>
        <v>0</v>
      </c>
      <c r="O25">
        <v>1</v>
      </c>
      <c r="R25" s="62">
        <f t="shared" si="4"/>
        <v>82977.5</v>
      </c>
      <c r="S25" s="63">
        <f t="shared" si="5"/>
        <v>0</v>
      </c>
      <c r="T25" s="64">
        <f t="shared" si="6"/>
        <v>0</v>
      </c>
      <c r="U25" s="103" t="s">
        <v>8342</v>
      </c>
    </row>
    <row r="26" spans="1:21" x14ac:dyDescent="0.3">
      <c r="A26" s="5" t="s">
        <v>465</v>
      </c>
      <c r="B26" s="5" t="s">
        <v>466</v>
      </c>
      <c r="C26" s="5">
        <v>58800</v>
      </c>
      <c r="D26" s="6">
        <v>66910</v>
      </c>
      <c r="E26" s="17" t="str">
        <f>VLOOKUP(A26,'forecast data dump'!$A$1:$H$3450,4,FALSE)</f>
        <v>13-Oct-20 A</v>
      </c>
      <c r="F26" s="17">
        <f>VLOOKUP(A26,'forecast data dump'!$A$1:$H$3450,5,FALSE)</f>
        <v>44420</v>
      </c>
      <c r="G26" s="42">
        <f>VLOOKUP(A26,'forecast data dump'!$A$1:$H$3450,8,FALSE)</f>
        <v>0.5</v>
      </c>
      <c r="H26" s="5" t="s">
        <v>3762</v>
      </c>
      <c r="I26" s="39">
        <f t="shared" si="23"/>
        <v>29400</v>
      </c>
      <c r="J26" s="5"/>
      <c r="K26" s="5"/>
      <c r="L26" s="33">
        <f t="shared" si="24"/>
        <v>33455</v>
      </c>
      <c r="M26" s="33">
        <f t="shared" si="25"/>
        <v>33455</v>
      </c>
      <c r="N26" s="33">
        <f t="shared" si="26"/>
        <v>0</v>
      </c>
      <c r="Q26">
        <v>1</v>
      </c>
      <c r="R26" s="62">
        <f t="shared" si="4"/>
        <v>0</v>
      </c>
      <c r="S26" s="63">
        <f t="shared" si="5"/>
        <v>0</v>
      </c>
      <c r="T26" s="64">
        <f t="shared" si="6"/>
        <v>33455</v>
      </c>
      <c r="U26" s="103" t="s">
        <v>8343</v>
      </c>
    </row>
    <row r="27" spans="1:21" x14ac:dyDescent="0.3">
      <c r="A27" s="5" t="s">
        <v>467</v>
      </c>
      <c r="B27" s="5" t="s">
        <v>468</v>
      </c>
      <c r="C27" s="5">
        <v>15000</v>
      </c>
      <c r="D27" s="6">
        <v>17060</v>
      </c>
      <c r="E27" s="17" t="str">
        <f>VLOOKUP(A27,'forecast data dump'!$A$1:$H$3450,4,FALSE)</f>
        <v>13-Jan-21 A</v>
      </c>
      <c r="F27" s="17">
        <f>VLOOKUP(A27,'forecast data dump'!$A$1:$H$3450,5,FALSE)</f>
        <v>44439</v>
      </c>
      <c r="G27" s="42">
        <f>VLOOKUP(A27,'forecast data dump'!$A$1:$H$3450,8,FALSE)</f>
        <v>0.5</v>
      </c>
      <c r="H27" s="5" t="s">
        <v>3762</v>
      </c>
      <c r="I27" s="39">
        <f t="shared" si="23"/>
        <v>7500</v>
      </c>
      <c r="J27" s="5"/>
      <c r="K27" s="5"/>
      <c r="L27" s="33">
        <f t="shared" si="24"/>
        <v>8530</v>
      </c>
      <c r="M27" s="33">
        <f t="shared" si="25"/>
        <v>8530</v>
      </c>
      <c r="N27" s="33">
        <f t="shared" si="26"/>
        <v>0</v>
      </c>
      <c r="Q27">
        <v>1</v>
      </c>
      <c r="R27" s="62">
        <f t="shared" si="4"/>
        <v>0</v>
      </c>
      <c r="S27" s="63">
        <f t="shared" si="5"/>
        <v>0</v>
      </c>
      <c r="T27" s="64">
        <f t="shared" si="6"/>
        <v>8530</v>
      </c>
    </row>
    <row r="28" spans="1:21" x14ac:dyDescent="0.3">
      <c r="A28" s="5" t="s">
        <v>469</v>
      </c>
      <c r="B28" s="5" t="s">
        <v>470</v>
      </c>
      <c r="C28" s="5">
        <v>2000</v>
      </c>
      <c r="D28" s="6">
        <v>2276</v>
      </c>
      <c r="E28" s="17">
        <f>VLOOKUP(A28,'forecast data dump'!$A$1:$H$3450,4,FALSE)</f>
        <v>44428</v>
      </c>
      <c r="F28" s="17">
        <f>VLOOKUP(A28,'forecast data dump'!$A$1:$H$3450,5,FALSE)</f>
        <v>44439</v>
      </c>
      <c r="G28" s="42">
        <f>VLOOKUP(A28,'forecast data dump'!$A$1:$H$3450,8,FALSE)</f>
        <v>0</v>
      </c>
      <c r="H28" s="5" t="s">
        <v>3762</v>
      </c>
      <c r="I28" s="39">
        <f t="shared" si="23"/>
        <v>2000</v>
      </c>
      <c r="J28" s="5"/>
      <c r="K28" s="5"/>
      <c r="L28" s="33">
        <f t="shared" si="24"/>
        <v>2276</v>
      </c>
      <c r="M28" s="33">
        <f t="shared" si="25"/>
        <v>2276</v>
      </c>
      <c r="N28" s="33">
        <f t="shared" si="26"/>
        <v>0</v>
      </c>
      <c r="Q28">
        <v>1</v>
      </c>
      <c r="R28" s="62">
        <f t="shared" si="4"/>
        <v>0</v>
      </c>
      <c r="S28" s="63">
        <f t="shared" si="5"/>
        <v>0</v>
      </c>
      <c r="T28" s="64">
        <f t="shared" si="6"/>
        <v>2276</v>
      </c>
    </row>
    <row r="29" spans="1:21" x14ac:dyDescent="0.3">
      <c r="A29" s="5" t="s">
        <v>473</v>
      </c>
      <c r="B29" s="5" t="s">
        <v>474</v>
      </c>
      <c r="C29" s="5">
        <v>200000</v>
      </c>
      <c r="D29" s="6">
        <v>232137</v>
      </c>
      <c r="E29" s="17" t="str">
        <f>VLOOKUP(A29,'forecast data dump'!$A$1:$H$3450,4,FALSE)</f>
        <v>04-Jan-21 A</v>
      </c>
      <c r="F29" s="17">
        <f>VLOOKUP(A29,'forecast data dump'!$A$1:$H$3450,5,FALSE)</f>
        <v>44410</v>
      </c>
      <c r="G29" s="42">
        <f>VLOOKUP(A29,'forecast data dump'!$A$1:$H$3450,8,FALSE)</f>
        <v>0.5</v>
      </c>
      <c r="H29" s="5" t="s">
        <v>3762</v>
      </c>
      <c r="I29" s="39">
        <f t="shared" si="23"/>
        <v>100000</v>
      </c>
      <c r="J29" s="5"/>
      <c r="K29" s="5"/>
      <c r="L29" s="33">
        <f t="shared" si="24"/>
        <v>116068.5</v>
      </c>
      <c r="M29" s="33">
        <f t="shared" si="25"/>
        <v>116068.5</v>
      </c>
      <c r="N29" s="33">
        <f t="shared" si="26"/>
        <v>0</v>
      </c>
      <c r="Q29">
        <v>1</v>
      </c>
      <c r="R29" s="62">
        <f t="shared" si="4"/>
        <v>0</v>
      </c>
      <c r="S29" s="63">
        <f t="shared" si="5"/>
        <v>0</v>
      </c>
      <c r="T29" s="64">
        <f t="shared" si="6"/>
        <v>116068.5</v>
      </c>
    </row>
    <row r="30" spans="1:21" x14ac:dyDescent="0.3">
      <c r="A30" s="3" t="s">
        <v>7826</v>
      </c>
      <c r="B30" s="3"/>
      <c r="C30" s="3"/>
      <c r="D30" s="4"/>
      <c r="E30" s="15"/>
      <c r="F30" s="15"/>
      <c r="G30" s="41"/>
      <c r="H30" s="3"/>
      <c r="I30" s="38"/>
      <c r="J30" s="3"/>
      <c r="K30" s="3"/>
      <c r="L30" s="32"/>
      <c r="M30" s="32"/>
      <c r="N30" s="32"/>
      <c r="R30" s="62"/>
      <c r="S30" s="63"/>
      <c r="T30" s="64"/>
    </row>
    <row r="31" spans="1:21" x14ac:dyDescent="0.3">
      <c r="A31" s="5" t="s">
        <v>499</v>
      </c>
      <c r="B31" s="5" t="s">
        <v>500</v>
      </c>
      <c r="C31" s="5">
        <v>33035</v>
      </c>
      <c r="D31" s="6">
        <v>37591</v>
      </c>
      <c r="E31" s="17" t="str">
        <f>VLOOKUP(A31,'forecast data dump'!$A$1:$H$3450,4,FALSE)</f>
        <v>12-Jan-21 A</v>
      </c>
      <c r="F31" s="17">
        <f>VLOOKUP(A31,'forecast data dump'!$A$1:$H$3450,5,FALSE)</f>
        <v>44406</v>
      </c>
      <c r="G31" s="42">
        <f>VLOOKUP(A31,'forecast data dump'!$A$1:$H$3450,8,FALSE)</f>
        <v>0.7</v>
      </c>
      <c r="H31" s="5" t="s">
        <v>3762</v>
      </c>
      <c r="I31" s="39">
        <f t="shared" ref="I31:I33" si="27">C31*(1-G31)</f>
        <v>9910.5000000000018</v>
      </c>
      <c r="J31" s="5"/>
      <c r="K31" s="5"/>
      <c r="L31" s="33">
        <f t="shared" ref="L31:L33" si="28">D31*(1-G31)</f>
        <v>11277.300000000001</v>
      </c>
      <c r="M31" s="33">
        <f t="shared" ref="M31:M33" si="29">IF(J31="",L31,(D31/C31)*J31)</f>
        <v>11277.300000000001</v>
      </c>
      <c r="N31" s="33">
        <f t="shared" ref="N31:N33" si="30">L31-M31</f>
        <v>0</v>
      </c>
      <c r="Q31">
        <v>1</v>
      </c>
      <c r="R31" s="62">
        <f t="shared" si="4"/>
        <v>0</v>
      </c>
      <c r="S31" s="63">
        <f t="shared" si="5"/>
        <v>0</v>
      </c>
      <c r="T31" s="64">
        <f t="shared" si="6"/>
        <v>11277.300000000001</v>
      </c>
    </row>
    <row r="32" spans="1:21" x14ac:dyDescent="0.3">
      <c r="A32" s="5" t="s">
        <v>505</v>
      </c>
      <c r="B32" s="5" t="s">
        <v>506</v>
      </c>
      <c r="C32" s="5">
        <v>18401</v>
      </c>
      <c r="D32" s="6">
        <v>20975</v>
      </c>
      <c r="E32" s="17">
        <f>VLOOKUP(A32,'forecast data dump'!$A$1:$H$3450,4,FALSE)</f>
        <v>44433</v>
      </c>
      <c r="F32" s="17">
        <f>VLOOKUP(A32,'forecast data dump'!$A$1:$H$3450,5,FALSE)</f>
        <v>44483</v>
      </c>
      <c r="G32" s="42">
        <f>VLOOKUP(A32,'forecast data dump'!$A$1:$H$3450,8,FALSE)</f>
        <v>0</v>
      </c>
      <c r="H32" s="5" t="s">
        <v>3762</v>
      </c>
      <c r="I32" s="39">
        <f t="shared" si="27"/>
        <v>18401</v>
      </c>
      <c r="J32" s="5"/>
      <c r="K32" s="5"/>
      <c r="L32" s="33">
        <f t="shared" si="28"/>
        <v>20975</v>
      </c>
      <c r="M32" s="33">
        <f t="shared" si="29"/>
        <v>20975</v>
      </c>
      <c r="N32" s="33">
        <f t="shared" si="30"/>
        <v>0</v>
      </c>
      <c r="Q32">
        <v>1</v>
      </c>
      <c r="R32" s="62">
        <f t="shared" si="4"/>
        <v>0</v>
      </c>
      <c r="S32" s="63">
        <f t="shared" si="5"/>
        <v>0</v>
      </c>
      <c r="T32" s="64">
        <f t="shared" si="6"/>
        <v>20975</v>
      </c>
    </row>
    <row r="33" spans="1:21" x14ac:dyDescent="0.3">
      <c r="A33" s="5" t="s">
        <v>507</v>
      </c>
      <c r="B33" s="5" t="s">
        <v>508</v>
      </c>
      <c r="C33" s="5">
        <v>34086</v>
      </c>
      <c r="D33" s="6">
        <v>39563</v>
      </c>
      <c r="E33" s="17" t="str">
        <f>VLOOKUP(A33,'forecast data dump'!$A$1:$H$3450,4,FALSE)</f>
        <v>08-Mar-21 A</v>
      </c>
      <c r="F33" s="17">
        <f>VLOOKUP(A33,'forecast data dump'!$A$1:$H$3450,5,FALSE)</f>
        <v>44439</v>
      </c>
      <c r="G33" s="42">
        <f>VLOOKUP(A33,'forecast data dump'!$A$1:$H$3450,8,FALSE)</f>
        <v>0.7</v>
      </c>
      <c r="H33" s="5" t="s">
        <v>3762</v>
      </c>
      <c r="I33" s="39">
        <f t="shared" si="27"/>
        <v>10225.800000000001</v>
      </c>
      <c r="J33" s="5"/>
      <c r="K33" s="5"/>
      <c r="L33" s="33">
        <f t="shared" si="28"/>
        <v>11868.900000000001</v>
      </c>
      <c r="M33" s="33">
        <f t="shared" si="29"/>
        <v>11868.900000000001</v>
      </c>
      <c r="N33" s="33">
        <f t="shared" si="30"/>
        <v>0</v>
      </c>
      <c r="Q33">
        <v>1</v>
      </c>
      <c r="R33" s="62">
        <f t="shared" si="4"/>
        <v>0</v>
      </c>
      <c r="S33" s="63">
        <f t="shared" si="5"/>
        <v>0</v>
      </c>
      <c r="T33" s="64">
        <f t="shared" si="6"/>
        <v>11868.900000000001</v>
      </c>
    </row>
    <row r="34" spans="1:21" x14ac:dyDescent="0.3">
      <c r="A34" s="3" t="s">
        <v>7827</v>
      </c>
      <c r="B34" s="3"/>
      <c r="C34" s="3"/>
      <c r="D34" s="4"/>
      <c r="E34" s="15"/>
      <c r="F34" s="15"/>
      <c r="G34" s="41"/>
      <c r="H34" s="3"/>
      <c r="I34" s="38"/>
      <c r="J34" s="3"/>
      <c r="K34" s="3"/>
      <c r="L34" s="32"/>
      <c r="M34" s="32"/>
      <c r="N34" s="32"/>
      <c r="R34" s="62"/>
      <c r="S34" s="63"/>
      <c r="T34" s="64"/>
    </row>
    <row r="35" spans="1:21" x14ac:dyDescent="0.3">
      <c r="A35" s="5" t="s">
        <v>539</v>
      </c>
      <c r="B35" s="5" t="s">
        <v>540</v>
      </c>
      <c r="C35" s="5">
        <v>11667</v>
      </c>
      <c r="D35" s="6">
        <v>13542</v>
      </c>
      <c r="E35" s="17">
        <f>VLOOKUP(A35,'forecast data dump'!$A$1:$H$3450,4,FALSE)</f>
        <v>44454</v>
      </c>
      <c r="F35" s="17">
        <f>VLOOKUP(A35,'forecast data dump'!$A$1:$H$3450,5,FALSE)</f>
        <v>44482</v>
      </c>
      <c r="G35" s="42">
        <f>VLOOKUP(A35,'forecast data dump'!$A$1:$H$3450,8,FALSE)</f>
        <v>0</v>
      </c>
      <c r="H35" s="5" t="s">
        <v>3762</v>
      </c>
      <c r="I35" s="39">
        <f t="shared" ref="I35" si="31">C35*(1-G35)</f>
        <v>11667</v>
      </c>
      <c r="J35" s="5"/>
      <c r="K35" s="5"/>
      <c r="L35" s="33">
        <f t="shared" ref="L35" si="32">D35*(1-G35)</f>
        <v>13542</v>
      </c>
      <c r="M35" s="33">
        <f t="shared" ref="M35" si="33">IF(J35="",L35,(D35/C35)*J35)</f>
        <v>13542</v>
      </c>
      <c r="N35" s="33">
        <f t="shared" ref="N35" si="34">L35-M35</f>
        <v>0</v>
      </c>
      <c r="Q35">
        <v>1</v>
      </c>
      <c r="R35" s="62">
        <f t="shared" si="4"/>
        <v>0</v>
      </c>
      <c r="S35" s="63">
        <f t="shared" si="5"/>
        <v>0</v>
      </c>
      <c r="T35" s="64">
        <f t="shared" si="6"/>
        <v>13542</v>
      </c>
    </row>
    <row r="36" spans="1:21" x14ac:dyDescent="0.3">
      <c r="A36" s="3" t="s">
        <v>7828</v>
      </c>
      <c r="B36" s="3"/>
      <c r="C36" s="3"/>
      <c r="D36" s="4"/>
      <c r="E36" s="15"/>
      <c r="F36" s="15"/>
      <c r="G36" s="41"/>
      <c r="H36" s="3"/>
      <c r="I36" s="38"/>
      <c r="J36" s="3"/>
      <c r="K36" s="3"/>
      <c r="L36" s="32"/>
      <c r="M36" s="32"/>
      <c r="N36" s="32"/>
      <c r="R36" s="62"/>
      <c r="S36" s="63"/>
      <c r="T36" s="64"/>
      <c r="U36" s="29">
        <f>SUM(R37:R108)</f>
        <v>279529.13</v>
      </c>
    </row>
    <row r="37" spans="1:21" x14ac:dyDescent="0.3">
      <c r="A37" s="5" t="s">
        <v>780</v>
      </c>
      <c r="B37" s="5" t="s">
        <v>781</v>
      </c>
      <c r="C37" s="5">
        <v>90653</v>
      </c>
      <c r="D37" s="6">
        <v>104592</v>
      </c>
      <c r="E37" s="17" t="str">
        <f>VLOOKUP(A37,'forecast data dump'!$A$1:$H$3450,4,FALSE)</f>
        <v>03-Aug-20 A</v>
      </c>
      <c r="F37" s="17">
        <f>VLOOKUP(A37,'forecast data dump'!$A$1:$H$3450,5,FALSE)</f>
        <v>44396</v>
      </c>
      <c r="G37" s="42">
        <v>0.66</v>
      </c>
      <c r="H37" s="5" t="s">
        <v>3805</v>
      </c>
      <c r="I37" s="39">
        <f t="shared" ref="I37:I40" si="35">C37*(1-G37)</f>
        <v>30822.019999999997</v>
      </c>
      <c r="J37" s="5"/>
      <c r="K37" s="5"/>
      <c r="L37" s="33">
        <f t="shared" ref="L37:L40" si="36">D37*(1-G37)</f>
        <v>35561.279999999999</v>
      </c>
      <c r="M37" s="33">
        <f t="shared" ref="M37:M40" si="37">IF(J37="",L37,(D37/C37)*J37)</f>
        <v>35561.279999999999</v>
      </c>
      <c r="N37" s="33">
        <f t="shared" ref="N37:N40" si="38">L37-M37</f>
        <v>0</v>
      </c>
      <c r="O37">
        <v>1</v>
      </c>
      <c r="R37" s="62">
        <f t="shared" si="4"/>
        <v>35561.279999999999</v>
      </c>
      <c r="S37" s="63">
        <f t="shared" si="5"/>
        <v>0</v>
      </c>
      <c r="T37" s="64">
        <f t="shared" si="6"/>
        <v>0</v>
      </c>
      <c r="U37" s="103" t="s">
        <v>8344</v>
      </c>
    </row>
    <row r="38" spans="1:21" x14ac:dyDescent="0.3">
      <c r="A38" s="5" t="s">
        <v>784</v>
      </c>
      <c r="B38" s="5" t="s">
        <v>785</v>
      </c>
      <c r="C38" s="5">
        <v>26230</v>
      </c>
      <c r="D38" s="6">
        <v>30218</v>
      </c>
      <c r="E38" s="17" t="str">
        <f>VLOOKUP(A38,'forecast data dump'!$A$1:$H$3450,4,FALSE)</f>
        <v>03-Aug-20 A</v>
      </c>
      <c r="F38" s="17">
        <f>VLOOKUP(A38,'forecast data dump'!$A$1:$H$3450,5,FALSE)</f>
        <v>44396</v>
      </c>
      <c r="G38" s="42">
        <f>VLOOKUP(A38,'forecast data dump'!$A$1:$H$3450,8,FALSE)</f>
        <v>0.75</v>
      </c>
      <c r="H38" s="5" t="s">
        <v>3805</v>
      </c>
      <c r="I38" s="39">
        <f t="shared" si="35"/>
        <v>6557.5</v>
      </c>
      <c r="J38" s="5"/>
      <c r="K38" s="5"/>
      <c r="L38" s="33">
        <f t="shared" si="36"/>
        <v>7554.5</v>
      </c>
      <c r="M38" s="33">
        <f t="shared" si="37"/>
        <v>7554.5</v>
      </c>
      <c r="N38" s="33">
        <f t="shared" si="38"/>
        <v>0</v>
      </c>
      <c r="O38">
        <v>1</v>
      </c>
      <c r="R38" s="62">
        <f t="shared" si="4"/>
        <v>7554.5</v>
      </c>
      <c r="S38" s="63">
        <f t="shared" si="5"/>
        <v>0</v>
      </c>
      <c r="T38" s="64">
        <f t="shared" si="6"/>
        <v>0</v>
      </c>
    </row>
    <row r="39" spans="1:21" x14ac:dyDescent="0.3">
      <c r="A39" s="5" t="s">
        <v>830</v>
      </c>
      <c r="B39" s="5" t="s">
        <v>831</v>
      </c>
      <c r="C39" s="5">
        <v>52800</v>
      </c>
      <c r="D39" s="6">
        <v>60868</v>
      </c>
      <c r="E39" s="17" t="str">
        <f>VLOOKUP(A39,'forecast data dump'!$A$1:$H$3450,4,FALSE)</f>
        <v>01-May-20 A</v>
      </c>
      <c r="F39" s="17">
        <f>VLOOKUP(A39,'forecast data dump'!$A$1:$H$3450,5,FALSE)</f>
        <v>44530</v>
      </c>
      <c r="G39" s="42">
        <v>0.71</v>
      </c>
      <c r="H39" s="5" t="s">
        <v>3762</v>
      </c>
      <c r="I39" s="39">
        <f t="shared" si="35"/>
        <v>15312.000000000002</v>
      </c>
      <c r="J39" s="5"/>
      <c r="K39" s="5"/>
      <c r="L39" s="33">
        <f t="shared" si="36"/>
        <v>17651.72</v>
      </c>
      <c r="M39" s="33">
        <f t="shared" si="37"/>
        <v>17651.72</v>
      </c>
      <c r="N39" s="33">
        <f t="shared" si="38"/>
        <v>0</v>
      </c>
      <c r="O39">
        <v>1</v>
      </c>
      <c r="R39" s="62">
        <f t="shared" si="4"/>
        <v>17651.72</v>
      </c>
      <c r="S39" s="63">
        <f t="shared" si="5"/>
        <v>0</v>
      </c>
      <c r="T39" s="64">
        <f t="shared" si="6"/>
        <v>0</v>
      </c>
    </row>
    <row r="40" spans="1:21" x14ac:dyDescent="0.3">
      <c r="A40" s="5" t="s">
        <v>832</v>
      </c>
      <c r="B40" s="5" t="s">
        <v>833</v>
      </c>
      <c r="C40" s="5">
        <v>460000</v>
      </c>
      <c r="D40" s="6">
        <v>533915</v>
      </c>
      <c r="E40" s="17" t="str">
        <f>VLOOKUP(A40,'forecast data dump'!$A$1:$H$3450,4,FALSE)</f>
        <v>01-Dec-20 A</v>
      </c>
      <c r="F40" s="17">
        <f>VLOOKUP(A40,'forecast data dump'!$A$1:$H$3450,5,FALSE)</f>
        <v>44466</v>
      </c>
      <c r="G40" s="42">
        <v>0.8</v>
      </c>
      <c r="H40" s="5" t="s">
        <v>3762</v>
      </c>
      <c r="I40" s="39">
        <f t="shared" si="35"/>
        <v>91999.999999999985</v>
      </c>
      <c r="J40" s="5"/>
      <c r="K40" s="5"/>
      <c r="L40" s="33">
        <f t="shared" si="36"/>
        <v>106782.99999999997</v>
      </c>
      <c r="M40" s="33">
        <f t="shared" si="37"/>
        <v>106782.99999999997</v>
      </c>
      <c r="N40" s="33">
        <f t="shared" si="38"/>
        <v>0</v>
      </c>
      <c r="O40">
        <v>1</v>
      </c>
      <c r="R40" s="62">
        <f t="shared" si="4"/>
        <v>106782.99999999997</v>
      </c>
      <c r="S40" s="63">
        <f t="shared" si="5"/>
        <v>0</v>
      </c>
      <c r="T40" s="64">
        <f t="shared" si="6"/>
        <v>0</v>
      </c>
    </row>
    <row r="41" spans="1:21" x14ac:dyDescent="0.3">
      <c r="A41" s="3" t="s">
        <v>7829</v>
      </c>
      <c r="B41" s="3"/>
      <c r="C41" s="3"/>
      <c r="D41" s="4"/>
      <c r="E41" s="15"/>
      <c r="F41" s="15"/>
      <c r="G41" s="41"/>
      <c r="H41" s="3"/>
      <c r="I41" s="38"/>
      <c r="J41" s="3"/>
      <c r="K41" s="3"/>
      <c r="L41" s="32"/>
      <c r="M41" s="32"/>
      <c r="N41" s="32"/>
      <c r="R41" s="62"/>
      <c r="S41" s="63"/>
      <c r="T41" s="64"/>
    </row>
    <row r="42" spans="1:21" x14ac:dyDescent="0.3">
      <c r="A42" s="5" t="s">
        <v>732</v>
      </c>
      <c r="B42" s="5" t="s">
        <v>733</v>
      </c>
      <c r="C42" s="5">
        <v>50</v>
      </c>
      <c r="D42" s="6">
        <v>2663</v>
      </c>
      <c r="E42" s="17">
        <f>VLOOKUP(A42,'forecast data dump'!$A$1:$H$3450,4,FALSE)</f>
        <v>44420</v>
      </c>
      <c r="F42" s="17">
        <f>VLOOKUP(A42,'forecast data dump'!$A$1:$H$3450,5,FALSE)</f>
        <v>44427</v>
      </c>
      <c r="G42" s="42">
        <v>0.77</v>
      </c>
      <c r="H42" s="5" t="s">
        <v>3803</v>
      </c>
      <c r="I42" s="39">
        <f t="shared" ref="I42:I90" si="39">C42*(1-G42)</f>
        <v>11.5</v>
      </c>
      <c r="J42" s="5"/>
      <c r="K42" s="5"/>
      <c r="L42" s="33">
        <f t="shared" ref="L42:L90" si="40">D42*(1-G42)</f>
        <v>612.49</v>
      </c>
      <c r="M42" s="33">
        <f t="shared" ref="M42:M90" si="41">IF(J42="",L42,(D42/C42)*J42)</f>
        <v>612.49</v>
      </c>
      <c r="N42" s="33">
        <f t="shared" ref="N42:N90" si="42">L42-M42</f>
        <v>0</v>
      </c>
      <c r="O42">
        <v>1</v>
      </c>
      <c r="R42" s="62">
        <f t="shared" si="4"/>
        <v>612.49</v>
      </c>
      <c r="S42" s="63">
        <f t="shared" si="5"/>
        <v>0</v>
      </c>
      <c r="T42" s="64">
        <f t="shared" si="6"/>
        <v>0</v>
      </c>
    </row>
    <row r="43" spans="1:21" x14ac:dyDescent="0.3">
      <c r="A43" s="5" t="s">
        <v>732</v>
      </c>
      <c r="B43" s="5" t="s">
        <v>733</v>
      </c>
      <c r="C43" s="5">
        <v>75</v>
      </c>
      <c r="D43" s="6">
        <v>1337</v>
      </c>
      <c r="E43" s="17">
        <f>VLOOKUP(A43,'forecast data dump'!$A$1:$H$3450,4,FALSE)</f>
        <v>44420</v>
      </c>
      <c r="F43" s="17">
        <f>VLOOKUP(A43,'forecast data dump'!$A$1:$H$3450,5,FALSE)</f>
        <v>44427</v>
      </c>
      <c r="G43" s="42">
        <v>0.77</v>
      </c>
      <c r="H43" s="5" t="s">
        <v>3804</v>
      </c>
      <c r="I43" s="39">
        <f t="shared" si="39"/>
        <v>17.25</v>
      </c>
      <c r="J43" s="5"/>
      <c r="K43" s="5"/>
      <c r="L43" s="33">
        <f t="shared" si="40"/>
        <v>307.51</v>
      </c>
      <c r="M43" s="33">
        <f t="shared" si="41"/>
        <v>307.51</v>
      </c>
      <c r="N43" s="33">
        <f t="shared" si="42"/>
        <v>0</v>
      </c>
      <c r="O43">
        <v>1</v>
      </c>
      <c r="R43" s="62">
        <f t="shared" si="4"/>
        <v>307.51</v>
      </c>
      <c r="S43" s="63">
        <f t="shared" si="5"/>
        <v>0</v>
      </c>
      <c r="T43" s="64">
        <f t="shared" si="6"/>
        <v>0</v>
      </c>
    </row>
    <row r="44" spans="1:21" x14ac:dyDescent="0.3">
      <c r="A44" s="5" t="s">
        <v>732</v>
      </c>
      <c r="B44" s="5" t="s">
        <v>733</v>
      </c>
      <c r="C44" s="5">
        <v>10</v>
      </c>
      <c r="D44" s="6">
        <v>1162</v>
      </c>
      <c r="E44" s="17">
        <f>VLOOKUP(A44,'forecast data dump'!$A$1:$H$3450,4,FALSE)</f>
        <v>44420</v>
      </c>
      <c r="F44" s="17">
        <f>VLOOKUP(A44,'forecast data dump'!$A$1:$H$3450,5,FALSE)</f>
        <v>44427</v>
      </c>
      <c r="G44" s="42">
        <v>0.77</v>
      </c>
      <c r="H44" s="5" t="s">
        <v>3802</v>
      </c>
      <c r="I44" s="39">
        <f t="shared" si="39"/>
        <v>2.2999999999999998</v>
      </c>
      <c r="J44" s="5"/>
      <c r="K44" s="5"/>
      <c r="L44" s="33">
        <f t="shared" si="40"/>
        <v>267.26</v>
      </c>
      <c r="M44" s="33">
        <f t="shared" si="41"/>
        <v>267.26</v>
      </c>
      <c r="N44" s="33">
        <f t="shared" si="42"/>
        <v>0</v>
      </c>
      <c r="O44">
        <v>1</v>
      </c>
      <c r="R44" s="62">
        <f t="shared" si="4"/>
        <v>267.26</v>
      </c>
      <c r="S44" s="63">
        <f t="shared" si="5"/>
        <v>0</v>
      </c>
      <c r="T44" s="64">
        <f t="shared" si="6"/>
        <v>0</v>
      </c>
    </row>
    <row r="45" spans="1:21" x14ac:dyDescent="0.3">
      <c r="A45" s="5" t="s">
        <v>734</v>
      </c>
      <c r="B45" s="5" t="s">
        <v>735</v>
      </c>
      <c r="C45" s="5">
        <v>50</v>
      </c>
      <c r="D45" s="6">
        <v>2663</v>
      </c>
      <c r="E45" s="17">
        <f>VLOOKUP(A45,'forecast data dump'!$A$1:$H$3450,4,FALSE)</f>
        <v>44428</v>
      </c>
      <c r="F45" s="17">
        <f>VLOOKUP(A45,'forecast data dump'!$A$1:$H$3450,5,FALSE)</f>
        <v>44435</v>
      </c>
      <c r="G45" s="42">
        <f>VLOOKUP(A45,'forecast data dump'!$A$1:$H$3450,8,FALSE)</f>
        <v>0</v>
      </c>
      <c r="H45" s="5" t="s">
        <v>3803</v>
      </c>
      <c r="I45" s="39">
        <f t="shared" si="39"/>
        <v>50</v>
      </c>
      <c r="J45" s="5"/>
      <c r="K45" s="5"/>
      <c r="L45" s="33">
        <f t="shared" si="40"/>
        <v>2663</v>
      </c>
      <c r="M45" s="33">
        <f t="shared" si="41"/>
        <v>2663</v>
      </c>
      <c r="N45" s="33">
        <f t="shared" si="42"/>
        <v>0</v>
      </c>
      <c r="O45">
        <v>1</v>
      </c>
      <c r="R45" s="62">
        <f t="shared" si="4"/>
        <v>2663</v>
      </c>
      <c r="S45" s="63">
        <f t="shared" si="5"/>
        <v>0</v>
      </c>
      <c r="T45" s="64">
        <f t="shared" si="6"/>
        <v>0</v>
      </c>
    </row>
    <row r="46" spans="1:21" x14ac:dyDescent="0.3">
      <c r="A46" s="5" t="s">
        <v>734</v>
      </c>
      <c r="B46" s="5" t="s">
        <v>735</v>
      </c>
      <c r="C46" s="5">
        <v>75</v>
      </c>
      <c r="D46" s="6">
        <v>1337</v>
      </c>
      <c r="E46" s="17">
        <f>VLOOKUP(A46,'forecast data dump'!$A$1:$H$3450,4,FALSE)</f>
        <v>44428</v>
      </c>
      <c r="F46" s="17">
        <f>VLOOKUP(A46,'forecast data dump'!$A$1:$H$3450,5,FALSE)</f>
        <v>44435</v>
      </c>
      <c r="G46" s="42">
        <f>VLOOKUP(A46,'forecast data dump'!$A$1:$H$3450,8,FALSE)</f>
        <v>0</v>
      </c>
      <c r="H46" s="5" t="s">
        <v>3804</v>
      </c>
      <c r="I46" s="39">
        <f t="shared" si="39"/>
        <v>75</v>
      </c>
      <c r="J46" s="5"/>
      <c r="K46" s="5"/>
      <c r="L46" s="33">
        <f t="shared" si="40"/>
        <v>1337</v>
      </c>
      <c r="M46" s="33">
        <f t="shared" si="41"/>
        <v>1337</v>
      </c>
      <c r="N46" s="33">
        <f t="shared" si="42"/>
        <v>0</v>
      </c>
      <c r="O46">
        <v>1</v>
      </c>
      <c r="R46" s="62">
        <f t="shared" ref="R46:R108" si="43">O46*M46</f>
        <v>1337</v>
      </c>
      <c r="S46" s="63">
        <f t="shared" ref="S46:S108" si="44">P46*M46</f>
        <v>0</v>
      </c>
      <c r="T46" s="64">
        <f t="shared" ref="T46:T108" si="45">Q46*M46</f>
        <v>0</v>
      </c>
    </row>
    <row r="47" spans="1:21" x14ac:dyDescent="0.3">
      <c r="A47" s="5" t="s">
        <v>734</v>
      </c>
      <c r="B47" s="5" t="s">
        <v>735</v>
      </c>
      <c r="C47" s="5">
        <v>10</v>
      </c>
      <c r="D47" s="6">
        <v>1162</v>
      </c>
      <c r="E47" s="17">
        <f>VLOOKUP(A47,'forecast data dump'!$A$1:$H$3450,4,FALSE)</f>
        <v>44428</v>
      </c>
      <c r="F47" s="17">
        <f>VLOOKUP(A47,'forecast data dump'!$A$1:$H$3450,5,FALSE)</f>
        <v>44435</v>
      </c>
      <c r="G47" s="42">
        <f>VLOOKUP(A47,'forecast data dump'!$A$1:$H$3450,8,FALSE)</f>
        <v>0</v>
      </c>
      <c r="H47" s="5" t="s">
        <v>3802</v>
      </c>
      <c r="I47" s="39">
        <f t="shared" si="39"/>
        <v>10</v>
      </c>
      <c r="J47" s="5"/>
      <c r="K47" s="5"/>
      <c r="L47" s="33">
        <f t="shared" si="40"/>
        <v>1162</v>
      </c>
      <c r="M47" s="33">
        <f t="shared" si="41"/>
        <v>1162</v>
      </c>
      <c r="N47" s="33">
        <f t="shared" si="42"/>
        <v>0</v>
      </c>
      <c r="O47">
        <v>1</v>
      </c>
      <c r="R47" s="62">
        <f t="shared" si="43"/>
        <v>1162</v>
      </c>
      <c r="S47" s="63">
        <f t="shared" si="44"/>
        <v>0</v>
      </c>
      <c r="T47" s="64">
        <f t="shared" si="45"/>
        <v>0</v>
      </c>
    </row>
    <row r="48" spans="1:21" x14ac:dyDescent="0.3">
      <c r="A48" s="5" t="s">
        <v>736</v>
      </c>
      <c r="B48" s="5" t="s">
        <v>737</v>
      </c>
      <c r="C48" s="5">
        <v>50</v>
      </c>
      <c r="D48" s="6">
        <v>2663</v>
      </c>
      <c r="E48" s="17">
        <f>VLOOKUP(A48,'forecast data dump'!$A$1:$H$3450,4,FALSE)</f>
        <v>44438</v>
      </c>
      <c r="F48" s="17">
        <f>VLOOKUP(A48,'forecast data dump'!$A$1:$H$3450,5,FALSE)</f>
        <v>44446</v>
      </c>
      <c r="G48" s="42">
        <f>VLOOKUP(A48,'forecast data dump'!$A$1:$H$3450,8,FALSE)</f>
        <v>0</v>
      </c>
      <c r="H48" s="5" t="s">
        <v>3803</v>
      </c>
      <c r="I48" s="39">
        <f t="shared" si="39"/>
        <v>50</v>
      </c>
      <c r="J48" s="5"/>
      <c r="K48" s="5"/>
      <c r="L48" s="33">
        <f t="shared" si="40"/>
        <v>2663</v>
      </c>
      <c r="M48" s="33">
        <f t="shared" si="41"/>
        <v>2663</v>
      </c>
      <c r="N48" s="33">
        <f t="shared" si="42"/>
        <v>0</v>
      </c>
      <c r="O48">
        <v>1</v>
      </c>
      <c r="R48" s="62">
        <f t="shared" si="43"/>
        <v>2663</v>
      </c>
      <c r="S48" s="63">
        <f t="shared" si="44"/>
        <v>0</v>
      </c>
      <c r="T48" s="64">
        <f t="shared" si="45"/>
        <v>0</v>
      </c>
    </row>
    <row r="49" spans="1:20" x14ac:dyDescent="0.3">
      <c r="A49" s="5" t="s">
        <v>736</v>
      </c>
      <c r="B49" s="5" t="s">
        <v>737</v>
      </c>
      <c r="C49" s="5">
        <v>75</v>
      </c>
      <c r="D49" s="6">
        <v>1337</v>
      </c>
      <c r="E49" s="17">
        <f>VLOOKUP(A49,'forecast data dump'!$A$1:$H$3450,4,FALSE)</f>
        <v>44438</v>
      </c>
      <c r="F49" s="17">
        <f>VLOOKUP(A49,'forecast data dump'!$A$1:$H$3450,5,FALSE)</f>
        <v>44446</v>
      </c>
      <c r="G49" s="42">
        <f>VLOOKUP(A49,'forecast data dump'!$A$1:$H$3450,8,FALSE)</f>
        <v>0</v>
      </c>
      <c r="H49" s="5" t="s">
        <v>3804</v>
      </c>
      <c r="I49" s="39">
        <f t="shared" si="39"/>
        <v>75</v>
      </c>
      <c r="J49" s="5"/>
      <c r="K49" s="5"/>
      <c r="L49" s="33">
        <f t="shared" si="40"/>
        <v>1337</v>
      </c>
      <c r="M49" s="33">
        <f t="shared" si="41"/>
        <v>1337</v>
      </c>
      <c r="N49" s="33">
        <f t="shared" si="42"/>
        <v>0</v>
      </c>
      <c r="O49">
        <v>1</v>
      </c>
      <c r="R49" s="62">
        <f t="shared" si="43"/>
        <v>1337</v>
      </c>
      <c r="S49" s="63">
        <f t="shared" si="44"/>
        <v>0</v>
      </c>
      <c r="T49" s="64">
        <f t="shared" si="45"/>
        <v>0</v>
      </c>
    </row>
    <row r="50" spans="1:20" x14ac:dyDescent="0.3">
      <c r="A50" s="5" t="s">
        <v>736</v>
      </c>
      <c r="B50" s="5" t="s">
        <v>737</v>
      </c>
      <c r="C50" s="5">
        <v>10</v>
      </c>
      <c r="D50" s="6">
        <v>1162</v>
      </c>
      <c r="E50" s="17">
        <f>VLOOKUP(A50,'forecast data dump'!$A$1:$H$3450,4,FALSE)</f>
        <v>44438</v>
      </c>
      <c r="F50" s="17">
        <f>VLOOKUP(A50,'forecast data dump'!$A$1:$H$3450,5,FALSE)</f>
        <v>44446</v>
      </c>
      <c r="G50" s="42">
        <f>VLOOKUP(A50,'forecast data dump'!$A$1:$H$3450,8,FALSE)</f>
        <v>0</v>
      </c>
      <c r="H50" s="5" t="s">
        <v>3802</v>
      </c>
      <c r="I50" s="39">
        <f t="shared" si="39"/>
        <v>10</v>
      </c>
      <c r="J50" s="5"/>
      <c r="K50" s="5"/>
      <c r="L50" s="33">
        <f t="shared" si="40"/>
        <v>1162</v>
      </c>
      <c r="M50" s="33">
        <f t="shared" si="41"/>
        <v>1162</v>
      </c>
      <c r="N50" s="33">
        <f t="shared" si="42"/>
        <v>0</v>
      </c>
      <c r="O50">
        <v>1</v>
      </c>
      <c r="R50" s="62">
        <f t="shared" si="43"/>
        <v>1162</v>
      </c>
      <c r="S50" s="63">
        <f t="shared" si="44"/>
        <v>0</v>
      </c>
      <c r="T50" s="64">
        <f t="shared" si="45"/>
        <v>0</v>
      </c>
    </row>
    <row r="51" spans="1:20" x14ac:dyDescent="0.3">
      <c r="A51" s="5" t="s">
        <v>738</v>
      </c>
      <c r="B51" s="5" t="s">
        <v>739</v>
      </c>
      <c r="C51" s="5">
        <v>50</v>
      </c>
      <c r="D51" s="6">
        <v>2663</v>
      </c>
      <c r="E51" s="17">
        <f>VLOOKUP(A51,'forecast data dump'!$A$1:$H$3450,4,FALSE)</f>
        <v>44447</v>
      </c>
      <c r="F51" s="17">
        <f>VLOOKUP(A51,'forecast data dump'!$A$1:$H$3450,5,FALSE)</f>
        <v>44454</v>
      </c>
      <c r="G51" s="42">
        <f>VLOOKUP(A51,'forecast data dump'!$A$1:$H$3450,8,FALSE)</f>
        <v>0</v>
      </c>
      <c r="H51" s="5" t="s">
        <v>3803</v>
      </c>
      <c r="I51" s="39">
        <f t="shared" si="39"/>
        <v>50</v>
      </c>
      <c r="J51" s="5"/>
      <c r="K51" s="5"/>
      <c r="L51" s="33">
        <f t="shared" si="40"/>
        <v>2663</v>
      </c>
      <c r="M51" s="33">
        <f t="shared" si="41"/>
        <v>2663</v>
      </c>
      <c r="N51" s="33">
        <f t="shared" si="42"/>
        <v>0</v>
      </c>
      <c r="O51">
        <v>1</v>
      </c>
      <c r="R51" s="62">
        <f t="shared" si="43"/>
        <v>2663</v>
      </c>
      <c r="S51" s="63">
        <f t="shared" si="44"/>
        <v>0</v>
      </c>
      <c r="T51" s="64">
        <f t="shared" si="45"/>
        <v>0</v>
      </c>
    </row>
    <row r="52" spans="1:20" x14ac:dyDescent="0.3">
      <c r="A52" s="5" t="s">
        <v>738</v>
      </c>
      <c r="B52" s="5" t="s">
        <v>739</v>
      </c>
      <c r="C52" s="5">
        <v>75</v>
      </c>
      <c r="D52" s="6">
        <v>1337</v>
      </c>
      <c r="E52" s="17">
        <f>VLOOKUP(A52,'forecast data dump'!$A$1:$H$3450,4,FALSE)</f>
        <v>44447</v>
      </c>
      <c r="F52" s="17">
        <f>VLOOKUP(A52,'forecast data dump'!$A$1:$H$3450,5,FALSE)</f>
        <v>44454</v>
      </c>
      <c r="G52" s="42">
        <f>VLOOKUP(A52,'forecast data dump'!$A$1:$H$3450,8,FALSE)</f>
        <v>0</v>
      </c>
      <c r="H52" s="5" t="s">
        <v>3804</v>
      </c>
      <c r="I52" s="39">
        <f t="shared" si="39"/>
        <v>75</v>
      </c>
      <c r="J52" s="5"/>
      <c r="K52" s="5"/>
      <c r="L52" s="33">
        <f t="shared" si="40"/>
        <v>1337</v>
      </c>
      <c r="M52" s="33">
        <f t="shared" si="41"/>
        <v>1337</v>
      </c>
      <c r="N52" s="33">
        <f t="shared" si="42"/>
        <v>0</v>
      </c>
      <c r="O52">
        <v>1</v>
      </c>
      <c r="R52" s="62">
        <f t="shared" si="43"/>
        <v>1337</v>
      </c>
      <c r="S52" s="63">
        <f t="shared" si="44"/>
        <v>0</v>
      </c>
      <c r="T52" s="64">
        <f t="shared" si="45"/>
        <v>0</v>
      </c>
    </row>
    <row r="53" spans="1:20" x14ac:dyDescent="0.3">
      <c r="A53" s="5" t="s">
        <v>738</v>
      </c>
      <c r="B53" s="5" t="s">
        <v>739</v>
      </c>
      <c r="C53" s="5">
        <v>10</v>
      </c>
      <c r="D53" s="6">
        <v>1162</v>
      </c>
      <c r="E53" s="17">
        <f>VLOOKUP(A53,'forecast data dump'!$A$1:$H$3450,4,FALSE)</f>
        <v>44447</v>
      </c>
      <c r="F53" s="17">
        <f>VLOOKUP(A53,'forecast data dump'!$A$1:$H$3450,5,FALSE)</f>
        <v>44454</v>
      </c>
      <c r="G53" s="42">
        <f>VLOOKUP(A53,'forecast data dump'!$A$1:$H$3450,8,FALSE)</f>
        <v>0</v>
      </c>
      <c r="H53" s="5" t="s">
        <v>3802</v>
      </c>
      <c r="I53" s="39">
        <f t="shared" si="39"/>
        <v>10</v>
      </c>
      <c r="J53" s="5"/>
      <c r="K53" s="5"/>
      <c r="L53" s="33">
        <f t="shared" si="40"/>
        <v>1162</v>
      </c>
      <c r="M53" s="33">
        <f t="shared" si="41"/>
        <v>1162</v>
      </c>
      <c r="N53" s="33">
        <f t="shared" si="42"/>
        <v>0</v>
      </c>
      <c r="O53">
        <v>1</v>
      </c>
      <c r="R53" s="62">
        <f t="shared" si="43"/>
        <v>1162</v>
      </c>
      <c r="S53" s="63">
        <f t="shared" si="44"/>
        <v>0</v>
      </c>
      <c r="T53" s="64">
        <f t="shared" si="45"/>
        <v>0</v>
      </c>
    </row>
    <row r="54" spans="1:20" x14ac:dyDescent="0.3">
      <c r="A54" s="5" t="s">
        <v>740</v>
      </c>
      <c r="B54" s="5" t="s">
        <v>741</v>
      </c>
      <c r="C54" s="5">
        <v>50</v>
      </c>
      <c r="D54" s="6">
        <v>2663</v>
      </c>
      <c r="E54" s="17">
        <f>VLOOKUP(A54,'forecast data dump'!$A$1:$H$3450,4,FALSE)</f>
        <v>44455</v>
      </c>
      <c r="F54" s="17">
        <f>VLOOKUP(A54,'forecast data dump'!$A$1:$H$3450,5,FALSE)</f>
        <v>44462</v>
      </c>
      <c r="G54" s="42">
        <f>VLOOKUP(A54,'forecast data dump'!$A$1:$H$3450,8,FALSE)</f>
        <v>0</v>
      </c>
      <c r="H54" s="5" t="s">
        <v>3803</v>
      </c>
      <c r="I54" s="39">
        <f t="shared" si="39"/>
        <v>50</v>
      </c>
      <c r="J54" s="5"/>
      <c r="K54" s="5"/>
      <c r="L54" s="33">
        <f t="shared" si="40"/>
        <v>2663</v>
      </c>
      <c r="M54" s="33">
        <f t="shared" si="41"/>
        <v>2663</v>
      </c>
      <c r="N54" s="33">
        <f t="shared" si="42"/>
        <v>0</v>
      </c>
      <c r="O54">
        <v>1</v>
      </c>
      <c r="R54" s="62">
        <f t="shared" si="43"/>
        <v>2663</v>
      </c>
      <c r="S54" s="63">
        <f t="shared" si="44"/>
        <v>0</v>
      </c>
      <c r="T54" s="64">
        <f t="shared" si="45"/>
        <v>0</v>
      </c>
    </row>
    <row r="55" spans="1:20" x14ac:dyDescent="0.3">
      <c r="A55" s="5" t="s">
        <v>740</v>
      </c>
      <c r="B55" s="5" t="s">
        <v>741</v>
      </c>
      <c r="C55" s="5">
        <v>75</v>
      </c>
      <c r="D55" s="6">
        <v>1337</v>
      </c>
      <c r="E55" s="17">
        <f>VLOOKUP(A55,'forecast data dump'!$A$1:$H$3450,4,FALSE)</f>
        <v>44455</v>
      </c>
      <c r="F55" s="17">
        <f>VLOOKUP(A55,'forecast data dump'!$A$1:$H$3450,5,FALSE)</f>
        <v>44462</v>
      </c>
      <c r="G55" s="42">
        <f>VLOOKUP(A55,'forecast data dump'!$A$1:$H$3450,8,FALSE)</f>
        <v>0</v>
      </c>
      <c r="H55" s="5" t="s">
        <v>3804</v>
      </c>
      <c r="I55" s="39">
        <f t="shared" si="39"/>
        <v>75</v>
      </c>
      <c r="J55" s="5"/>
      <c r="K55" s="5"/>
      <c r="L55" s="33">
        <f t="shared" si="40"/>
        <v>1337</v>
      </c>
      <c r="M55" s="33">
        <f t="shared" si="41"/>
        <v>1337</v>
      </c>
      <c r="N55" s="33">
        <f t="shared" si="42"/>
        <v>0</v>
      </c>
      <c r="O55">
        <v>1</v>
      </c>
      <c r="R55" s="62">
        <f t="shared" si="43"/>
        <v>1337</v>
      </c>
      <c r="S55" s="63">
        <f t="shared" si="44"/>
        <v>0</v>
      </c>
      <c r="T55" s="64">
        <f t="shared" si="45"/>
        <v>0</v>
      </c>
    </row>
    <row r="56" spans="1:20" x14ac:dyDescent="0.3">
      <c r="A56" s="5" t="s">
        <v>740</v>
      </c>
      <c r="B56" s="5" t="s">
        <v>741</v>
      </c>
      <c r="C56" s="5">
        <v>10</v>
      </c>
      <c r="D56" s="6">
        <v>1162</v>
      </c>
      <c r="E56" s="17">
        <f>VLOOKUP(A56,'forecast data dump'!$A$1:$H$3450,4,FALSE)</f>
        <v>44455</v>
      </c>
      <c r="F56" s="17">
        <f>VLOOKUP(A56,'forecast data dump'!$A$1:$H$3450,5,FALSE)</f>
        <v>44462</v>
      </c>
      <c r="G56" s="42">
        <f>VLOOKUP(A56,'forecast data dump'!$A$1:$H$3450,8,FALSE)</f>
        <v>0</v>
      </c>
      <c r="H56" s="5" t="s">
        <v>3802</v>
      </c>
      <c r="I56" s="39">
        <f t="shared" si="39"/>
        <v>10</v>
      </c>
      <c r="J56" s="5"/>
      <c r="K56" s="5"/>
      <c r="L56" s="33">
        <f t="shared" si="40"/>
        <v>1162</v>
      </c>
      <c r="M56" s="33">
        <f t="shared" si="41"/>
        <v>1162</v>
      </c>
      <c r="N56" s="33">
        <f t="shared" si="42"/>
        <v>0</v>
      </c>
      <c r="O56">
        <v>1</v>
      </c>
      <c r="R56" s="62">
        <f t="shared" si="43"/>
        <v>1162</v>
      </c>
      <c r="S56" s="63">
        <f t="shared" si="44"/>
        <v>0</v>
      </c>
      <c r="T56" s="64">
        <f t="shared" si="45"/>
        <v>0</v>
      </c>
    </row>
    <row r="57" spans="1:20" x14ac:dyDescent="0.3">
      <c r="A57" s="5" t="s">
        <v>742</v>
      </c>
      <c r="B57" s="5" t="s">
        <v>743</v>
      </c>
      <c r="C57" s="5">
        <v>50</v>
      </c>
      <c r="D57" s="6">
        <v>2663</v>
      </c>
      <c r="E57" s="17">
        <f>VLOOKUP(A57,'forecast data dump'!$A$1:$H$3450,4,FALSE)</f>
        <v>44463</v>
      </c>
      <c r="F57" s="17">
        <f>VLOOKUP(A57,'forecast data dump'!$A$1:$H$3450,5,FALSE)</f>
        <v>44470</v>
      </c>
      <c r="G57" s="42">
        <f>VLOOKUP(A57,'forecast data dump'!$A$1:$H$3450,8,FALSE)</f>
        <v>0</v>
      </c>
      <c r="H57" s="5" t="s">
        <v>3803</v>
      </c>
      <c r="I57" s="39">
        <f t="shared" si="39"/>
        <v>50</v>
      </c>
      <c r="J57" s="5"/>
      <c r="K57" s="5"/>
      <c r="L57" s="33">
        <f t="shared" si="40"/>
        <v>2663</v>
      </c>
      <c r="M57" s="33">
        <f t="shared" si="41"/>
        <v>2663</v>
      </c>
      <c r="N57" s="33">
        <f t="shared" si="42"/>
        <v>0</v>
      </c>
      <c r="O57">
        <v>1</v>
      </c>
      <c r="R57" s="62">
        <f t="shared" si="43"/>
        <v>2663</v>
      </c>
      <c r="S57" s="63">
        <f t="shared" si="44"/>
        <v>0</v>
      </c>
      <c r="T57" s="64">
        <f t="shared" si="45"/>
        <v>0</v>
      </c>
    </row>
    <row r="58" spans="1:20" x14ac:dyDescent="0.3">
      <c r="A58" s="5" t="s">
        <v>742</v>
      </c>
      <c r="B58" s="5" t="s">
        <v>743</v>
      </c>
      <c r="C58" s="5">
        <v>75</v>
      </c>
      <c r="D58" s="6">
        <v>1337</v>
      </c>
      <c r="E58" s="17">
        <f>VLOOKUP(A58,'forecast data dump'!$A$1:$H$3450,4,FALSE)</f>
        <v>44463</v>
      </c>
      <c r="F58" s="17">
        <f>VLOOKUP(A58,'forecast data dump'!$A$1:$H$3450,5,FALSE)</f>
        <v>44470</v>
      </c>
      <c r="G58" s="42">
        <f>VLOOKUP(A58,'forecast data dump'!$A$1:$H$3450,8,FALSE)</f>
        <v>0</v>
      </c>
      <c r="H58" s="5" t="s">
        <v>3804</v>
      </c>
      <c r="I58" s="39">
        <f t="shared" si="39"/>
        <v>75</v>
      </c>
      <c r="J58" s="5"/>
      <c r="K58" s="5"/>
      <c r="L58" s="33">
        <f t="shared" si="40"/>
        <v>1337</v>
      </c>
      <c r="M58" s="33">
        <f t="shared" si="41"/>
        <v>1337</v>
      </c>
      <c r="N58" s="33">
        <f t="shared" si="42"/>
        <v>0</v>
      </c>
      <c r="O58">
        <v>1</v>
      </c>
      <c r="R58" s="62">
        <f t="shared" si="43"/>
        <v>1337</v>
      </c>
      <c r="S58" s="63">
        <f t="shared" si="44"/>
        <v>0</v>
      </c>
      <c r="T58" s="64">
        <f t="shared" si="45"/>
        <v>0</v>
      </c>
    </row>
    <row r="59" spans="1:20" x14ac:dyDescent="0.3">
      <c r="A59" s="5" t="s">
        <v>742</v>
      </c>
      <c r="B59" s="5" t="s">
        <v>743</v>
      </c>
      <c r="C59" s="5">
        <v>10</v>
      </c>
      <c r="D59" s="6">
        <v>1162</v>
      </c>
      <c r="E59" s="17">
        <f>VLOOKUP(A59,'forecast data dump'!$A$1:$H$3450,4,FALSE)</f>
        <v>44463</v>
      </c>
      <c r="F59" s="17">
        <f>VLOOKUP(A59,'forecast data dump'!$A$1:$H$3450,5,FALSE)</f>
        <v>44470</v>
      </c>
      <c r="G59" s="42">
        <f>VLOOKUP(A59,'forecast data dump'!$A$1:$H$3450,8,FALSE)</f>
        <v>0</v>
      </c>
      <c r="H59" s="5" t="s">
        <v>3802</v>
      </c>
      <c r="I59" s="39">
        <f t="shared" si="39"/>
        <v>10</v>
      </c>
      <c r="J59" s="5"/>
      <c r="K59" s="5"/>
      <c r="L59" s="33">
        <f t="shared" si="40"/>
        <v>1162</v>
      </c>
      <c r="M59" s="33">
        <f t="shared" si="41"/>
        <v>1162</v>
      </c>
      <c r="N59" s="33">
        <f t="shared" si="42"/>
        <v>0</v>
      </c>
      <c r="O59">
        <v>1</v>
      </c>
      <c r="R59" s="62">
        <f t="shared" si="43"/>
        <v>1162</v>
      </c>
      <c r="S59" s="63">
        <f t="shared" si="44"/>
        <v>0</v>
      </c>
      <c r="T59" s="64">
        <f t="shared" si="45"/>
        <v>0</v>
      </c>
    </row>
    <row r="60" spans="1:20" x14ac:dyDescent="0.3">
      <c r="A60" s="5" t="s">
        <v>744</v>
      </c>
      <c r="B60" s="5" t="s">
        <v>745</v>
      </c>
      <c r="C60" s="5">
        <v>50</v>
      </c>
      <c r="D60" s="6">
        <v>2663</v>
      </c>
      <c r="E60" s="17">
        <f>VLOOKUP(A60,'forecast data dump'!$A$1:$H$3450,4,FALSE)</f>
        <v>44473</v>
      </c>
      <c r="F60" s="17">
        <f>VLOOKUP(A60,'forecast data dump'!$A$1:$H$3450,5,FALSE)</f>
        <v>44481</v>
      </c>
      <c r="G60" s="42">
        <f>VLOOKUP(A60,'forecast data dump'!$A$1:$H$3450,8,FALSE)</f>
        <v>0</v>
      </c>
      <c r="H60" s="5" t="s">
        <v>3803</v>
      </c>
      <c r="I60" s="39">
        <f t="shared" si="39"/>
        <v>50</v>
      </c>
      <c r="J60" s="5"/>
      <c r="K60" s="5"/>
      <c r="L60" s="33">
        <f t="shared" si="40"/>
        <v>2663</v>
      </c>
      <c r="M60" s="33">
        <f t="shared" si="41"/>
        <v>2663</v>
      </c>
      <c r="N60" s="33">
        <f t="shared" si="42"/>
        <v>0</v>
      </c>
      <c r="O60">
        <v>1</v>
      </c>
      <c r="R60" s="62">
        <f t="shared" si="43"/>
        <v>2663</v>
      </c>
      <c r="S60" s="63">
        <f t="shared" si="44"/>
        <v>0</v>
      </c>
      <c r="T60" s="64">
        <f t="shared" si="45"/>
        <v>0</v>
      </c>
    </row>
    <row r="61" spans="1:20" x14ac:dyDescent="0.3">
      <c r="A61" s="5" t="s">
        <v>744</v>
      </c>
      <c r="B61" s="5" t="s">
        <v>745</v>
      </c>
      <c r="C61" s="5">
        <v>75</v>
      </c>
      <c r="D61" s="6">
        <v>1337</v>
      </c>
      <c r="E61" s="17">
        <f>VLOOKUP(A61,'forecast data dump'!$A$1:$H$3450,4,FALSE)</f>
        <v>44473</v>
      </c>
      <c r="F61" s="17">
        <f>VLOOKUP(A61,'forecast data dump'!$A$1:$H$3450,5,FALSE)</f>
        <v>44481</v>
      </c>
      <c r="G61" s="42">
        <f>VLOOKUP(A61,'forecast data dump'!$A$1:$H$3450,8,FALSE)</f>
        <v>0</v>
      </c>
      <c r="H61" s="5" t="s">
        <v>3804</v>
      </c>
      <c r="I61" s="39">
        <f t="shared" si="39"/>
        <v>75</v>
      </c>
      <c r="J61" s="5"/>
      <c r="K61" s="5"/>
      <c r="L61" s="33">
        <f t="shared" si="40"/>
        <v>1337</v>
      </c>
      <c r="M61" s="33">
        <f t="shared" si="41"/>
        <v>1337</v>
      </c>
      <c r="N61" s="33">
        <f t="shared" si="42"/>
        <v>0</v>
      </c>
      <c r="O61">
        <v>1</v>
      </c>
      <c r="R61" s="62">
        <f t="shared" si="43"/>
        <v>1337</v>
      </c>
      <c r="S61" s="63">
        <f t="shared" si="44"/>
        <v>0</v>
      </c>
      <c r="T61" s="64">
        <f t="shared" si="45"/>
        <v>0</v>
      </c>
    </row>
    <row r="62" spans="1:20" x14ac:dyDescent="0.3">
      <c r="A62" s="5" t="s">
        <v>744</v>
      </c>
      <c r="B62" s="5" t="s">
        <v>745</v>
      </c>
      <c r="C62" s="5">
        <v>10</v>
      </c>
      <c r="D62" s="6">
        <v>1162</v>
      </c>
      <c r="E62" s="17">
        <f>VLOOKUP(A62,'forecast data dump'!$A$1:$H$3450,4,FALSE)</f>
        <v>44473</v>
      </c>
      <c r="F62" s="17">
        <f>VLOOKUP(A62,'forecast data dump'!$A$1:$H$3450,5,FALSE)</f>
        <v>44481</v>
      </c>
      <c r="G62" s="42">
        <f>VLOOKUP(A62,'forecast data dump'!$A$1:$H$3450,8,FALSE)</f>
        <v>0</v>
      </c>
      <c r="H62" s="5" t="s">
        <v>3802</v>
      </c>
      <c r="I62" s="39">
        <f t="shared" si="39"/>
        <v>10</v>
      </c>
      <c r="J62" s="5"/>
      <c r="K62" s="5"/>
      <c r="L62" s="33">
        <f t="shared" si="40"/>
        <v>1162</v>
      </c>
      <c r="M62" s="33">
        <f t="shared" si="41"/>
        <v>1162</v>
      </c>
      <c r="N62" s="33">
        <f t="shared" si="42"/>
        <v>0</v>
      </c>
      <c r="O62">
        <v>1</v>
      </c>
      <c r="R62" s="62">
        <f t="shared" si="43"/>
        <v>1162</v>
      </c>
      <c r="S62" s="63">
        <f t="shared" si="44"/>
        <v>0</v>
      </c>
      <c r="T62" s="64">
        <f t="shared" si="45"/>
        <v>0</v>
      </c>
    </row>
    <row r="63" spans="1:20" x14ac:dyDescent="0.3">
      <c r="A63" s="5" t="s">
        <v>746</v>
      </c>
      <c r="B63" s="5" t="s">
        <v>747</v>
      </c>
      <c r="C63" s="5">
        <v>50</v>
      </c>
      <c r="D63" s="6">
        <v>2663</v>
      </c>
      <c r="E63" s="17">
        <f>VLOOKUP(A63,'forecast data dump'!$A$1:$H$3450,4,FALSE)</f>
        <v>44482</v>
      </c>
      <c r="F63" s="17">
        <f>VLOOKUP(A63,'forecast data dump'!$A$1:$H$3450,5,FALSE)</f>
        <v>44489</v>
      </c>
      <c r="G63" s="42">
        <f>VLOOKUP(A63,'forecast data dump'!$A$1:$H$3450,8,FALSE)</f>
        <v>0</v>
      </c>
      <c r="H63" s="5" t="s">
        <v>3803</v>
      </c>
      <c r="I63" s="39">
        <f t="shared" si="39"/>
        <v>50</v>
      </c>
      <c r="J63" s="5"/>
      <c r="K63" s="5"/>
      <c r="L63" s="33">
        <f t="shared" si="40"/>
        <v>2663</v>
      </c>
      <c r="M63" s="33">
        <f t="shared" si="41"/>
        <v>2663</v>
      </c>
      <c r="N63" s="33">
        <f t="shared" si="42"/>
        <v>0</v>
      </c>
      <c r="O63">
        <v>1</v>
      </c>
      <c r="R63" s="62">
        <f t="shared" si="43"/>
        <v>2663</v>
      </c>
      <c r="S63" s="63">
        <f t="shared" si="44"/>
        <v>0</v>
      </c>
      <c r="T63" s="64">
        <f t="shared" si="45"/>
        <v>0</v>
      </c>
    </row>
    <row r="64" spans="1:20" x14ac:dyDescent="0.3">
      <c r="A64" s="5" t="s">
        <v>746</v>
      </c>
      <c r="B64" s="5" t="s">
        <v>747</v>
      </c>
      <c r="C64" s="5">
        <v>75</v>
      </c>
      <c r="D64" s="6">
        <v>1337</v>
      </c>
      <c r="E64" s="17">
        <f>VLOOKUP(A64,'forecast data dump'!$A$1:$H$3450,4,FALSE)</f>
        <v>44482</v>
      </c>
      <c r="F64" s="17">
        <f>VLOOKUP(A64,'forecast data dump'!$A$1:$H$3450,5,FALSE)</f>
        <v>44489</v>
      </c>
      <c r="G64" s="42">
        <f>VLOOKUP(A64,'forecast data dump'!$A$1:$H$3450,8,FALSE)</f>
        <v>0</v>
      </c>
      <c r="H64" s="5" t="s">
        <v>3804</v>
      </c>
      <c r="I64" s="39">
        <f t="shared" si="39"/>
        <v>75</v>
      </c>
      <c r="J64" s="5"/>
      <c r="K64" s="5"/>
      <c r="L64" s="33">
        <f t="shared" si="40"/>
        <v>1337</v>
      </c>
      <c r="M64" s="33">
        <f t="shared" si="41"/>
        <v>1337</v>
      </c>
      <c r="N64" s="33">
        <f t="shared" si="42"/>
        <v>0</v>
      </c>
      <c r="O64">
        <v>1</v>
      </c>
      <c r="R64" s="62">
        <f t="shared" si="43"/>
        <v>1337</v>
      </c>
      <c r="S64" s="63">
        <f t="shared" si="44"/>
        <v>0</v>
      </c>
      <c r="T64" s="64">
        <f t="shared" si="45"/>
        <v>0</v>
      </c>
    </row>
    <row r="65" spans="1:20" x14ac:dyDescent="0.3">
      <c r="A65" s="5" t="s">
        <v>746</v>
      </c>
      <c r="B65" s="5" t="s">
        <v>747</v>
      </c>
      <c r="C65" s="5">
        <v>10</v>
      </c>
      <c r="D65" s="6">
        <v>1162</v>
      </c>
      <c r="E65" s="17">
        <f>VLOOKUP(A65,'forecast data dump'!$A$1:$H$3450,4,FALSE)</f>
        <v>44482</v>
      </c>
      <c r="F65" s="17">
        <f>VLOOKUP(A65,'forecast data dump'!$A$1:$H$3450,5,FALSE)</f>
        <v>44489</v>
      </c>
      <c r="G65" s="42">
        <f>VLOOKUP(A65,'forecast data dump'!$A$1:$H$3450,8,FALSE)</f>
        <v>0</v>
      </c>
      <c r="H65" s="5" t="s">
        <v>3802</v>
      </c>
      <c r="I65" s="39">
        <f t="shared" si="39"/>
        <v>10</v>
      </c>
      <c r="J65" s="5"/>
      <c r="K65" s="5"/>
      <c r="L65" s="33">
        <f t="shared" si="40"/>
        <v>1162</v>
      </c>
      <c r="M65" s="33">
        <f t="shared" si="41"/>
        <v>1162</v>
      </c>
      <c r="N65" s="33">
        <f t="shared" si="42"/>
        <v>0</v>
      </c>
      <c r="O65">
        <v>1</v>
      </c>
      <c r="R65" s="62">
        <f t="shared" si="43"/>
        <v>1162</v>
      </c>
      <c r="S65" s="63">
        <f t="shared" si="44"/>
        <v>0</v>
      </c>
      <c r="T65" s="64">
        <f t="shared" si="45"/>
        <v>0</v>
      </c>
    </row>
    <row r="66" spans="1:20" x14ac:dyDescent="0.3">
      <c r="A66" s="5" t="s">
        <v>748</v>
      </c>
      <c r="B66" s="5" t="s">
        <v>749</v>
      </c>
      <c r="C66" s="5">
        <v>50</v>
      </c>
      <c r="D66" s="6">
        <v>2663</v>
      </c>
      <c r="E66" s="17">
        <f>VLOOKUP(A66,'forecast data dump'!$A$1:$H$3450,4,FALSE)</f>
        <v>44490</v>
      </c>
      <c r="F66" s="17">
        <f>VLOOKUP(A66,'forecast data dump'!$A$1:$H$3450,5,FALSE)</f>
        <v>44497</v>
      </c>
      <c r="G66" s="42">
        <f>VLOOKUP(A66,'forecast data dump'!$A$1:$H$3450,8,FALSE)</f>
        <v>0</v>
      </c>
      <c r="H66" s="5" t="s">
        <v>3803</v>
      </c>
      <c r="I66" s="39">
        <f t="shared" si="39"/>
        <v>50</v>
      </c>
      <c r="J66" s="5"/>
      <c r="K66" s="5"/>
      <c r="L66" s="33">
        <f t="shared" si="40"/>
        <v>2663</v>
      </c>
      <c r="M66" s="33">
        <f t="shared" si="41"/>
        <v>2663</v>
      </c>
      <c r="N66" s="33">
        <f t="shared" si="42"/>
        <v>0</v>
      </c>
      <c r="O66">
        <v>1</v>
      </c>
      <c r="R66" s="62">
        <f t="shared" si="43"/>
        <v>2663</v>
      </c>
      <c r="S66" s="63">
        <f t="shared" si="44"/>
        <v>0</v>
      </c>
      <c r="T66" s="64">
        <f t="shared" si="45"/>
        <v>0</v>
      </c>
    </row>
    <row r="67" spans="1:20" x14ac:dyDescent="0.3">
      <c r="A67" s="5" t="s">
        <v>748</v>
      </c>
      <c r="B67" s="5" t="s">
        <v>749</v>
      </c>
      <c r="C67" s="5">
        <v>75</v>
      </c>
      <c r="D67" s="6">
        <v>1337</v>
      </c>
      <c r="E67" s="17">
        <f>VLOOKUP(A67,'forecast data dump'!$A$1:$H$3450,4,FALSE)</f>
        <v>44490</v>
      </c>
      <c r="F67" s="17">
        <f>VLOOKUP(A67,'forecast data dump'!$A$1:$H$3450,5,FALSE)</f>
        <v>44497</v>
      </c>
      <c r="G67" s="42">
        <f>VLOOKUP(A67,'forecast data dump'!$A$1:$H$3450,8,FALSE)</f>
        <v>0</v>
      </c>
      <c r="H67" s="5" t="s">
        <v>3804</v>
      </c>
      <c r="I67" s="39">
        <f t="shared" si="39"/>
        <v>75</v>
      </c>
      <c r="J67" s="5"/>
      <c r="K67" s="5"/>
      <c r="L67" s="33">
        <f t="shared" si="40"/>
        <v>1337</v>
      </c>
      <c r="M67" s="33">
        <f t="shared" si="41"/>
        <v>1337</v>
      </c>
      <c r="N67" s="33">
        <f t="shared" si="42"/>
        <v>0</v>
      </c>
      <c r="O67">
        <v>1</v>
      </c>
      <c r="R67" s="62">
        <f t="shared" si="43"/>
        <v>1337</v>
      </c>
      <c r="S67" s="63">
        <f t="shared" si="44"/>
        <v>0</v>
      </c>
      <c r="T67" s="64">
        <f t="shared" si="45"/>
        <v>0</v>
      </c>
    </row>
    <row r="68" spans="1:20" x14ac:dyDescent="0.3">
      <c r="A68" s="5" t="s">
        <v>748</v>
      </c>
      <c r="B68" s="5" t="s">
        <v>749</v>
      </c>
      <c r="C68" s="5">
        <v>10</v>
      </c>
      <c r="D68" s="6">
        <v>1162</v>
      </c>
      <c r="E68" s="17">
        <f>VLOOKUP(A68,'forecast data dump'!$A$1:$H$3450,4,FALSE)</f>
        <v>44490</v>
      </c>
      <c r="F68" s="17">
        <f>VLOOKUP(A68,'forecast data dump'!$A$1:$H$3450,5,FALSE)</f>
        <v>44497</v>
      </c>
      <c r="G68" s="42">
        <f>VLOOKUP(A68,'forecast data dump'!$A$1:$H$3450,8,FALSE)</f>
        <v>0</v>
      </c>
      <c r="H68" s="5" t="s">
        <v>3802</v>
      </c>
      <c r="I68" s="39">
        <f t="shared" si="39"/>
        <v>10</v>
      </c>
      <c r="J68" s="5"/>
      <c r="K68" s="5"/>
      <c r="L68" s="33">
        <f t="shared" si="40"/>
        <v>1162</v>
      </c>
      <c r="M68" s="33">
        <f t="shared" si="41"/>
        <v>1162</v>
      </c>
      <c r="N68" s="33">
        <f t="shared" si="42"/>
        <v>0</v>
      </c>
      <c r="O68">
        <v>1</v>
      </c>
      <c r="R68" s="62">
        <f t="shared" si="43"/>
        <v>1162</v>
      </c>
      <c r="S68" s="63">
        <f t="shared" si="44"/>
        <v>0</v>
      </c>
      <c r="T68" s="64">
        <f t="shared" si="45"/>
        <v>0</v>
      </c>
    </row>
    <row r="69" spans="1:20" x14ac:dyDescent="0.3">
      <c r="A69" s="5" t="s">
        <v>750</v>
      </c>
      <c r="B69" s="5" t="s">
        <v>751</v>
      </c>
      <c r="C69" s="5">
        <v>50</v>
      </c>
      <c r="D69" s="6">
        <v>2663</v>
      </c>
      <c r="E69" s="17">
        <f>VLOOKUP(A69,'forecast data dump'!$A$1:$H$3450,4,FALSE)</f>
        <v>44498</v>
      </c>
      <c r="F69" s="17">
        <f>VLOOKUP(A69,'forecast data dump'!$A$1:$H$3450,5,FALSE)</f>
        <v>44504</v>
      </c>
      <c r="G69" s="42">
        <f>VLOOKUP(A69,'forecast data dump'!$A$1:$H$3450,8,FALSE)</f>
        <v>0</v>
      </c>
      <c r="H69" s="5" t="s">
        <v>3803</v>
      </c>
      <c r="I69" s="39">
        <f t="shared" si="39"/>
        <v>50</v>
      </c>
      <c r="J69" s="5"/>
      <c r="K69" s="5"/>
      <c r="L69" s="33">
        <f t="shared" si="40"/>
        <v>2663</v>
      </c>
      <c r="M69" s="33">
        <f t="shared" si="41"/>
        <v>2663</v>
      </c>
      <c r="N69" s="33">
        <f t="shared" si="42"/>
        <v>0</v>
      </c>
      <c r="O69">
        <v>1</v>
      </c>
      <c r="R69" s="62">
        <f t="shared" si="43"/>
        <v>2663</v>
      </c>
      <c r="S69" s="63">
        <f t="shared" si="44"/>
        <v>0</v>
      </c>
      <c r="T69" s="64">
        <f t="shared" si="45"/>
        <v>0</v>
      </c>
    </row>
    <row r="70" spans="1:20" x14ac:dyDescent="0.3">
      <c r="A70" s="5" t="s">
        <v>750</v>
      </c>
      <c r="B70" s="5" t="s">
        <v>751</v>
      </c>
      <c r="C70" s="5">
        <v>75</v>
      </c>
      <c r="D70" s="6">
        <v>1337</v>
      </c>
      <c r="E70" s="17">
        <f>VLOOKUP(A70,'forecast data dump'!$A$1:$H$3450,4,FALSE)</f>
        <v>44498</v>
      </c>
      <c r="F70" s="17">
        <f>VLOOKUP(A70,'forecast data dump'!$A$1:$H$3450,5,FALSE)</f>
        <v>44504</v>
      </c>
      <c r="G70" s="42">
        <f>VLOOKUP(A70,'forecast data dump'!$A$1:$H$3450,8,FALSE)</f>
        <v>0</v>
      </c>
      <c r="H70" s="5" t="s">
        <v>3804</v>
      </c>
      <c r="I70" s="39">
        <f t="shared" si="39"/>
        <v>75</v>
      </c>
      <c r="J70" s="5"/>
      <c r="K70" s="5"/>
      <c r="L70" s="33">
        <f t="shared" si="40"/>
        <v>1337</v>
      </c>
      <c r="M70" s="33">
        <f t="shared" si="41"/>
        <v>1337</v>
      </c>
      <c r="N70" s="33">
        <f t="shared" si="42"/>
        <v>0</v>
      </c>
      <c r="O70">
        <v>1</v>
      </c>
      <c r="R70" s="62">
        <f t="shared" si="43"/>
        <v>1337</v>
      </c>
      <c r="S70" s="63">
        <f t="shared" si="44"/>
        <v>0</v>
      </c>
      <c r="T70" s="64">
        <f t="shared" si="45"/>
        <v>0</v>
      </c>
    </row>
    <row r="71" spans="1:20" x14ac:dyDescent="0.3">
      <c r="A71" s="5" t="s">
        <v>750</v>
      </c>
      <c r="B71" s="5" t="s">
        <v>751</v>
      </c>
      <c r="C71" s="5">
        <v>10</v>
      </c>
      <c r="D71" s="6">
        <v>1162</v>
      </c>
      <c r="E71" s="17">
        <f>VLOOKUP(A71,'forecast data dump'!$A$1:$H$3450,4,FALSE)</f>
        <v>44498</v>
      </c>
      <c r="F71" s="17">
        <f>VLOOKUP(A71,'forecast data dump'!$A$1:$H$3450,5,FALSE)</f>
        <v>44504</v>
      </c>
      <c r="G71" s="42">
        <f>VLOOKUP(A71,'forecast data dump'!$A$1:$H$3450,8,FALSE)</f>
        <v>0</v>
      </c>
      <c r="H71" s="5" t="s">
        <v>3802</v>
      </c>
      <c r="I71" s="39">
        <f t="shared" si="39"/>
        <v>10</v>
      </c>
      <c r="J71" s="5"/>
      <c r="K71" s="5"/>
      <c r="L71" s="33">
        <f t="shared" si="40"/>
        <v>1162</v>
      </c>
      <c r="M71" s="33">
        <f t="shared" si="41"/>
        <v>1162</v>
      </c>
      <c r="N71" s="33">
        <f t="shared" si="42"/>
        <v>0</v>
      </c>
      <c r="O71">
        <v>1</v>
      </c>
      <c r="R71" s="62">
        <f t="shared" si="43"/>
        <v>1162</v>
      </c>
      <c r="S71" s="63">
        <f t="shared" si="44"/>
        <v>0</v>
      </c>
      <c r="T71" s="64">
        <f t="shared" si="45"/>
        <v>0</v>
      </c>
    </row>
    <row r="72" spans="1:20" x14ac:dyDescent="0.3">
      <c r="A72" s="5" t="s">
        <v>752</v>
      </c>
      <c r="B72" s="5" t="s">
        <v>753</v>
      </c>
      <c r="C72" s="5">
        <v>50</v>
      </c>
      <c r="D72" s="6">
        <v>2663</v>
      </c>
      <c r="E72" s="17">
        <f>VLOOKUP(A72,'forecast data dump'!$A$1:$H$3450,4,FALSE)</f>
        <v>44505</v>
      </c>
      <c r="F72" s="17">
        <f>VLOOKUP(A72,'forecast data dump'!$A$1:$H$3450,5,FALSE)</f>
        <v>44512</v>
      </c>
      <c r="G72" s="42">
        <f>VLOOKUP(A72,'forecast data dump'!$A$1:$H$3450,8,FALSE)</f>
        <v>0</v>
      </c>
      <c r="H72" s="5" t="s">
        <v>3803</v>
      </c>
      <c r="I72" s="39">
        <f t="shared" si="39"/>
        <v>50</v>
      </c>
      <c r="J72" s="5"/>
      <c r="K72" s="5"/>
      <c r="L72" s="33">
        <f t="shared" si="40"/>
        <v>2663</v>
      </c>
      <c r="M72" s="33">
        <f t="shared" si="41"/>
        <v>2663</v>
      </c>
      <c r="N72" s="33">
        <f t="shared" si="42"/>
        <v>0</v>
      </c>
      <c r="O72">
        <v>1</v>
      </c>
      <c r="R72" s="62">
        <f t="shared" si="43"/>
        <v>2663</v>
      </c>
      <c r="S72" s="63">
        <f t="shared" si="44"/>
        <v>0</v>
      </c>
      <c r="T72" s="64">
        <f t="shared" si="45"/>
        <v>0</v>
      </c>
    </row>
    <row r="73" spans="1:20" x14ac:dyDescent="0.3">
      <c r="A73" s="5" t="s">
        <v>752</v>
      </c>
      <c r="B73" s="5" t="s">
        <v>753</v>
      </c>
      <c r="C73" s="5">
        <v>75</v>
      </c>
      <c r="D73" s="6">
        <v>1337</v>
      </c>
      <c r="E73" s="17">
        <f>VLOOKUP(A73,'forecast data dump'!$A$1:$H$3450,4,FALSE)</f>
        <v>44505</v>
      </c>
      <c r="F73" s="17">
        <f>VLOOKUP(A73,'forecast data dump'!$A$1:$H$3450,5,FALSE)</f>
        <v>44512</v>
      </c>
      <c r="G73" s="42">
        <f>VLOOKUP(A73,'forecast data dump'!$A$1:$H$3450,8,FALSE)</f>
        <v>0</v>
      </c>
      <c r="H73" s="5" t="s">
        <v>3804</v>
      </c>
      <c r="I73" s="39">
        <f t="shared" si="39"/>
        <v>75</v>
      </c>
      <c r="J73" s="5"/>
      <c r="K73" s="5"/>
      <c r="L73" s="33">
        <f t="shared" si="40"/>
        <v>1337</v>
      </c>
      <c r="M73" s="33">
        <f t="shared" si="41"/>
        <v>1337</v>
      </c>
      <c r="N73" s="33">
        <f t="shared" si="42"/>
        <v>0</v>
      </c>
      <c r="O73">
        <v>1</v>
      </c>
      <c r="R73" s="62">
        <f t="shared" si="43"/>
        <v>1337</v>
      </c>
      <c r="S73" s="63">
        <f t="shared" si="44"/>
        <v>0</v>
      </c>
      <c r="T73" s="64">
        <f t="shared" si="45"/>
        <v>0</v>
      </c>
    </row>
    <row r="74" spans="1:20" x14ac:dyDescent="0.3">
      <c r="A74" s="5" t="s">
        <v>752</v>
      </c>
      <c r="B74" s="5" t="s">
        <v>753</v>
      </c>
      <c r="C74" s="5">
        <v>10</v>
      </c>
      <c r="D74" s="6">
        <v>1162</v>
      </c>
      <c r="E74" s="17">
        <f>VLOOKUP(A74,'forecast data dump'!$A$1:$H$3450,4,FALSE)</f>
        <v>44505</v>
      </c>
      <c r="F74" s="17">
        <f>VLOOKUP(A74,'forecast data dump'!$A$1:$H$3450,5,FALSE)</f>
        <v>44512</v>
      </c>
      <c r="G74" s="42">
        <f>VLOOKUP(A74,'forecast data dump'!$A$1:$H$3450,8,FALSE)</f>
        <v>0</v>
      </c>
      <c r="H74" s="5" t="s">
        <v>3802</v>
      </c>
      <c r="I74" s="39">
        <f t="shared" si="39"/>
        <v>10</v>
      </c>
      <c r="J74" s="5"/>
      <c r="K74" s="5"/>
      <c r="L74" s="33">
        <f t="shared" si="40"/>
        <v>1162</v>
      </c>
      <c r="M74" s="33">
        <f t="shared" si="41"/>
        <v>1162</v>
      </c>
      <c r="N74" s="33">
        <f t="shared" si="42"/>
        <v>0</v>
      </c>
      <c r="O74">
        <v>1</v>
      </c>
      <c r="R74" s="62">
        <f t="shared" si="43"/>
        <v>1162</v>
      </c>
      <c r="S74" s="63">
        <f t="shared" si="44"/>
        <v>0</v>
      </c>
      <c r="T74" s="64">
        <f t="shared" si="45"/>
        <v>0</v>
      </c>
    </row>
    <row r="75" spans="1:20" x14ac:dyDescent="0.3">
      <c r="A75" s="5" t="s">
        <v>754</v>
      </c>
      <c r="B75" s="5" t="s">
        <v>755</v>
      </c>
      <c r="C75" s="5">
        <v>50</v>
      </c>
      <c r="D75" s="6">
        <v>2663</v>
      </c>
      <c r="E75" s="17">
        <f>VLOOKUP(A75,'forecast data dump'!$A$1:$H$3450,4,FALSE)</f>
        <v>44515</v>
      </c>
      <c r="F75" s="17">
        <f>VLOOKUP(A75,'forecast data dump'!$A$1:$H$3450,5,FALSE)</f>
        <v>44519</v>
      </c>
      <c r="G75" s="42">
        <f>VLOOKUP(A75,'forecast data dump'!$A$1:$H$3450,8,FALSE)</f>
        <v>0</v>
      </c>
      <c r="H75" s="5" t="s">
        <v>3803</v>
      </c>
      <c r="I75" s="39">
        <f t="shared" si="39"/>
        <v>50</v>
      </c>
      <c r="J75" s="5"/>
      <c r="K75" s="5"/>
      <c r="L75" s="33">
        <f t="shared" si="40"/>
        <v>2663</v>
      </c>
      <c r="M75" s="33">
        <f t="shared" si="41"/>
        <v>2663</v>
      </c>
      <c r="N75" s="33">
        <f t="shared" si="42"/>
        <v>0</v>
      </c>
      <c r="O75">
        <v>1</v>
      </c>
      <c r="R75" s="62">
        <f t="shared" si="43"/>
        <v>2663</v>
      </c>
      <c r="S75" s="63">
        <f t="shared" si="44"/>
        <v>0</v>
      </c>
      <c r="T75" s="64">
        <f t="shared" si="45"/>
        <v>0</v>
      </c>
    </row>
    <row r="76" spans="1:20" x14ac:dyDescent="0.3">
      <c r="A76" s="5" t="s">
        <v>754</v>
      </c>
      <c r="B76" s="5" t="s">
        <v>755</v>
      </c>
      <c r="C76" s="5">
        <v>75</v>
      </c>
      <c r="D76" s="6">
        <v>1337</v>
      </c>
      <c r="E76" s="17">
        <f>VLOOKUP(A76,'forecast data dump'!$A$1:$H$3450,4,FALSE)</f>
        <v>44515</v>
      </c>
      <c r="F76" s="17">
        <f>VLOOKUP(A76,'forecast data dump'!$A$1:$H$3450,5,FALSE)</f>
        <v>44519</v>
      </c>
      <c r="G76" s="42">
        <f>VLOOKUP(A76,'forecast data dump'!$A$1:$H$3450,8,FALSE)</f>
        <v>0</v>
      </c>
      <c r="H76" s="5" t="s">
        <v>3804</v>
      </c>
      <c r="I76" s="39">
        <f t="shared" si="39"/>
        <v>75</v>
      </c>
      <c r="J76" s="5"/>
      <c r="K76" s="5"/>
      <c r="L76" s="33">
        <f t="shared" si="40"/>
        <v>1337</v>
      </c>
      <c r="M76" s="33">
        <f t="shared" si="41"/>
        <v>1337</v>
      </c>
      <c r="N76" s="33">
        <f t="shared" si="42"/>
        <v>0</v>
      </c>
      <c r="O76">
        <v>1</v>
      </c>
      <c r="R76" s="62">
        <f t="shared" si="43"/>
        <v>1337</v>
      </c>
      <c r="S76" s="63">
        <f t="shared" si="44"/>
        <v>0</v>
      </c>
      <c r="T76" s="64">
        <f t="shared" si="45"/>
        <v>0</v>
      </c>
    </row>
    <row r="77" spans="1:20" x14ac:dyDescent="0.3">
      <c r="A77" s="5" t="s">
        <v>754</v>
      </c>
      <c r="B77" s="5" t="s">
        <v>755</v>
      </c>
      <c r="C77" s="5">
        <v>10</v>
      </c>
      <c r="D77" s="6">
        <v>1162</v>
      </c>
      <c r="E77" s="17">
        <f>VLOOKUP(A77,'forecast data dump'!$A$1:$H$3450,4,FALSE)</f>
        <v>44515</v>
      </c>
      <c r="F77" s="17">
        <f>VLOOKUP(A77,'forecast data dump'!$A$1:$H$3450,5,FALSE)</f>
        <v>44519</v>
      </c>
      <c r="G77" s="42">
        <f>VLOOKUP(A77,'forecast data dump'!$A$1:$H$3450,8,FALSE)</f>
        <v>0</v>
      </c>
      <c r="H77" s="5" t="s">
        <v>3802</v>
      </c>
      <c r="I77" s="39">
        <f t="shared" si="39"/>
        <v>10</v>
      </c>
      <c r="J77" s="5"/>
      <c r="K77" s="5"/>
      <c r="L77" s="33">
        <f t="shared" si="40"/>
        <v>1162</v>
      </c>
      <c r="M77" s="33">
        <f t="shared" si="41"/>
        <v>1162</v>
      </c>
      <c r="N77" s="33">
        <f t="shared" si="42"/>
        <v>0</v>
      </c>
      <c r="O77">
        <v>1</v>
      </c>
      <c r="R77" s="62">
        <f t="shared" si="43"/>
        <v>1162</v>
      </c>
      <c r="S77" s="63">
        <f t="shared" si="44"/>
        <v>0</v>
      </c>
      <c r="T77" s="64">
        <f t="shared" si="45"/>
        <v>0</v>
      </c>
    </row>
    <row r="78" spans="1:20" x14ac:dyDescent="0.3">
      <c r="A78" s="5" t="s">
        <v>756</v>
      </c>
      <c r="B78" s="5" t="s">
        <v>757</v>
      </c>
      <c r="C78" s="5">
        <v>50</v>
      </c>
      <c r="D78" s="6">
        <v>2663</v>
      </c>
      <c r="E78" s="17">
        <f>VLOOKUP(A78,'forecast data dump'!$A$1:$H$3450,4,FALSE)</f>
        <v>44522</v>
      </c>
      <c r="F78" s="17">
        <f>VLOOKUP(A78,'forecast data dump'!$A$1:$H$3450,5,FALSE)</f>
        <v>44530</v>
      </c>
      <c r="G78" s="42">
        <f>VLOOKUP(A78,'forecast data dump'!$A$1:$H$3450,8,FALSE)</f>
        <v>0</v>
      </c>
      <c r="H78" s="5" t="s">
        <v>3803</v>
      </c>
      <c r="I78" s="39">
        <f t="shared" si="39"/>
        <v>50</v>
      </c>
      <c r="J78" s="5"/>
      <c r="K78" s="5"/>
      <c r="L78" s="33">
        <f t="shared" si="40"/>
        <v>2663</v>
      </c>
      <c r="M78" s="33">
        <f t="shared" si="41"/>
        <v>2663</v>
      </c>
      <c r="N78" s="33">
        <f t="shared" si="42"/>
        <v>0</v>
      </c>
      <c r="O78">
        <v>1</v>
      </c>
      <c r="R78" s="62">
        <f t="shared" si="43"/>
        <v>2663</v>
      </c>
      <c r="S78" s="63">
        <f t="shared" si="44"/>
        <v>0</v>
      </c>
      <c r="T78" s="64">
        <f t="shared" si="45"/>
        <v>0</v>
      </c>
    </row>
    <row r="79" spans="1:20" x14ac:dyDescent="0.3">
      <c r="A79" s="5" t="s">
        <v>756</v>
      </c>
      <c r="B79" s="5" t="s">
        <v>757</v>
      </c>
      <c r="C79" s="5">
        <v>75</v>
      </c>
      <c r="D79" s="6">
        <v>1337</v>
      </c>
      <c r="E79" s="17">
        <f>VLOOKUP(A79,'forecast data dump'!$A$1:$H$3450,4,FALSE)</f>
        <v>44522</v>
      </c>
      <c r="F79" s="17">
        <f>VLOOKUP(A79,'forecast data dump'!$A$1:$H$3450,5,FALSE)</f>
        <v>44530</v>
      </c>
      <c r="G79" s="42">
        <f>VLOOKUP(A79,'forecast data dump'!$A$1:$H$3450,8,FALSE)</f>
        <v>0</v>
      </c>
      <c r="H79" s="5" t="s">
        <v>3804</v>
      </c>
      <c r="I79" s="39">
        <f t="shared" si="39"/>
        <v>75</v>
      </c>
      <c r="J79" s="5"/>
      <c r="K79" s="5"/>
      <c r="L79" s="33">
        <f t="shared" si="40"/>
        <v>1337</v>
      </c>
      <c r="M79" s="33">
        <f t="shared" si="41"/>
        <v>1337</v>
      </c>
      <c r="N79" s="33">
        <f t="shared" si="42"/>
        <v>0</v>
      </c>
      <c r="O79">
        <v>1</v>
      </c>
      <c r="R79" s="62">
        <f t="shared" si="43"/>
        <v>1337</v>
      </c>
      <c r="S79" s="63">
        <f t="shared" si="44"/>
        <v>0</v>
      </c>
      <c r="T79" s="64">
        <f t="shared" si="45"/>
        <v>0</v>
      </c>
    </row>
    <row r="80" spans="1:20" x14ac:dyDescent="0.3">
      <c r="A80" s="5" t="s">
        <v>756</v>
      </c>
      <c r="B80" s="5" t="s">
        <v>757</v>
      </c>
      <c r="C80" s="5">
        <v>10</v>
      </c>
      <c r="D80" s="6">
        <v>1162</v>
      </c>
      <c r="E80" s="17">
        <f>VLOOKUP(A80,'forecast data dump'!$A$1:$H$3450,4,FALSE)</f>
        <v>44522</v>
      </c>
      <c r="F80" s="17">
        <f>VLOOKUP(A80,'forecast data dump'!$A$1:$H$3450,5,FALSE)</f>
        <v>44530</v>
      </c>
      <c r="G80" s="42">
        <f>VLOOKUP(A80,'forecast data dump'!$A$1:$H$3450,8,FALSE)</f>
        <v>0</v>
      </c>
      <c r="H80" s="5" t="s">
        <v>3802</v>
      </c>
      <c r="I80" s="39">
        <f t="shared" si="39"/>
        <v>10</v>
      </c>
      <c r="J80" s="5"/>
      <c r="K80" s="5"/>
      <c r="L80" s="33">
        <f t="shared" si="40"/>
        <v>1162</v>
      </c>
      <c r="M80" s="33">
        <f t="shared" si="41"/>
        <v>1162</v>
      </c>
      <c r="N80" s="33">
        <f t="shared" si="42"/>
        <v>0</v>
      </c>
      <c r="O80">
        <v>1</v>
      </c>
      <c r="R80" s="62">
        <f t="shared" si="43"/>
        <v>1162</v>
      </c>
      <c r="S80" s="63">
        <f t="shared" si="44"/>
        <v>0</v>
      </c>
      <c r="T80" s="64">
        <f t="shared" si="45"/>
        <v>0</v>
      </c>
    </row>
    <row r="81" spans="1:20" x14ac:dyDescent="0.3">
      <c r="A81" s="5" t="s">
        <v>758</v>
      </c>
      <c r="B81" s="5" t="s">
        <v>759</v>
      </c>
      <c r="C81" s="5">
        <v>50</v>
      </c>
      <c r="D81" s="6">
        <v>2663</v>
      </c>
      <c r="E81" s="17">
        <f>VLOOKUP(A81,'forecast data dump'!$A$1:$H$3450,4,FALSE)</f>
        <v>44531</v>
      </c>
      <c r="F81" s="17">
        <f>VLOOKUP(A81,'forecast data dump'!$A$1:$H$3450,5,FALSE)</f>
        <v>44537</v>
      </c>
      <c r="G81" s="42">
        <f>VLOOKUP(A81,'forecast data dump'!$A$1:$H$3450,8,FALSE)</f>
        <v>0</v>
      </c>
      <c r="H81" s="5" t="s">
        <v>3803</v>
      </c>
      <c r="I81" s="39">
        <f t="shared" si="39"/>
        <v>50</v>
      </c>
      <c r="J81" s="5"/>
      <c r="K81" s="5"/>
      <c r="L81" s="33">
        <f t="shared" si="40"/>
        <v>2663</v>
      </c>
      <c r="M81" s="33">
        <f t="shared" si="41"/>
        <v>2663</v>
      </c>
      <c r="N81" s="33">
        <f t="shared" si="42"/>
        <v>0</v>
      </c>
      <c r="O81">
        <v>1</v>
      </c>
      <c r="R81" s="62">
        <f t="shared" si="43"/>
        <v>2663</v>
      </c>
      <c r="S81" s="63">
        <f t="shared" si="44"/>
        <v>0</v>
      </c>
      <c r="T81" s="64">
        <f t="shared" si="45"/>
        <v>0</v>
      </c>
    </row>
    <row r="82" spans="1:20" x14ac:dyDescent="0.3">
      <c r="A82" s="5" t="s">
        <v>758</v>
      </c>
      <c r="B82" s="5" t="s">
        <v>759</v>
      </c>
      <c r="C82" s="5">
        <v>75</v>
      </c>
      <c r="D82" s="6">
        <v>1337</v>
      </c>
      <c r="E82" s="17">
        <f>VLOOKUP(A82,'forecast data dump'!$A$1:$H$3450,4,FALSE)</f>
        <v>44531</v>
      </c>
      <c r="F82" s="17">
        <f>VLOOKUP(A82,'forecast data dump'!$A$1:$H$3450,5,FALSE)</f>
        <v>44537</v>
      </c>
      <c r="G82" s="42">
        <f>VLOOKUP(A82,'forecast data dump'!$A$1:$H$3450,8,FALSE)</f>
        <v>0</v>
      </c>
      <c r="H82" s="5" t="s">
        <v>3804</v>
      </c>
      <c r="I82" s="39">
        <f t="shared" si="39"/>
        <v>75</v>
      </c>
      <c r="J82" s="5"/>
      <c r="K82" s="5"/>
      <c r="L82" s="33">
        <f t="shared" si="40"/>
        <v>1337</v>
      </c>
      <c r="M82" s="33">
        <f t="shared" si="41"/>
        <v>1337</v>
      </c>
      <c r="N82" s="33">
        <f t="shared" si="42"/>
        <v>0</v>
      </c>
      <c r="O82">
        <v>1</v>
      </c>
      <c r="R82" s="62">
        <f t="shared" si="43"/>
        <v>1337</v>
      </c>
      <c r="S82" s="63">
        <f t="shared" si="44"/>
        <v>0</v>
      </c>
      <c r="T82" s="64">
        <f t="shared" si="45"/>
        <v>0</v>
      </c>
    </row>
    <row r="83" spans="1:20" x14ac:dyDescent="0.3">
      <c r="A83" s="5" t="s">
        <v>758</v>
      </c>
      <c r="B83" s="5" t="s">
        <v>759</v>
      </c>
      <c r="C83" s="5">
        <v>10</v>
      </c>
      <c r="D83" s="6">
        <v>1162</v>
      </c>
      <c r="E83" s="17">
        <f>VLOOKUP(A83,'forecast data dump'!$A$1:$H$3450,4,FALSE)</f>
        <v>44531</v>
      </c>
      <c r="F83" s="17">
        <f>VLOOKUP(A83,'forecast data dump'!$A$1:$H$3450,5,FALSE)</f>
        <v>44537</v>
      </c>
      <c r="G83" s="42">
        <f>VLOOKUP(A83,'forecast data dump'!$A$1:$H$3450,8,FALSE)</f>
        <v>0</v>
      </c>
      <c r="H83" s="5" t="s">
        <v>3802</v>
      </c>
      <c r="I83" s="39">
        <f t="shared" si="39"/>
        <v>10</v>
      </c>
      <c r="J83" s="5"/>
      <c r="K83" s="5"/>
      <c r="L83" s="33">
        <f t="shared" si="40"/>
        <v>1162</v>
      </c>
      <c r="M83" s="33">
        <f t="shared" si="41"/>
        <v>1162</v>
      </c>
      <c r="N83" s="33">
        <f t="shared" si="42"/>
        <v>0</v>
      </c>
      <c r="O83">
        <v>1</v>
      </c>
      <c r="R83" s="62">
        <f t="shared" si="43"/>
        <v>1162</v>
      </c>
      <c r="S83" s="63">
        <f t="shared" si="44"/>
        <v>0</v>
      </c>
      <c r="T83" s="64">
        <f t="shared" si="45"/>
        <v>0</v>
      </c>
    </row>
    <row r="84" spans="1:20" x14ac:dyDescent="0.3">
      <c r="A84" s="5" t="s">
        <v>760</v>
      </c>
      <c r="B84" s="5" t="s">
        <v>761</v>
      </c>
      <c r="C84" s="5">
        <v>50</v>
      </c>
      <c r="D84" s="6">
        <v>2663</v>
      </c>
      <c r="E84" s="17">
        <f>VLOOKUP(A84,'forecast data dump'!$A$1:$H$3450,4,FALSE)</f>
        <v>44538</v>
      </c>
      <c r="F84" s="17">
        <f>VLOOKUP(A84,'forecast data dump'!$A$1:$H$3450,5,FALSE)</f>
        <v>44544</v>
      </c>
      <c r="G84" s="42">
        <f>VLOOKUP(A84,'forecast data dump'!$A$1:$H$3450,8,FALSE)</f>
        <v>0</v>
      </c>
      <c r="H84" s="5" t="s">
        <v>3803</v>
      </c>
      <c r="I84" s="39">
        <f t="shared" si="39"/>
        <v>50</v>
      </c>
      <c r="J84" s="5"/>
      <c r="K84" s="5"/>
      <c r="L84" s="33">
        <f t="shared" si="40"/>
        <v>2663</v>
      </c>
      <c r="M84" s="33">
        <f t="shared" si="41"/>
        <v>2663</v>
      </c>
      <c r="N84" s="33">
        <f t="shared" si="42"/>
        <v>0</v>
      </c>
      <c r="O84">
        <v>1</v>
      </c>
      <c r="R84" s="62">
        <f t="shared" si="43"/>
        <v>2663</v>
      </c>
      <c r="S84" s="63">
        <f t="shared" si="44"/>
        <v>0</v>
      </c>
      <c r="T84" s="64">
        <f t="shared" si="45"/>
        <v>0</v>
      </c>
    </row>
    <row r="85" spans="1:20" x14ac:dyDescent="0.3">
      <c r="A85" s="5" t="s">
        <v>760</v>
      </c>
      <c r="B85" s="5" t="s">
        <v>761</v>
      </c>
      <c r="C85" s="5">
        <v>75</v>
      </c>
      <c r="D85" s="6">
        <v>1337</v>
      </c>
      <c r="E85" s="17">
        <f>VLOOKUP(A85,'forecast data dump'!$A$1:$H$3450,4,FALSE)</f>
        <v>44538</v>
      </c>
      <c r="F85" s="17">
        <f>VLOOKUP(A85,'forecast data dump'!$A$1:$H$3450,5,FALSE)</f>
        <v>44544</v>
      </c>
      <c r="G85" s="42">
        <f>VLOOKUP(A85,'forecast data dump'!$A$1:$H$3450,8,FALSE)</f>
        <v>0</v>
      </c>
      <c r="H85" s="5" t="s">
        <v>3804</v>
      </c>
      <c r="I85" s="39">
        <f t="shared" si="39"/>
        <v>75</v>
      </c>
      <c r="J85" s="5"/>
      <c r="K85" s="5"/>
      <c r="L85" s="33">
        <f t="shared" si="40"/>
        <v>1337</v>
      </c>
      <c r="M85" s="33">
        <f t="shared" si="41"/>
        <v>1337</v>
      </c>
      <c r="N85" s="33">
        <f t="shared" si="42"/>
        <v>0</v>
      </c>
      <c r="O85">
        <v>1</v>
      </c>
      <c r="R85" s="62">
        <f t="shared" si="43"/>
        <v>1337</v>
      </c>
      <c r="S85" s="63">
        <f t="shared" si="44"/>
        <v>0</v>
      </c>
      <c r="T85" s="64">
        <f t="shared" si="45"/>
        <v>0</v>
      </c>
    </row>
    <row r="86" spans="1:20" x14ac:dyDescent="0.3">
      <c r="A86" s="5" t="s">
        <v>760</v>
      </c>
      <c r="B86" s="5" t="s">
        <v>761</v>
      </c>
      <c r="C86" s="5">
        <v>10</v>
      </c>
      <c r="D86" s="6">
        <v>1162</v>
      </c>
      <c r="E86" s="17">
        <f>VLOOKUP(A86,'forecast data dump'!$A$1:$H$3450,4,FALSE)</f>
        <v>44538</v>
      </c>
      <c r="F86" s="17">
        <f>VLOOKUP(A86,'forecast data dump'!$A$1:$H$3450,5,FALSE)</f>
        <v>44544</v>
      </c>
      <c r="G86" s="42">
        <f>VLOOKUP(A86,'forecast data dump'!$A$1:$H$3450,8,FALSE)</f>
        <v>0</v>
      </c>
      <c r="H86" s="5" t="s">
        <v>3802</v>
      </c>
      <c r="I86" s="39">
        <f t="shared" si="39"/>
        <v>10</v>
      </c>
      <c r="J86" s="5"/>
      <c r="K86" s="5"/>
      <c r="L86" s="33">
        <f t="shared" si="40"/>
        <v>1162</v>
      </c>
      <c r="M86" s="33">
        <f t="shared" si="41"/>
        <v>1162</v>
      </c>
      <c r="N86" s="33">
        <f t="shared" si="42"/>
        <v>0</v>
      </c>
      <c r="O86">
        <v>1</v>
      </c>
      <c r="R86" s="62">
        <f t="shared" si="43"/>
        <v>1162</v>
      </c>
      <c r="S86" s="63">
        <f t="shared" si="44"/>
        <v>0</v>
      </c>
      <c r="T86" s="64">
        <f t="shared" si="45"/>
        <v>0</v>
      </c>
    </row>
    <row r="87" spans="1:20" x14ac:dyDescent="0.3">
      <c r="A87" s="5" t="s">
        <v>762</v>
      </c>
      <c r="B87" s="5" t="s">
        <v>763</v>
      </c>
      <c r="C87" s="5">
        <v>50</v>
      </c>
      <c r="D87" s="6">
        <v>2663</v>
      </c>
      <c r="E87" s="17">
        <f>VLOOKUP(A87,'forecast data dump'!$A$1:$H$3450,4,FALSE)</f>
        <v>44545</v>
      </c>
      <c r="F87" s="17">
        <f>VLOOKUP(A87,'forecast data dump'!$A$1:$H$3450,5,FALSE)</f>
        <v>44551</v>
      </c>
      <c r="G87" s="42">
        <f>VLOOKUP(A87,'forecast data dump'!$A$1:$H$3450,8,FALSE)</f>
        <v>0</v>
      </c>
      <c r="H87" s="5" t="s">
        <v>3803</v>
      </c>
      <c r="I87" s="39">
        <f t="shared" si="39"/>
        <v>50</v>
      </c>
      <c r="J87" s="5"/>
      <c r="K87" s="5"/>
      <c r="L87" s="33">
        <f t="shared" si="40"/>
        <v>2663</v>
      </c>
      <c r="M87" s="33">
        <f t="shared" si="41"/>
        <v>2663</v>
      </c>
      <c r="N87" s="33">
        <f t="shared" si="42"/>
        <v>0</v>
      </c>
      <c r="O87">
        <v>1</v>
      </c>
      <c r="R87" s="62">
        <f t="shared" si="43"/>
        <v>2663</v>
      </c>
      <c r="S87" s="63">
        <f t="shared" si="44"/>
        <v>0</v>
      </c>
      <c r="T87" s="64">
        <f t="shared" si="45"/>
        <v>0</v>
      </c>
    </row>
    <row r="88" spans="1:20" x14ac:dyDescent="0.3">
      <c r="A88" s="5" t="s">
        <v>762</v>
      </c>
      <c r="B88" s="5" t="s">
        <v>763</v>
      </c>
      <c r="C88" s="5">
        <v>75</v>
      </c>
      <c r="D88" s="6">
        <v>1337</v>
      </c>
      <c r="E88" s="17">
        <f>VLOOKUP(A88,'forecast data dump'!$A$1:$H$3450,4,FALSE)</f>
        <v>44545</v>
      </c>
      <c r="F88" s="17">
        <f>VLOOKUP(A88,'forecast data dump'!$A$1:$H$3450,5,FALSE)</f>
        <v>44551</v>
      </c>
      <c r="G88" s="42">
        <f>VLOOKUP(A88,'forecast data dump'!$A$1:$H$3450,8,FALSE)</f>
        <v>0</v>
      </c>
      <c r="H88" s="5" t="s">
        <v>3804</v>
      </c>
      <c r="I88" s="39">
        <f t="shared" si="39"/>
        <v>75</v>
      </c>
      <c r="J88" s="5"/>
      <c r="K88" s="5"/>
      <c r="L88" s="33">
        <f t="shared" si="40"/>
        <v>1337</v>
      </c>
      <c r="M88" s="33">
        <f t="shared" si="41"/>
        <v>1337</v>
      </c>
      <c r="N88" s="33">
        <f t="shared" si="42"/>
        <v>0</v>
      </c>
      <c r="O88">
        <v>1</v>
      </c>
      <c r="R88" s="62">
        <f t="shared" si="43"/>
        <v>1337</v>
      </c>
      <c r="S88" s="63">
        <f t="shared" si="44"/>
        <v>0</v>
      </c>
      <c r="T88" s="64">
        <f t="shared" si="45"/>
        <v>0</v>
      </c>
    </row>
    <row r="89" spans="1:20" x14ac:dyDescent="0.3">
      <c r="A89" s="5" t="s">
        <v>762</v>
      </c>
      <c r="B89" s="5" t="s">
        <v>763</v>
      </c>
      <c r="C89" s="5">
        <v>10</v>
      </c>
      <c r="D89" s="6">
        <v>1162</v>
      </c>
      <c r="E89" s="17">
        <f>VLOOKUP(A89,'forecast data dump'!$A$1:$H$3450,4,FALSE)</f>
        <v>44545</v>
      </c>
      <c r="F89" s="17">
        <f>VLOOKUP(A89,'forecast data dump'!$A$1:$H$3450,5,FALSE)</f>
        <v>44551</v>
      </c>
      <c r="G89" s="42">
        <f>VLOOKUP(A89,'forecast data dump'!$A$1:$H$3450,8,FALSE)</f>
        <v>0</v>
      </c>
      <c r="H89" s="5" t="s">
        <v>3802</v>
      </c>
      <c r="I89" s="39">
        <f t="shared" si="39"/>
        <v>10</v>
      </c>
      <c r="J89" s="5"/>
      <c r="K89" s="5"/>
      <c r="L89" s="33">
        <f t="shared" si="40"/>
        <v>1162</v>
      </c>
      <c r="M89" s="33">
        <f t="shared" si="41"/>
        <v>1162</v>
      </c>
      <c r="N89" s="33">
        <f t="shared" si="42"/>
        <v>0</v>
      </c>
      <c r="O89">
        <v>1</v>
      </c>
      <c r="R89" s="62">
        <f t="shared" si="43"/>
        <v>1162</v>
      </c>
      <c r="S89" s="63">
        <f t="shared" si="44"/>
        <v>0</v>
      </c>
      <c r="T89" s="64">
        <f t="shared" si="45"/>
        <v>0</v>
      </c>
    </row>
    <row r="90" spans="1:20" x14ac:dyDescent="0.3">
      <c r="A90" s="5" t="s">
        <v>764</v>
      </c>
      <c r="B90" s="5" t="s">
        <v>765</v>
      </c>
      <c r="C90" s="5">
        <v>50</v>
      </c>
      <c r="D90" s="6">
        <v>2663</v>
      </c>
      <c r="E90" s="17">
        <f>VLOOKUP(A90,'forecast data dump'!$A$1:$H$3450,4,FALSE)</f>
        <v>44552</v>
      </c>
      <c r="F90" s="17">
        <f>VLOOKUP(A90,'forecast data dump'!$A$1:$H$3450,5,FALSE)</f>
        <v>44559</v>
      </c>
      <c r="G90" s="42">
        <f>VLOOKUP(A90,'forecast data dump'!$A$1:$H$3450,8,FALSE)</f>
        <v>0</v>
      </c>
      <c r="H90" s="5" t="s">
        <v>3803</v>
      </c>
      <c r="I90" s="39">
        <f t="shared" si="39"/>
        <v>50</v>
      </c>
      <c r="J90" s="5"/>
      <c r="K90" s="5"/>
      <c r="L90" s="33">
        <f t="shared" si="40"/>
        <v>2663</v>
      </c>
      <c r="M90" s="33">
        <f t="shared" si="41"/>
        <v>2663</v>
      </c>
      <c r="N90" s="33">
        <f t="shared" si="42"/>
        <v>0</v>
      </c>
      <c r="O90">
        <v>1</v>
      </c>
      <c r="R90" s="62">
        <f t="shared" si="43"/>
        <v>2663</v>
      </c>
      <c r="S90" s="63">
        <f t="shared" si="44"/>
        <v>0</v>
      </c>
      <c r="T90" s="64">
        <f t="shared" si="45"/>
        <v>0</v>
      </c>
    </row>
    <row r="91" spans="1:20" x14ac:dyDescent="0.3">
      <c r="A91" s="5" t="s">
        <v>764</v>
      </c>
      <c r="B91" s="5" t="s">
        <v>765</v>
      </c>
      <c r="C91" s="5">
        <v>75</v>
      </c>
      <c r="D91" s="6">
        <v>1337</v>
      </c>
      <c r="E91" s="17">
        <f>VLOOKUP(A91,'forecast data dump'!$A$1:$H$3450,4,FALSE)</f>
        <v>44552</v>
      </c>
      <c r="F91" s="17">
        <f>VLOOKUP(A91,'forecast data dump'!$A$1:$H$3450,5,FALSE)</f>
        <v>44559</v>
      </c>
      <c r="G91" s="42">
        <f>VLOOKUP(A91,'forecast data dump'!$A$1:$H$3450,8,FALSE)</f>
        <v>0</v>
      </c>
      <c r="H91" s="5" t="s">
        <v>3804</v>
      </c>
      <c r="I91" s="39">
        <f t="shared" ref="I91:I95" si="46">C91*(1-G91)</f>
        <v>75</v>
      </c>
      <c r="J91" s="5"/>
      <c r="K91" s="5"/>
      <c r="L91" s="33">
        <f t="shared" ref="L91:L95" si="47">D91*(1-G91)</f>
        <v>1337</v>
      </c>
      <c r="M91" s="33">
        <f t="shared" ref="M91:M95" si="48">IF(J91="",L91,(D91/C91)*J91)</f>
        <v>1337</v>
      </c>
      <c r="N91" s="33">
        <f t="shared" ref="N91:N95" si="49">L91-M91</f>
        <v>0</v>
      </c>
      <c r="O91">
        <v>1</v>
      </c>
      <c r="R91" s="62">
        <f t="shared" si="43"/>
        <v>1337</v>
      </c>
      <c r="S91" s="63">
        <f t="shared" si="44"/>
        <v>0</v>
      </c>
      <c r="T91" s="64">
        <f t="shared" si="45"/>
        <v>0</v>
      </c>
    </row>
    <row r="92" spans="1:20" x14ac:dyDescent="0.3">
      <c r="A92" s="5" t="s">
        <v>764</v>
      </c>
      <c r="B92" s="5" t="s">
        <v>765</v>
      </c>
      <c r="C92" s="5">
        <v>10</v>
      </c>
      <c r="D92" s="6">
        <v>1162</v>
      </c>
      <c r="E92" s="17">
        <f>VLOOKUP(A92,'forecast data dump'!$A$1:$H$3450,4,FALSE)</f>
        <v>44552</v>
      </c>
      <c r="F92" s="17">
        <f>VLOOKUP(A92,'forecast data dump'!$A$1:$H$3450,5,FALSE)</f>
        <v>44559</v>
      </c>
      <c r="G92" s="42">
        <f>VLOOKUP(A92,'forecast data dump'!$A$1:$H$3450,8,FALSE)</f>
        <v>0</v>
      </c>
      <c r="H92" s="5" t="s">
        <v>3802</v>
      </c>
      <c r="I92" s="39">
        <f t="shared" si="46"/>
        <v>10</v>
      </c>
      <c r="J92" s="5"/>
      <c r="K92" s="5"/>
      <c r="L92" s="33">
        <f t="shared" si="47"/>
        <v>1162</v>
      </c>
      <c r="M92" s="33">
        <f t="shared" si="48"/>
        <v>1162</v>
      </c>
      <c r="N92" s="33">
        <f t="shared" si="49"/>
        <v>0</v>
      </c>
      <c r="O92">
        <v>1</v>
      </c>
      <c r="R92" s="62">
        <f t="shared" si="43"/>
        <v>1162</v>
      </c>
      <c r="S92" s="63">
        <f t="shared" si="44"/>
        <v>0</v>
      </c>
      <c r="T92" s="64">
        <f t="shared" si="45"/>
        <v>0</v>
      </c>
    </row>
    <row r="93" spans="1:20" x14ac:dyDescent="0.3">
      <c r="A93" s="5" t="s">
        <v>766</v>
      </c>
      <c r="B93" s="5" t="s">
        <v>767</v>
      </c>
      <c r="C93" s="5">
        <v>50</v>
      </c>
      <c r="D93" s="6">
        <v>2663</v>
      </c>
      <c r="E93" s="17">
        <f>VLOOKUP(A93,'forecast data dump'!$A$1:$H$3450,4,FALSE)</f>
        <v>44560</v>
      </c>
      <c r="F93" s="17">
        <f>VLOOKUP(A93,'forecast data dump'!$A$1:$H$3450,5,FALSE)</f>
        <v>44567</v>
      </c>
      <c r="G93" s="42">
        <f>VLOOKUP(A93,'forecast data dump'!$A$1:$H$3450,8,FALSE)</f>
        <v>0</v>
      </c>
      <c r="H93" s="5" t="s">
        <v>3803</v>
      </c>
      <c r="I93" s="39">
        <f t="shared" si="46"/>
        <v>50</v>
      </c>
      <c r="J93" s="5"/>
      <c r="K93" s="5"/>
      <c r="L93" s="33">
        <f t="shared" si="47"/>
        <v>2663</v>
      </c>
      <c r="M93" s="33">
        <f t="shared" si="48"/>
        <v>2663</v>
      </c>
      <c r="N93" s="33">
        <f t="shared" si="49"/>
        <v>0</v>
      </c>
      <c r="O93">
        <v>1</v>
      </c>
      <c r="R93" s="62">
        <f t="shared" si="43"/>
        <v>2663</v>
      </c>
      <c r="S93" s="63">
        <f t="shared" si="44"/>
        <v>0</v>
      </c>
      <c r="T93" s="64">
        <f t="shared" si="45"/>
        <v>0</v>
      </c>
    </row>
    <row r="94" spans="1:20" x14ac:dyDescent="0.3">
      <c r="A94" s="5" t="s">
        <v>766</v>
      </c>
      <c r="B94" s="5" t="s">
        <v>767</v>
      </c>
      <c r="C94" s="5">
        <v>75</v>
      </c>
      <c r="D94" s="6">
        <v>1337</v>
      </c>
      <c r="E94" s="17">
        <f>VLOOKUP(A94,'forecast data dump'!$A$1:$H$3450,4,FALSE)</f>
        <v>44560</v>
      </c>
      <c r="F94" s="17">
        <f>VLOOKUP(A94,'forecast data dump'!$A$1:$H$3450,5,FALSE)</f>
        <v>44567</v>
      </c>
      <c r="G94" s="42">
        <f>VLOOKUP(A94,'forecast data dump'!$A$1:$H$3450,8,FALSE)</f>
        <v>0</v>
      </c>
      <c r="H94" s="5" t="s">
        <v>3804</v>
      </c>
      <c r="I94" s="39">
        <f t="shared" si="46"/>
        <v>75</v>
      </c>
      <c r="J94" s="5"/>
      <c r="K94" s="5"/>
      <c r="L94" s="33">
        <f t="shared" si="47"/>
        <v>1337</v>
      </c>
      <c r="M94" s="33">
        <f t="shared" si="48"/>
        <v>1337</v>
      </c>
      <c r="N94" s="33">
        <f t="shared" si="49"/>
        <v>0</v>
      </c>
      <c r="O94">
        <v>1</v>
      </c>
      <c r="R94" s="62">
        <f t="shared" si="43"/>
        <v>1337</v>
      </c>
      <c r="S94" s="63">
        <f t="shared" si="44"/>
        <v>0</v>
      </c>
      <c r="T94" s="64">
        <f t="shared" si="45"/>
        <v>0</v>
      </c>
    </row>
    <row r="95" spans="1:20" x14ac:dyDescent="0.3">
      <c r="A95" s="5" t="s">
        <v>766</v>
      </c>
      <c r="B95" s="5" t="s">
        <v>767</v>
      </c>
      <c r="C95" s="5">
        <v>10</v>
      </c>
      <c r="D95" s="6">
        <v>1162</v>
      </c>
      <c r="E95" s="17">
        <f>VLOOKUP(A95,'forecast data dump'!$A$1:$H$3450,4,FALSE)</f>
        <v>44560</v>
      </c>
      <c r="F95" s="17">
        <f>VLOOKUP(A95,'forecast data dump'!$A$1:$H$3450,5,FALSE)</f>
        <v>44567</v>
      </c>
      <c r="G95" s="42">
        <f>VLOOKUP(A95,'forecast data dump'!$A$1:$H$3450,8,FALSE)</f>
        <v>0</v>
      </c>
      <c r="H95" s="5" t="s">
        <v>3802</v>
      </c>
      <c r="I95" s="39">
        <f t="shared" si="46"/>
        <v>10</v>
      </c>
      <c r="J95" s="5"/>
      <c r="K95" s="5"/>
      <c r="L95" s="33">
        <f t="shared" si="47"/>
        <v>1162</v>
      </c>
      <c r="M95" s="33">
        <f t="shared" si="48"/>
        <v>1162</v>
      </c>
      <c r="N95" s="33">
        <f t="shared" si="49"/>
        <v>0</v>
      </c>
      <c r="O95">
        <v>1</v>
      </c>
      <c r="R95" s="62">
        <f t="shared" si="43"/>
        <v>1162</v>
      </c>
      <c r="S95" s="63">
        <f t="shared" si="44"/>
        <v>0</v>
      </c>
      <c r="T95" s="64">
        <f t="shared" si="45"/>
        <v>0</v>
      </c>
    </row>
    <row r="96" spans="1:20" x14ac:dyDescent="0.3">
      <c r="A96" s="3" t="s">
        <v>7830</v>
      </c>
      <c r="B96" s="3"/>
      <c r="C96" s="3"/>
      <c r="D96" s="4"/>
      <c r="E96" s="15"/>
      <c r="F96" s="15"/>
      <c r="G96" s="41"/>
      <c r="H96" s="3"/>
      <c r="I96" s="38"/>
      <c r="J96" s="3"/>
      <c r="K96" s="3"/>
      <c r="L96" s="32"/>
      <c r="M96" s="32"/>
      <c r="N96" s="32"/>
      <c r="R96" s="62"/>
      <c r="S96" s="63"/>
      <c r="T96" s="64"/>
    </row>
    <row r="97" spans="1:21" x14ac:dyDescent="0.3">
      <c r="A97" s="5" t="s">
        <v>644</v>
      </c>
      <c r="B97" s="5" t="s">
        <v>645</v>
      </c>
      <c r="C97" s="5">
        <v>16</v>
      </c>
      <c r="D97" s="6">
        <v>285</v>
      </c>
      <c r="E97" s="17" t="str">
        <f>VLOOKUP(A97,'forecast data dump'!$A$1:$H$3450,4,FALSE)</f>
        <v>15-Jun-21 A</v>
      </c>
      <c r="F97" s="17">
        <f>VLOOKUP(A97,'forecast data dump'!$A$1:$H$3450,5,FALSE)</f>
        <v>44442</v>
      </c>
      <c r="G97" s="42">
        <v>0.71499999999999997</v>
      </c>
      <c r="H97" s="5" t="s">
        <v>3804</v>
      </c>
      <c r="I97" s="39">
        <f t="shared" ref="I97:I108" si="50">C97*(1-G97)</f>
        <v>4.5600000000000005</v>
      </c>
      <c r="J97" s="5"/>
      <c r="K97" s="5"/>
      <c r="L97" s="33">
        <f t="shared" ref="L97:L108" si="51">D97*(1-G97)</f>
        <v>81.225000000000009</v>
      </c>
      <c r="M97" s="33">
        <f t="shared" ref="M97:M108" si="52">IF(J97="",L97,(D97/C97)*J97)</f>
        <v>81.225000000000009</v>
      </c>
      <c r="N97" s="33">
        <f t="shared" ref="N97:N108" si="53">L97-M97</f>
        <v>0</v>
      </c>
      <c r="O97">
        <v>1</v>
      </c>
      <c r="R97" s="62">
        <f t="shared" si="43"/>
        <v>81.225000000000009</v>
      </c>
      <c r="S97" s="63">
        <f t="shared" si="44"/>
        <v>0</v>
      </c>
      <c r="T97" s="64">
        <f t="shared" si="45"/>
        <v>0</v>
      </c>
    </row>
    <row r="98" spans="1:21" x14ac:dyDescent="0.3">
      <c r="A98" s="5" t="s">
        <v>644</v>
      </c>
      <c r="B98" s="5" t="s">
        <v>645</v>
      </c>
      <c r="C98" s="5">
        <v>10</v>
      </c>
      <c r="D98" s="6">
        <v>533</v>
      </c>
      <c r="E98" s="17" t="str">
        <f>VLOOKUP(A98,'forecast data dump'!$A$1:$H$3450,4,FALSE)</f>
        <v>15-Jun-21 A</v>
      </c>
      <c r="F98" s="17">
        <f>VLOOKUP(A98,'forecast data dump'!$A$1:$H$3450,5,FALSE)</f>
        <v>44442</v>
      </c>
      <c r="G98" s="42">
        <v>0.71499999999999997</v>
      </c>
      <c r="H98" s="5" t="s">
        <v>3803</v>
      </c>
      <c r="I98" s="39">
        <f t="shared" si="50"/>
        <v>2.8500000000000005</v>
      </c>
      <c r="J98" s="5"/>
      <c r="K98" s="5"/>
      <c r="L98" s="33">
        <f t="shared" si="51"/>
        <v>151.90500000000003</v>
      </c>
      <c r="M98" s="33">
        <f t="shared" si="52"/>
        <v>151.90500000000003</v>
      </c>
      <c r="N98" s="33">
        <f t="shared" si="53"/>
        <v>0</v>
      </c>
      <c r="O98">
        <v>1</v>
      </c>
      <c r="R98" s="62">
        <f t="shared" si="43"/>
        <v>151.90500000000003</v>
      </c>
      <c r="S98" s="63">
        <f t="shared" si="44"/>
        <v>0</v>
      </c>
      <c r="T98" s="64">
        <f t="shared" si="45"/>
        <v>0</v>
      </c>
    </row>
    <row r="99" spans="1:21" x14ac:dyDescent="0.3">
      <c r="A99" s="5" t="s">
        <v>644</v>
      </c>
      <c r="B99" s="5" t="s">
        <v>645</v>
      </c>
      <c r="C99" s="5">
        <v>15</v>
      </c>
      <c r="D99" s="6">
        <v>1743</v>
      </c>
      <c r="E99" s="17" t="str">
        <f>VLOOKUP(A99,'forecast data dump'!$A$1:$H$3450,4,FALSE)</f>
        <v>15-Jun-21 A</v>
      </c>
      <c r="F99" s="17">
        <f>VLOOKUP(A99,'forecast data dump'!$A$1:$H$3450,5,FALSE)</f>
        <v>44442</v>
      </c>
      <c r="G99" s="42">
        <v>0.71499999999999997</v>
      </c>
      <c r="H99" s="5" t="s">
        <v>3802</v>
      </c>
      <c r="I99" s="39">
        <f t="shared" si="50"/>
        <v>4.2750000000000004</v>
      </c>
      <c r="J99" s="5"/>
      <c r="K99" s="5"/>
      <c r="L99" s="33">
        <f t="shared" si="51"/>
        <v>496.75500000000005</v>
      </c>
      <c r="M99" s="33">
        <f t="shared" si="52"/>
        <v>496.75500000000005</v>
      </c>
      <c r="N99" s="33">
        <f t="shared" si="53"/>
        <v>0</v>
      </c>
      <c r="O99">
        <v>1</v>
      </c>
      <c r="R99" s="62">
        <f t="shared" si="43"/>
        <v>496.75500000000005</v>
      </c>
      <c r="S99" s="63">
        <f t="shared" si="44"/>
        <v>0</v>
      </c>
      <c r="T99" s="64">
        <f t="shared" si="45"/>
        <v>0</v>
      </c>
    </row>
    <row r="100" spans="1:21" x14ac:dyDescent="0.3">
      <c r="A100" s="5" t="s">
        <v>646</v>
      </c>
      <c r="B100" s="5" t="s">
        <v>647</v>
      </c>
      <c r="C100" s="5">
        <v>16</v>
      </c>
      <c r="D100" s="6">
        <v>285</v>
      </c>
      <c r="E100" s="17">
        <f>VLOOKUP(A100,'forecast data dump'!$A$1:$H$3450,4,FALSE)</f>
        <v>44505</v>
      </c>
      <c r="F100" s="17">
        <f>VLOOKUP(A100,'forecast data dump'!$A$1:$H$3450,5,FALSE)</f>
        <v>44512</v>
      </c>
      <c r="G100" s="42">
        <f>VLOOKUP(A100,'forecast data dump'!$A$1:$H$3450,8,FALSE)</f>
        <v>0</v>
      </c>
      <c r="H100" s="5" t="s">
        <v>3804</v>
      </c>
      <c r="I100" s="39">
        <f t="shared" si="50"/>
        <v>16</v>
      </c>
      <c r="J100" s="5"/>
      <c r="K100" s="5"/>
      <c r="L100" s="33">
        <f t="shared" si="51"/>
        <v>285</v>
      </c>
      <c r="M100" s="33">
        <f t="shared" si="52"/>
        <v>285</v>
      </c>
      <c r="N100" s="33">
        <f t="shared" si="53"/>
        <v>0</v>
      </c>
      <c r="O100">
        <v>1</v>
      </c>
      <c r="R100" s="62">
        <f t="shared" si="43"/>
        <v>285</v>
      </c>
      <c r="S100" s="63">
        <f t="shared" si="44"/>
        <v>0</v>
      </c>
      <c r="T100" s="64">
        <f t="shared" si="45"/>
        <v>0</v>
      </c>
    </row>
    <row r="101" spans="1:21" x14ac:dyDescent="0.3">
      <c r="A101" s="5" t="s">
        <v>646</v>
      </c>
      <c r="B101" s="5" t="s">
        <v>647</v>
      </c>
      <c r="C101" s="5">
        <v>10</v>
      </c>
      <c r="D101" s="6">
        <v>533</v>
      </c>
      <c r="E101" s="17">
        <f>VLOOKUP(A101,'forecast data dump'!$A$1:$H$3450,4,FALSE)</f>
        <v>44505</v>
      </c>
      <c r="F101" s="17">
        <f>VLOOKUP(A101,'forecast data dump'!$A$1:$H$3450,5,FALSE)</f>
        <v>44512</v>
      </c>
      <c r="G101" s="42">
        <f>VLOOKUP(A101,'forecast data dump'!$A$1:$H$3450,8,FALSE)</f>
        <v>0</v>
      </c>
      <c r="H101" s="5" t="s">
        <v>3803</v>
      </c>
      <c r="I101" s="39">
        <f t="shared" si="50"/>
        <v>10</v>
      </c>
      <c r="J101" s="5"/>
      <c r="K101" s="5"/>
      <c r="L101" s="33">
        <f t="shared" si="51"/>
        <v>533</v>
      </c>
      <c r="M101" s="33">
        <f t="shared" si="52"/>
        <v>533</v>
      </c>
      <c r="N101" s="33">
        <f t="shared" si="53"/>
        <v>0</v>
      </c>
      <c r="O101">
        <v>1</v>
      </c>
      <c r="R101" s="62">
        <f t="shared" si="43"/>
        <v>533</v>
      </c>
      <c r="S101" s="63">
        <f t="shared" si="44"/>
        <v>0</v>
      </c>
      <c r="T101" s="64">
        <f t="shared" si="45"/>
        <v>0</v>
      </c>
    </row>
    <row r="102" spans="1:21" x14ac:dyDescent="0.3">
      <c r="A102" s="5" t="s">
        <v>646</v>
      </c>
      <c r="B102" s="5" t="s">
        <v>647</v>
      </c>
      <c r="C102" s="5">
        <v>15</v>
      </c>
      <c r="D102" s="6">
        <v>1743</v>
      </c>
      <c r="E102" s="17">
        <f>VLOOKUP(A102,'forecast data dump'!$A$1:$H$3450,4,FALSE)</f>
        <v>44505</v>
      </c>
      <c r="F102" s="17">
        <f>VLOOKUP(A102,'forecast data dump'!$A$1:$H$3450,5,FALSE)</f>
        <v>44512</v>
      </c>
      <c r="G102" s="42">
        <f>VLOOKUP(A102,'forecast data dump'!$A$1:$H$3450,8,FALSE)</f>
        <v>0</v>
      </c>
      <c r="H102" s="5" t="s">
        <v>3802</v>
      </c>
      <c r="I102" s="39">
        <f t="shared" si="50"/>
        <v>15</v>
      </c>
      <c r="J102" s="5"/>
      <c r="K102" s="5"/>
      <c r="L102" s="33">
        <f t="shared" si="51"/>
        <v>1743</v>
      </c>
      <c r="M102" s="33">
        <f t="shared" si="52"/>
        <v>1743</v>
      </c>
      <c r="N102" s="33">
        <f t="shared" si="53"/>
        <v>0</v>
      </c>
      <c r="O102">
        <v>1</v>
      </c>
      <c r="R102" s="62">
        <f t="shared" si="43"/>
        <v>1743</v>
      </c>
      <c r="S102" s="63">
        <f t="shared" si="44"/>
        <v>0</v>
      </c>
      <c r="T102" s="64">
        <f t="shared" si="45"/>
        <v>0</v>
      </c>
    </row>
    <row r="103" spans="1:21" x14ac:dyDescent="0.3">
      <c r="A103" s="5" t="s">
        <v>648</v>
      </c>
      <c r="B103" s="5" t="s">
        <v>649</v>
      </c>
      <c r="C103" s="5">
        <v>16</v>
      </c>
      <c r="D103" s="6">
        <v>285</v>
      </c>
      <c r="E103" s="17">
        <f>VLOOKUP(A103,'forecast data dump'!$A$1:$H$3450,4,FALSE)</f>
        <v>44568</v>
      </c>
      <c r="F103" s="17">
        <f>VLOOKUP(A103,'forecast data dump'!$A$1:$H$3450,5,FALSE)</f>
        <v>44568</v>
      </c>
      <c r="G103" s="42">
        <f>VLOOKUP(A103,'forecast data dump'!$A$1:$H$3450,8,FALSE)</f>
        <v>0</v>
      </c>
      <c r="H103" s="5" t="s">
        <v>3804</v>
      </c>
      <c r="I103" s="39">
        <f t="shared" si="50"/>
        <v>16</v>
      </c>
      <c r="J103" s="5"/>
      <c r="K103" s="5"/>
      <c r="L103" s="33">
        <f t="shared" si="51"/>
        <v>285</v>
      </c>
      <c r="M103" s="33">
        <f t="shared" si="52"/>
        <v>285</v>
      </c>
      <c r="N103" s="33">
        <f t="shared" si="53"/>
        <v>0</v>
      </c>
      <c r="O103">
        <v>1</v>
      </c>
      <c r="R103" s="62">
        <f t="shared" si="43"/>
        <v>285</v>
      </c>
      <c r="S103" s="63">
        <f t="shared" si="44"/>
        <v>0</v>
      </c>
      <c r="T103" s="64">
        <f t="shared" si="45"/>
        <v>0</v>
      </c>
    </row>
    <row r="104" spans="1:21" x14ac:dyDescent="0.3">
      <c r="A104" s="5" t="s">
        <v>648</v>
      </c>
      <c r="B104" s="5" t="s">
        <v>649</v>
      </c>
      <c r="C104" s="5">
        <v>10</v>
      </c>
      <c r="D104" s="6">
        <v>533</v>
      </c>
      <c r="E104" s="17">
        <f>VLOOKUP(A104,'forecast data dump'!$A$1:$H$3450,4,FALSE)</f>
        <v>44568</v>
      </c>
      <c r="F104" s="17">
        <f>VLOOKUP(A104,'forecast data dump'!$A$1:$H$3450,5,FALSE)</f>
        <v>44568</v>
      </c>
      <c r="G104" s="42">
        <f>VLOOKUP(A104,'forecast data dump'!$A$1:$H$3450,8,FALSE)</f>
        <v>0</v>
      </c>
      <c r="H104" s="5" t="s">
        <v>3803</v>
      </c>
      <c r="I104" s="39">
        <f t="shared" si="50"/>
        <v>10</v>
      </c>
      <c r="J104" s="5"/>
      <c r="K104" s="5"/>
      <c r="L104" s="33">
        <f t="shared" si="51"/>
        <v>533</v>
      </c>
      <c r="M104" s="33">
        <f t="shared" si="52"/>
        <v>533</v>
      </c>
      <c r="N104" s="33">
        <f t="shared" si="53"/>
        <v>0</v>
      </c>
      <c r="O104">
        <v>1</v>
      </c>
      <c r="R104" s="62">
        <f t="shared" si="43"/>
        <v>533</v>
      </c>
      <c r="S104" s="63">
        <f t="shared" si="44"/>
        <v>0</v>
      </c>
      <c r="T104" s="64">
        <f t="shared" si="45"/>
        <v>0</v>
      </c>
    </row>
    <row r="105" spans="1:21" x14ac:dyDescent="0.3">
      <c r="A105" s="5" t="s">
        <v>648</v>
      </c>
      <c r="B105" s="5" t="s">
        <v>649</v>
      </c>
      <c r="C105" s="5">
        <v>15</v>
      </c>
      <c r="D105" s="6">
        <v>1743</v>
      </c>
      <c r="E105" s="17">
        <f>VLOOKUP(A105,'forecast data dump'!$A$1:$H$3450,4,FALSE)</f>
        <v>44568</v>
      </c>
      <c r="F105" s="17">
        <f>VLOOKUP(A105,'forecast data dump'!$A$1:$H$3450,5,FALSE)</f>
        <v>44568</v>
      </c>
      <c r="G105" s="42">
        <f>VLOOKUP(A105,'forecast data dump'!$A$1:$H$3450,8,FALSE)</f>
        <v>0</v>
      </c>
      <c r="H105" s="5" t="s">
        <v>3802</v>
      </c>
      <c r="I105" s="39">
        <f t="shared" si="50"/>
        <v>15</v>
      </c>
      <c r="J105" s="5"/>
      <c r="K105" s="5"/>
      <c r="L105" s="33">
        <f t="shared" si="51"/>
        <v>1743</v>
      </c>
      <c r="M105" s="33">
        <f t="shared" si="52"/>
        <v>1743</v>
      </c>
      <c r="N105" s="33">
        <f t="shared" si="53"/>
        <v>0</v>
      </c>
      <c r="O105">
        <v>1</v>
      </c>
      <c r="R105" s="62">
        <f t="shared" si="43"/>
        <v>1743</v>
      </c>
      <c r="S105" s="63">
        <f t="shared" si="44"/>
        <v>0</v>
      </c>
      <c r="T105" s="64">
        <f t="shared" si="45"/>
        <v>0</v>
      </c>
    </row>
    <row r="106" spans="1:21" x14ac:dyDescent="0.3">
      <c r="A106" s="5" t="s">
        <v>658</v>
      </c>
      <c r="B106" s="5" t="s">
        <v>659</v>
      </c>
      <c r="C106" s="5">
        <v>6480</v>
      </c>
      <c r="D106" s="6">
        <v>7521</v>
      </c>
      <c r="E106" s="17" t="str">
        <f>VLOOKUP(A106,'forecast data dump'!$A$1:$H$3450,4,FALSE)</f>
        <v>15-Jun-21 A</v>
      </c>
      <c r="F106" s="17">
        <f>VLOOKUP(A106,'forecast data dump'!$A$1:$H$3450,5,FALSE)</f>
        <v>44442</v>
      </c>
      <c r="G106" s="42">
        <v>0.71499999999999997</v>
      </c>
      <c r="H106" s="5" t="s">
        <v>3805</v>
      </c>
      <c r="I106" s="39">
        <f t="shared" si="50"/>
        <v>1846.8000000000002</v>
      </c>
      <c r="J106" s="5"/>
      <c r="K106" s="5"/>
      <c r="L106" s="33">
        <f t="shared" si="51"/>
        <v>2143.4850000000001</v>
      </c>
      <c r="M106" s="33">
        <f t="shared" si="52"/>
        <v>2143.4850000000001</v>
      </c>
      <c r="N106" s="33">
        <f t="shared" si="53"/>
        <v>0</v>
      </c>
      <c r="O106">
        <v>1</v>
      </c>
      <c r="R106" s="62">
        <f t="shared" si="43"/>
        <v>2143.4850000000001</v>
      </c>
      <c r="S106" s="63">
        <f t="shared" si="44"/>
        <v>0</v>
      </c>
      <c r="T106" s="64">
        <f t="shared" si="45"/>
        <v>0</v>
      </c>
    </row>
    <row r="107" spans="1:21" x14ac:dyDescent="0.3">
      <c r="A107" s="5" t="s">
        <v>660</v>
      </c>
      <c r="B107" s="5" t="s">
        <v>661</v>
      </c>
      <c r="C107" s="5">
        <v>6480</v>
      </c>
      <c r="D107" s="6">
        <v>7521</v>
      </c>
      <c r="E107" s="17">
        <f>VLOOKUP(A107,'forecast data dump'!$A$1:$H$3450,4,FALSE)</f>
        <v>44505</v>
      </c>
      <c r="F107" s="17">
        <f>VLOOKUP(A107,'forecast data dump'!$A$1:$H$3450,5,FALSE)</f>
        <v>44512</v>
      </c>
      <c r="G107" s="42">
        <f>VLOOKUP(A107,'forecast data dump'!$A$1:$H$3450,8,FALSE)</f>
        <v>0</v>
      </c>
      <c r="H107" s="5" t="s">
        <v>3805</v>
      </c>
      <c r="I107" s="39">
        <f t="shared" si="50"/>
        <v>6480</v>
      </c>
      <c r="J107" s="5"/>
      <c r="K107" s="5"/>
      <c r="L107" s="33">
        <f t="shared" si="51"/>
        <v>7521</v>
      </c>
      <c r="M107" s="33">
        <f t="shared" si="52"/>
        <v>7521</v>
      </c>
      <c r="N107" s="33">
        <f t="shared" si="53"/>
        <v>0</v>
      </c>
      <c r="O107">
        <v>1</v>
      </c>
      <c r="R107" s="62">
        <f t="shared" si="43"/>
        <v>7521</v>
      </c>
      <c r="S107" s="63">
        <f t="shared" si="44"/>
        <v>0</v>
      </c>
      <c r="T107" s="64">
        <f t="shared" si="45"/>
        <v>0</v>
      </c>
    </row>
    <row r="108" spans="1:21" x14ac:dyDescent="0.3">
      <c r="A108" s="5" t="s">
        <v>662</v>
      </c>
      <c r="B108" s="5" t="s">
        <v>663</v>
      </c>
      <c r="C108" s="5">
        <v>6480</v>
      </c>
      <c r="D108" s="6">
        <v>7521</v>
      </c>
      <c r="E108" s="17">
        <f>VLOOKUP(A108,'forecast data dump'!$A$1:$H$3450,4,FALSE)</f>
        <v>44568</v>
      </c>
      <c r="F108" s="17">
        <f>VLOOKUP(A108,'forecast data dump'!$A$1:$H$3450,5,FALSE)</f>
        <v>44568</v>
      </c>
      <c r="G108" s="42">
        <f>VLOOKUP(A108,'forecast data dump'!$A$1:$H$3450,8,FALSE)</f>
        <v>0</v>
      </c>
      <c r="H108" s="5" t="s">
        <v>3805</v>
      </c>
      <c r="I108" s="39">
        <f t="shared" si="50"/>
        <v>6480</v>
      </c>
      <c r="J108" s="5"/>
      <c r="K108" s="5"/>
      <c r="L108" s="33">
        <f t="shared" si="51"/>
        <v>7521</v>
      </c>
      <c r="M108" s="33">
        <f t="shared" si="52"/>
        <v>7521</v>
      </c>
      <c r="N108" s="33">
        <f t="shared" si="53"/>
        <v>0</v>
      </c>
      <c r="O108">
        <v>1</v>
      </c>
      <c r="R108" s="62">
        <f t="shared" si="43"/>
        <v>7521</v>
      </c>
      <c r="S108" s="63">
        <f t="shared" si="44"/>
        <v>0</v>
      </c>
      <c r="T108" s="64">
        <f t="shared" si="45"/>
        <v>0</v>
      </c>
    </row>
    <row r="109" spans="1:21" x14ac:dyDescent="0.3">
      <c r="A109" s="3" t="s">
        <v>7831</v>
      </c>
      <c r="B109" s="3"/>
      <c r="C109" s="3"/>
      <c r="D109" s="4"/>
      <c r="E109" s="15"/>
      <c r="F109" s="15"/>
      <c r="G109" s="41"/>
      <c r="H109" s="3"/>
      <c r="I109" s="38"/>
      <c r="J109" s="3"/>
      <c r="K109" s="3"/>
      <c r="L109" s="32"/>
      <c r="M109" s="32"/>
      <c r="N109" s="32"/>
      <c r="R109" s="62"/>
      <c r="S109" s="63"/>
      <c r="T109" s="64"/>
      <c r="U109" s="29">
        <f>SUM(R110:R115)</f>
        <v>57060.959999999992</v>
      </c>
    </row>
    <row r="110" spans="1:21" x14ac:dyDescent="0.3">
      <c r="A110" s="5" t="s">
        <v>958</v>
      </c>
      <c r="B110" s="5" t="s">
        <v>959</v>
      </c>
      <c r="C110" s="5">
        <v>1650</v>
      </c>
      <c r="D110" s="6">
        <v>1912</v>
      </c>
      <c r="E110" s="17" t="str">
        <f>VLOOKUP(A110,'forecast data dump'!$A$1:$H$3450,4,FALSE)</f>
        <v>21-Jan-21 A</v>
      </c>
      <c r="F110" s="17">
        <f>VLOOKUP(A110,'forecast data dump'!$A$1:$H$3450,5,FALSE)</f>
        <v>44592</v>
      </c>
      <c r="G110" s="42">
        <v>0.4</v>
      </c>
      <c r="H110" s="5" t="s">
        <v>3762</v>
      </c>
      <c r="I110" s="39">
        <f t="shared" ref="I110:I112" si="54">C110*(1-G110)</f>
        <v>990</v>
      </c>
      <c r="J110" s="5"/>
      <c r="K110" s="5"/>
      <c r="L110" s="33">
        <f t="shared" ref="L110:L112" si="55">D110*(1-G110)</f>
        <v>1147.2</v>
      </c>
      <c r="M110" s="33">
        <f t="shared" ref="M110:M112" si="56">IF(J110="",L110,(D110/C110)*J110)</f>
        <v>1147.2</v>
      </c>
      <c r="N110" s="33">
        <f t="shared" ref="N110:N112" si="57">L110-M110</f>
        <v>0</v>
      </c>
      <c r="Q110">
        <v>1</v>
      </c>
      <c r="R110" s="62">
        <f t="shared" ref="R110:R147" si="58">O110*M110</f>
        <v>0</v>
      </c>
      <c r="S110" s="63">
        <f t="shared" ref="S110:S147" si="59">P110*M110</f>
        <v>0</v>
      </c>
      <c r="T110" s="64">
        <f t="shared" ref="T110:T147" si="60">Q110*M110</f>
        <v>1147.2</v>
      </c>
      <c r="U110" s="103" t="s">
        <v>8345</v>
      </c>
    </row>
    <row r="111" spans="1:21" x14ac:dyDescent="0.3">
      <c r="A111" s="5" t="s">
        <v>960</v>
      </c>
      <c r="B111" s="5" t="s">
        <v>961</v>
      </c>
      <c r="C111" s="5">
        <v>300</v>
      </c>
      <c r="D111" s="6">
        <v>348</v>
      </c>
      <c r="E111" s="17" t="str">
        <f>VLOOKUP(A111,'forecast data dump'!$A$1:$H$3450,4,FALSE)</f>
        <v>22-Jan-21 A</v>
      </c>
      <c r="F111" s="17">
        <f>VLOOKUP(A111,'forecast data dump'!$A$1:$H$3450,5,FALSE)</f>
        <v>44595</v>
      </c>
      <c r="G111" s="42">
        <v>0.4</v>
      </c>
      <c r="H111" s="5" t="s">
        <v>3762</v>
      </c>
      <c r="I111" s="39">
        <f t="shared" si="54"/>
        <v>180</v>
      </c>
      <c r="J111" s="5"/>
      <c r="K111" s="5"/>
      <c r="L111" s="33">
        <f t="shared" si="55"/>
        <v>208.79999999999998</v>
      </c>
      <c r="M111" s="33">
        <f t="shared" si="56"/>
        <v>208.79999999999998</v>
      </c>
      <c r="N111" s="33">
        <f t="shared" si="57"/>
        <v>0</v>
      </c>
      <c r="Q111">
        <v>1</v>
      </c>
      <c r="R111" s="62">
        <f t="shared" si="58"/>
        <v>0</v>
      </c>
      <c r="S111" s="63">
        <f t="shared" si="59"/>
        <v>0</v>
      </c>
      <c r="T111" s="64">
        <f t="shared" si="60"/>
        <v>208.79999999999998</v>
      </c>
      <c r="U111" s="103" t="s">
        <v>8346</v>
      </c>
    </row>
    <row r="112" spans="1:21" x14ac:dyDescent="0.3">
      <c r="A112" s="5" t="s">
        <v>962</v>
      </c>
      <c r="B112" s="5" t="s">
        <v>963</v>
      </c>
      <c r="C112" s="5">
        <v>215244</v>
      </c>
      <c r="D112" s="6">
        <v>240129</v>
      </c>
      <c r="E112" s="17" t="str">
        <f>VLOOKUP(A112,'forecast data dump'!$A$1:$H$3450,4,FALSE)</f>
        <v>22-Dec-20 A</v>
      </c>
      <c r="F112" s="17">
        <f>VLOOKUP(A112,'forecast data dump'!$A$1:$H$3450,5,FALSE)</f>
        <v>44407</v>
      </c>
      <c r="G112" s="42">
        <v>0.92</v>
      </c>
      <c r="H112" s="5" t="s">
        <v>3761</v>
      </c>
      <c r="I112" s="39">
        <f t="shared" si="54"/>
        <v>17219.519999999993</v>
      </c>
      <c r="J112" s="5"/>
      <c r="K112" s="5"/>
      <c r="L112" s="33">
        <f t="shared" si="55"/>
        <v>19210.319999999989</v>
      </c>
      <c r="M112" s="33">
        <f t="shared" si="56"/>
        <v>19210.319999999989</v>
      </c>
      <c r="N112" s="33">
        <f t="shared" si="57"/>
        <v>0</v>
      </c>
      <c r="O112">
        <v>1</v>
      </c>
      <c r="R112" s="62">
        <f t="shared" si="58"/>
        <v>19210.319999999989</v>
      </c>
      <c r="S112" s="63">
        <f t="shared" si="59"/>
        <v>0</v>
      </c>
      <c r="T112" s="64">
        <f t="shared" si="60"/>
        <v>0</v>
      </c>
    </row>
    <row r="113" spans="1:21" x14ac:dyDescent="0.3">
      <c r="A113" s="3" t="s">
        <v>7832</v>
      </c>
      <c r="B113" s="3"/>
      <c r="C113" s="3"/>
      <c r="D113" s="4"/>
      <c r="E113" s="15"/>
      <c r="F113" s="15"/>
      <c r="G113" s="41"/>
      <c r="H113" s="3"/>
      <c r="I113" s="38"/>
      <c r="J113" s="3"/>
      <c r="K113" s="3"/>
      <c r="L113" s="32"/>
      <c r="M113" s="32"/>
      <c r="N113" s="32"/>
      <c r="R113" s="62"/>
      <c r="S113" s="63"/>
      <c r="T113" s="64"/>
    </row>
    <row r="114" spans="1:21" x14ac:dyDescent="0.3">
      <c r="A114" s="5" t="s">
        <v>912</v>
      </c>
      <c r="B114" s="5" t="s">
        <v>913</v>
      </c>
      <c r="C114" s="5">
        <v>70893</v>
      </c>
      <c r="D114" s="6">
        <v>82284</v>
      </c>
      <c r="E114" s="17" t="str">
        <f>VLOOKUP(A114,'forecast data dump'!$A$1:$H$3450,4,FALSE)</f>
        <v>18-Jan-21 A</v>
      </c>
      <c r="F114" s="17">
        <f>VLOOKUP(A114,'forecast data dump'!$A$1:$H$3450,5,FALSE)</f>
        <v>44391</v>
      </c>
      <c r="G114" s="42">
        <v>0.54</v>
      </c>
      <c r="H114" s="5" t="s">
        <v>3762</v>
      </c>
      <c r="I114" s="39">
        <f t="shared" ref="I114:I115" si="61">C114*(1-G114)</f>
        <v>32610.78</v>
      </c>
      <c r="J114" s="5"/>
      <c r="K114" s="5"/>
      <c r="L114" s="33">
        <f t="shared" ref="L114:L115" si="62">D114*(1-G114)</f>
        <v>37850.639999999999</v>
      </c>
      <c r="M114" s="33">
        <f t="shared" ref="M114:M115" si="63">IF(J114="",L114,(D114/C114)*J114)</f>
        <v>37850.639999999999</v>
      </c>
      <c r="N114" s="33">
        <f t="shared" ref="N114:N115" si="64">L114-M114</f>
        <v>0</v>
      </c>
      <c r="O114">
        <v>1</v>
      </c>
      <c r="R114" s="62">
        <f t="shared" si="58"/>
        <v>37850.639999999999</v>
      </c>
      <c r="S114" s="63">
        <f t="shared" si="59"/>
        <v>0</v>
      </c>
      <c r="T114" s="64">
        <f t="shared" si="60"/>
        <v>0</v>
      </c>
    </row>
    <row r="115" spans="1:21" x14ac:dyDescent="0.3">
      <c r="A115" s="5" t="s">
        <v>914</v>
      </c>
      <c r="B115" s="5" t="s">
        <v>915</v>
      </c>
      <c r="C115" s="5">
        <v>3520</v>
      </c>
      <c r="D115" s="6">
        <v>281000</v>
      </c>
      <c r="E115" s="17" t="str">
        <f>VLOOKUP(A115,'forecast data dump'!$A$1:$H$3450,4,FALSE)</f>
        <v>04-Jan-21 A</v>
      </c>
      <c r="F115" s="17">
        <f>VLOOKUP(A115,'forecast data dump'!$A$1:$H$3450,5,FALSE)</f>
        <v>44573</v>
      </c>
      <c r="G115" s="42">
        <v>0.57999999999999996</v>
      </c>
      <c r="H115" s="5" t="s">
        <v>3800</v>
      </c>
      <c r="I115" s="39">
        <f t="shared" si="61"/>
        <v>1478.4</v>
      </c>
      <c r="J115" s="5"/>
      <c r="K115" s="5"/>
      <c r="L115" s="33">
        <f t="shared" si="62"/>
        <v>118020.00000000001</v>
      </c>
      <c r="M115" s="33">
        <f t="shared" si="63"/>
        <v>118020.00000000001</v>
      </c>
      <c r="N115" s="33">
        <f t="shared" si="64"/>
        <v>0</v>
      </c>
      <c r="P115">
        <v>1</v>
      </c>
      <c r="R115" s="62">
        <f t="shared" si="58"/>
        <v>0</v>
      </c>
      <c r="S115" s="63">
        <f t="shared" si="59"/>
        <v>118020.00000000001</v>
      </c>
      <c r="T115" s="64">
        <f t="shared" si="60"/>
        <v>0</v>
      </c>
    </row>
    <row r="116" spans="1:21" x14ac:dyDescent="0.3">
      <c r="A116" s="3" t="s">
        <v>7833</v>
      </c>
      <c r="B116" s="3"/>
      <c r="C116" s="3"/>
      <c r="D116" s="4"/>
      <c r="E116" s="15"/>
      <c r="F116" s="15"/>
      <c r="G116" s="41"/>
      <c r="H116" s="3"/>
      <c r="I116" s="38"/>
      <c r="J116" s="3"/>
      <c r="K116" s="3"/>
      <c r="L116" s="32"/>
      <c r="M116" s="32"/>
      <c r="N116" s="32"/>
      <c r="R116" s="62"/>
      <c r="S116" s="63"/>
      <c r="T116" s="64"/>
      <c r="U116" s="29">
        <f>SUM(R117:R119)</f>
        <v>794874</v>
      </c>
    </row>
    <row r="117" spans="1:21" x14ac:dyDescent="0.3">
      <c r="A117" s="5" t="s">
        <v>1101</v>
      </c>
      <c r="B117" s="5" t="s">
        <v>1102</v>
      </c>
      <c r="C117" s="5">
        <v>237500</v>
      </c>
      <c r="D117" s="6">
        <v>264958</v>
      </c>
      <c r="E117" s="17" t="str">
        <f>VLOOKUP(A117,'forecast data dump'!$A$1:$H$3450,4,FALSE)</f>
        <v>16-Aug-21*</v>
      </c>
      <c r="F117" s="17">
        <f>VLOOKUP(A117,'forecast data dump'!$A$1:$H$3450,5,FALSE)</f>
        <v>44428</v>
      </c>
      <c r="G117" s="42">
        <f>VLOOKUP(A117,'forecast data dump'!$A$1:$H$3450,8,FALSE)</f>
        <v>0</v>
      </c>
      <c r="H117" s="5" t="s">
        <v>3761</v>
      </c>
      <c r="I117" s="39">
        <f t="shared" ref="I117:I119" si="65">C117*(1-G117)</f>
        <v>237500</v>
      </c>
      <c r="J117" s="5"/>
      <c r="K117" s="5"/>
      <c r="L117" s="33">
        <f t="shared" ref="L117:L119" si="66">D117*(1-G117)</f>
        <v>264958</v>
      </c>
      <c r="M117" s="33">
        <f t="shared" ref="M117:M119" si="67">IF(J117="",L117,(D117/C117)*J117)</f>
        <v>264958</v>
      </c>
      <c r="N117" s="33">
        <f t="shared" ref="N117:N119" si="68">L117-M117</f>
        <v>0</v>
      </c>
      <c r="O117">
        <v>1</v>
      </c>
      <c r="R117" s="62">
        <f t="shared" si="58"/>
        <v>264958</v>
      </c>
      <c r="S117" s="63">
        <f t="shared" si="59"/>
        <v>0</v>
      </c>
      <c r="T117" s="64">
        <f t="shared" si="60"/>
        <v>0</v>
      </c>
    </row>
    <row r="118" spans="1:21" x14ac:dyDescent="0.3">
      <c r="A118" s="5" t="s">
        <v>1103</v>
      </c>
      <c r="B118" s="5" t="s">
        <v>1104</v>
      </c>
      <c r="C118" s="5">
        <v>237500</v>
      </c>
      <c r="D118" s="6">
        <v>264958</v>
      </c>
      <c r="E118" s="17" t="str">
        <f>VLOOKUP(A118,'forecast data dump'!$A$1:$H$3450,4,FALSE)</f>
        <v>24-Sep-21*</v>
      </c>
      <c r="F118" s="17">
        <f>VLOOKUP(A118,'forecast data dump'!$A$1:$H$3450,5,FALSE)</f>
        <v>44469</v>
      </c>
      <c r="G118" s="42">
        <f>VLOOKUP(A118,'forecast data dump'!$A$1:$H$3450,8,FALSE)</f>
        <v>0</v>
      </c>
      <c r="H118" s="5" t="s">
        <v>3761</v>
      </c>
      <c r="I118" s="39">
        <f t="shared" si="65"/>
        <v>237500</v>
      </c>
      <c r="J118" s="5"/>
      <c r="K118" s="5"/>
      <c r="L118" s="33">
        <f t="shared" si="66"/>
        <v>264958</v>
      </c>
      <c r="M118" s="33">
        <f t="shared" si="67"/>
        <v>264958</v>
      </c>
      <c r="N118" s="33">
        <f t="shared" si="68"/>
        <v>0</v>
      </c>
      <c r="O118">
        <v>1</v>
      </c>
      <c r="R118" s="62">
        <f t="shared" si="58"/>
        <v>264958</v>
      </c>
      <c r="S118" s="63">
        <f t="shared" si="59"/>
        <v>0</v>
      </c>
      <c r="T118" s="64">
        <f t="shared" si="60"/>
        <v>0</v>
      </c>
    </row>
    <row r="119" spans="1:21" x14ac:dyDescent="0.3">
      <c r="A119" s="5" t="s">
        <v>1105</v>
      </c>
      <c r="B119" s="5" t="s">
        <v>1106</v>
      </c>
      <c r="C119" s="5">
        <v>237500</v>
      </c>
      <c r="D119" s="6">
        <v>264958</v>
      </c>
      <c r="E119" s="17" t="str">
        <f>VLOOKUP(A119,'forecast data dump'!$A$1:$H$3450,4,FALSE)</f>
        <v>15-Nov-21*</v>
      </c>
      <c r="F119" s="17">
        <f>VLOOKUP(A119,'forecast data dump'!$A$1:$H$3450,5,FALSE)</f>
        <v>44519</v>
      </c>
      <c r="G119" s="42">
        <f>VLOOKUP(A119,'forecast data dump'!$A$1:$H$3450,8,FALSE)</f>
        <v>0</v>
      </c>
      <c r="H119" s="5" t="s">
        <v>3761</v>
      </c>
      <c r="I119" s="39">
        <f t="shared" si="65"/>
        <v>237500</v>
      </c>
      <c r="J119" s="5"/>
      <c r="K119" s="5"/>
      <c r="L119" s="33">
        <f t="shared" si="66"/>
        <v>264958</v>
      </c>
      <c r="M119" s="33">
        <f t="shared" si="67"/>
        <v>264958</v>
      </c>
      <c r="N119" s="33">
        <f t="shared" si="68"/>
        <v>0</v>
      </c>
      <c r="O119">
        <v>1</v>
      </c>
      <c r="R119" s="62">
        <f t="shared" si="58"/>
        <v>264958</v>
      </c>
      <c r="S119" s="63">
        <f t="shared" si="59"/>
        <v>0</v>
      </c>
      <c r="T119" s="64">
        <f t="shared" si="60"/>
        <v>0</v>
      </c>
    </row>
    <row r="120" spans="1:21" x14ac:dyDescent="0.3">
      <c r="A120" s="3" t="s">
        <v>7834</v>
      </c>
      <c r="B120" s="3"/>
      <c r="C120" s="3"/>
      <c r="D120" s="4"/>
      <c r="E120" s="15"/>
      <c r="F120" s="15"/>
      <c r="G120" s="41"/>
      <c r="H120" s="3"/>
      <c r="I120" s="38"/>
      <c r="J120" s="3"/>
      <c r="K120" s="3"/>
      <c r="L120" s="32"/>
      <c r="M120" s="32"/>
      <c r="N120" s="32"/>
      <c r="R120" s="62"/>
      <c r="S120" s="63"/>
      <c r="T120" s="64"/>
      <c r="U120" s="29">
        <f>SUM(R121:R127)</f>
        <v>1060465.1000000001</v>
      </c>
    </row>
    <row r="121" spans="1:21" x14ac:dyDescent="0.3">
      <c r="A121" s="5" t="s">
        <v>1503</v>
      </c>
      <c r="B121" s="5" t="s">
        <v>1504</v>
      </c>
      <c r="C121" s="5">
        <v>176</v>
      </c>
      <c r="D121" s="6">
        <v>2888</v>
      </c>
      <c r="E121" s="17" t="str">
        <f>VLOOKUP(A121,'forecast data dump'!$A$1:$H$3450,4,FALSE)</f>
        <v>01-Dec-20 A</v>
      </c>
      <c r="F121" s="17">
        <f>VLOOKUP(A121,'forecast data dump'!$A$1:$H$3450,5,FALSE)</f>
        <v>44397</v>
      </c>
      <c r="G121" s="42">
        <v>0.75</v>
      </c>
      <c r="H121" s="5" t="s">
        <v>3807</v>
      </c>
      <c r="I121" s="39">
        <f t="shared" ref="I121:I124" si="69">C121*(1-G121)</f>
        <v>44</v>
      </c>
      <c r="J121" s="5"/>
      <c r="K121" s="5"/>
      <c r="L121" s="33">
        <f t="shared" ref="L121:L124" si="70">D121*(1-G121)</f>
        <v>722</v>
      </c>
      <c r="M121" s="33">
        <f t="shared" ref="M121:M124" si="71">IF(J121="",L121,(D121/C121)*J121)</f>
        <v>722</v>
      </c>
      <c r="N121" s="33">
        <f t="shared" ref="N121:N124" si="72">L121-M121</f>
        <v>0</v>
      </c>
      <c r="P121">
        <v>1</v>
      </c>
      <c r="R121" s="62">
        <f t="shared" si="58"/>
        <v>0</v>
      </c>
      <c r="S121" s="63">
        <f t="shared" si="59"/>
        <v>722</v>
      </c>
      <c r="T121" s="64">
        <f t="shared" si="60"/>
        <v>0</v>
      </c>
      <c r="U121" s="103" t="s">
        <v>8347</v>
      </c>
    </row>
    <row r="122" spans="1:21" x14ac:dyDescent="0.3">
      <c r="A122" s="5" t="s">
        <v>1505</v>
      </c>
      <c r="B122" s="5" t="s">
        <v>1506</v>
      </c>
      <c r="C122" s="5">
        <v>384</v>
      </c>
      <c r="D122" s="6">
        <v>6313</v>
      </c>
      <c r="E122" s="17" t="str">
        <f>VLOOKUP(A122,'forecast data dump'!$A$1:$H$3450,4,FALSE)</f>
        <v>26-Feb-21 A</v>
      </c>
      <c r="F122" s="17">
        <f>VLOOKUP(A122,'forecast data dump'!$A$1:$H$3450,5,FALSE)</f>
        <v>44391</v>
      </c>
      <c r="G122" s="42">
        <v>0.85</v>
      </c>
      <c r="H122" s="5" t="s">
        <v>3807</v>
      </c>
      <c r="I122" s="39">
        <f t="shared" si="69"/>
        <v>57.600000000000009</v>
      </c>
      <c r="J122" s="5"/>
      <c r="K122" s="5"/>
      <c r="L122" s="33">
        <f t="shared" si="70"/>
        <v>946.95000000000016</v>
      </c>
      <c r="M122" s="33">
        <f t="shared" si="71"/>
        <v>946.95000000000016</v>
      </c>
      <c r="N122" s="33">
        <f t="shared" si="72"/>
        <v>0</v>
      </c>
      <c r="P122">
        <v>1</v>
      </c>
      <c r="R122" s="62">
        <f t="shared" si="58"/>
        <v>0</v>
      </c>
      <c r="S122" s="63">
        <f t="shared" si="59"/>
        <v>946.95000000000016</v>
      </c>
      <c r="T122" s="64">
        <f t="shared" si="60"/>
        <v>0</v>
      </c>
    </row>
    <row r="123" spans="1:21" x14ac:dyDescent="0.3">
      <c r="A123" s="5" t="s">
        <v>1521</v>
      </c>
      <c r="B123" s="5" t="s">
        <v>1522</v>
      </c>
      <c r="C123" s="5">
        <v>177356</v>
      </c>
      <c r="D123" s="6">
        <v>205854</v>
      </c>
      <c r="E123" s="17">
        <f>VLOOKUP(A123,'forecast data dump'!$A$1:$H$3450,4,FALSE)</f>
        <v>44557</v>
      </c>
      <c r="F123" s="17">
        <f>VLOOKUP(A123,'forecast data dump'!$A$1:$H$3450,5,FALSE)</f>
        <v>44564</v>
      </c>
      <c r="G123" s="42">
        <v>0.6</v>
      </c>
      <c r="H123" s="5" t="s">
        <v>3762</v>
      </c>
      <c r="I123" s="39">
        <f t="shared" si="69"/>
        <v>70942.400000000009</v>
      </c>
      <c r="J123" s="5"/>
      <c r="K123" s="5"/>
      <c r="L123" s="33">
        <f t="shared" si="70"/>
        <v>82341.600000000006</v>
      </c>
      <c r="M123" s="33">
        <f t="shared" si="71"/>
        <v>82341.600000000006</v>
      </c>
      <c r="N123" s="33">
        <f t="shared" si="72"/>
        <v>0</v>
      </c>
      <c r="O123">
        <v>1</v>
      </c>
      <c r="R123" s="62">
        <f t="shared" si="58"/>
        <v>82341.600000000006</v>
      </c>
      <c r="S123" s="63">
        <f t="shared" si="59"/>
        <v>0</v>
      </c>
      <c r="T123" s="64">
        <f t="shared" si="60"/>
        <v>0</v>
      </c>
    </row>
    <row r="124" spans="1:21" x14ac:dyDescent="0.3">
      <c r="A124" s="5" t="s">
        <v>1547</v>
      </c>
      <c r="B124" s="5" t="s">
        <v>1548</v>
      </c>
      <c r="C124" s="5">
        <v>670160</v>
      </c>
      <c r="D124" s="6">
        <v>777844</v>
      </c>
      <c r="E124" s="17">
        <f>VLOOKUP(A124,'forecast data dump'!$A$1:$H$3450,4,FALSE)</f>
        <v>44407</v>
      </c>
      <c r="F124" s="17">
        <f>VLOOKUP(A124,'forecast data dump'!$A$1:$H$3450,5,FALSE)</f>
        <v>44553</v>
      </c>
      <c r="G124" s="42">
        <f>VLOOKUP(A124,'forecast data dump'!$A$1:$H$3450,8,FALSE)</f>
        <v>0</v>
      </c>
      <c r="H124" s="5" t="s">
        <v>3762</v>
      </c>
      <c r="I124" s="39">
        <f t="shared" si="69"/>
        <v>670160</v>
      </c>
      <c r="J124" s="5"/>
      <c r="K124" s="5"/>
      <c r="L124" s="33">
        <f t="shared" si="70"/>
        <v>777844</v>
      </c>
      <c r="M124" s="33">
        <f t="shared" si="71"/>
        <v>777844</v>
      </c>
      <c r="N124" s="33">
        <f t="shared" si="72"/>
        <v>0</v>
      </c>
      <c r="O124">
        <v>1</v>
      </c>
      <c r="R124" s="62">
        <f t="shared" si="58"/>
        <v>777844</v>
      </c>
      <c r="S124" s="63">
        <f t="shared" si="59"/>
        <v>0</v>
      </c>
      <c r="T124" s="64">
        <f t="shared" si="60"/>
        <v>0</v>
      </c>
    </row>
    <row r="125" spans="1:21" x14ac:dyDescent="0.3">
      <c r="A125" s="3" t="s">
        <v>7835</v>
      </c>
      <c r="B125" s="3"/>
      <c r="C125" s="3"/>
      <c r="D125" s="4"/>
      <c r="E125" s="15"/>
      <c r="F125" s="15"/>
      <c r="G125" s="41"/>
      <c r="H125" s="3"/>
      <c r="I125" s="38"/>
      <c r="J125" s="3"/>
      <c r="K125" s="3"/>
      <c r="L125" s="32"/>
      <c r="M125" s="32"/>
      <c r="N125" s="32"/>
      <c r="R125" s="62"/>
      <c r="S125" s="63"/>
      <c r="T125" s="64"/>
    </row>
    <row r="126" spans="1:21" x14ac:dyDescent="0.3">
      <c r="A126" s="5" t="s">
        <v>1455</v>
      </c>
      <c r="B126" s="5" t="s">
        <v>1456</v>
      </c>
      <c r="C126" s="5">
        <v>87827</v>
      </c>
      <c r="D126" s="6">
        <v>101939</v>
      </c>
      <c r="E126" s="17" t="str">
        <f>VLOOKUP(A126,'forecast data dump'!$A$1:$H$3450,4,FALSE)</f>
        <v>14-Dec-20 A</v>
      </c>
      <c r="F126" s="17">
        <f>VLOOKUP(A126,'forecast data dump'!$A$1:$H$3450,5,FALSE)</f>
        <v>44435</v>
      </c>
      <c r="G126" s="42">
        <f>VLOOKUP(A126,'forecast data dump'!$A$1:$H$3450,8,FALSE)</f>
        <v>0.5</v>
      </c>
      <c r="H126" s="5" t="s">
        <v>3762</v>
      </c>
      <c r="I126" s="39">
        <f t="shared" ref="I126:I127" si="73">C126*(1-G126)</f>
        <v>43913.5</v>
      </c>
      <c r="J126" s="5"/>
      <c r="K126" s="5"/>
      <c r="L126" s="33">
        <f t="shared" ref="L126:L127" si="74">D126*(1-G126)</f>
        <v>50969.5</v>
      </c>
      <c r="M126" s="33">
        <f t="shared" ref="M126:M127" si="75">IF(J126="",L126,(D126/C126)*J126)</f>
        <v>50969.5</v>
      </c>
      <c r="N126" s="33">
        <f t="shared" ref="N126:N127" si="76">L126-M126</f>
        <v>0</v>
      </c>
      <c r="O126">
        <v>1</v>
      </c>
      <c r="R126" s="62">
        <f t="shared" si="58"/>
        <v>50969.5</v>
      </c>
      <c r="S126" s="63">
        <f t="shared" si="59"/>
        <v>0</v>
      </c>
      <c r="T126" s="64">
        <f t="shared" si="60"/>
        <v>0</v>
      </c>
    </row>
    <row r="127" spans="1:21" x14ac:dyDescent="0.3">
      <c r="A127" s="5" t="s">
        <v>1469</v>
      </c>
      <c r="B127" s="5" t="s">
        <v>1470</v>
      </c>
      <c r="C127" s="5">
        <v>128640</v>
      </c>
      <c r="D127" s="6">
        <v>149310</v>
      </c>
      <c r="E127" s="17">
        <f>VLOOKUP(A127,'forecast data dump'!$A$1:$H$3450,4,FALSE)</f>
        <v>44407</v>
      </c>
      <c r="F127" s="17">
        <f>VLOOKUP(A127,'forecast data dump'!$A$1:$H$3450,5,FALSE)</f>
        <v>44553</v>
      </c>
      <c r="G127" s="42">
        <f>VLOOKUP(A127,'forecast data dump'!$A$1:$H$3450,8,FALSE)</f>
        <v>0</v>
      </c>
      <c r="H127" s="5" t="s">
        <v>3762</v>
      </c>
      <c r="I127" s="39">
        <f t="shared" si="73"/>
        <v>128640</v>
      </c>
      <c r="J127" s="5"/>
      <c r="K127" s="5"/>
      <c r="L127" s="33">
        <f t="shared" si="74"/>
        <v>149310</v>
      </c>
      <c r="M127" s="33">
        <f t="shared" si="75"/>
        <v>149310</v>
      </c>
      <c r="N127" s="33">
        <f t="shared" si="76"/>
        <v>0</v>
      </c>
      <c r="O127">
        <v>1</v>
      </c>
      <c r="R127" s="62">
        <f t="shared" si="58"/>
        <v>149310</v>
      </c>
      <c r="S127" s="63">
        <f t="shared" si="59"/>
        <v>0</v>
      </c>
      <c r="T127" s="64">
        <f t="shared" si="60"/>
        <v>0</v>
      </c>
    </row>
    <row r="128" spans="1:21" x14ac:dyDescent="0.3">
      <c r="A128" s="3" t="s">
        <v>7836</v>
      </c>
      <c r="B128" s="3"/>
      <c r="C128" s="3"/>
      <c r="D128" s="4"/>
      <c r="E128" s="15"/>
      <c r="F128" s="15"/>
      <c r="G128" s="41"/>
      <c r="H128" s="3"/>
      <c r="I128" s="38"/>
      <c r="J128" s="3"/>
      <c r="K128" s="3"/>
      <c r="L128" s="32"/>
      <c r="M128" s="32"/>
      <c r="N128" s="32"/>
      <c r="R128" s="62"/>
      <c r="S128" s="63"/>
      <c r="T128" s="64"/>
      <c r="U128" s="29">
        <f>SUM(R129:R131)</f>
        <v>652266.19999999995</v>
      </c>
    </row>
    <row r="129" spans="1:21" x14ac:dyDescent="0.3">
      <c r="A129" s="5" t="s">
        <v>1339</v>
      </c>
      <c r="B129" s="5" t="s">
        <v>1340</v>
      </c>
      <c r="C129" s="5">
        <v>129049</v>
      </c>
      <c r="D129" s="6">
        <v>149785</v>
      </c>
      <c r="E129" s="17">
        <f>VLOOKUP(A129,'forecast data dump'!$A$1:$H$3450,4,FALSE)</f>
        <v>44411</v>
      </c>
      <c r="F129" s="17">
        <f>VLOOKUP(A129,'forecast data dump'!$A$1:$H$3450,5,FALSE)</f>
        <v>44417</v>
      </c>
      <c r="G129" s="42">
        <f>VLOOKUP(A129,'forecast data dump'!$A$1:$H$3450,8,FALSE)</f>
        <v>0</v>
      </c>
      <c r="H129" s="5" t="s">
        <v>3762</v>
      </c>
      <c r="I129" s="39">
        <f t="shared" ref="I129:I131" si="77">C129*(1-G129)</f>
        <v>129049</v>
      </c>
      <c r="J129" s="5"/>
      <c r="K129" s="5"/>
      <c r="L129" s="33">
        <f t="shared" ref="L129:L131" si="78">D129*(1-G129)</f>
        <v>149785</v>
      </c>
      <c r="M129" s="33">
        <f t="shared" ref="M129:M131" si="79">IF(J129="",L129,(D129/C129)*J129)</f>
        <v>149785</v>
      </c>
      <c r="N129" s="33">
        <f t="shared" ref="N129:N131" si="80">L129-M129</f>
        <v>0</v>
      </c>
      <c r="O129">
        <v>1</v>
      </c>
      <c r="R129" s="62">
        <f t="shared" si="58"/>
        <v>149785</v>
      </c>
      <c r="S129" s="63">
        <f t="shared" si="59"/>
        <v>0</v>
      </c>
      <c r="T129" s="64">
        <f t="shared" si="60"/>
        <v>0</v>
      </c>
    </row>
    <row r="130" spans="1:21" x14ac:dyDescent="0.3">
      <c r="A130" s="5" t="s">
        <v>1341</v>
      </c>
      <c r="B130" s="5" t="s">
        <v>1342</v>
      </c>
      <c r="C130" s="5">
        <v>199077</v>
      </c>
      <c r="D130" s="6">
        <v>231066</v>
      </c>
      <c r="E130" s="17">
        <f>VLOOKUP(A130,'forecast data dump'!$A$1:$H$3450,4,FALSE)</f>
        <v>44497</v>
      </c>
      <c r="F130" s="17">
        <f>VLOOKUP(A130,'forecast data dump'!$A$1:$H$3450,5,FALSE)</f>
        <v>44503</v>
      </c>
      <c r="G130" s="42">
        <f>VLOOKUP(A130,'forecast data dump'!$A$1:$H$3450,8,FALSE)</f>
        <v>0</v>
      </c>
      <c r="H130" s="5" t="s">
        <v>3762</v>
      </c>
      <c r="I130" s="39">
        <f t="shared" si="77"/>
        <v>199077</v>
      </c>
      <c r="J130" s="5"/>
      <c r="K130" s="5"/>
      <c r="L130" s="33">
        <f t="shared" si="78"/>
        <v>231066</v>
      </c>
      <c r="M130" s="33">
        <f t="shared" si="79"/>
        <v>231066</v>
      </c>
      <c r="N130" s="33">
        <f t="shared" si="80"/>
        <v>0</v>
      </c>
      <c r="O130">
        <v>1</v>
      </c>
      <c r="R130" s="62">
        <f t="shared" si="58"/>
        <v>231066</v>
      </c>
      <c r="S130" s="63">
        <f t="shared" si="59"/>
        <v>0</v>
      </c>
      <c r="T130" s="64">
        <f t="shared" si="60"/>
        <v>0</v>
      </c>
    </row>
    <row r="131" spans="1:21" x14ac:dyDescent="0.3">
      <c r="A131" s="5" t="s">
        <v>1343</v>
      </c>
      <c r="B131" s="5" t="s">
        <v>1344</v>
      </c>
      <c r="C131" s="5">
        <v>584602</v>
      </c>
      <c r="D131" s="6">
        <v>678538</v>
      </c>
      <c r="E131" s="17" t="str">
        <f>VLOOKUP(A131,'forecast data dump'!$A$1:$H$3450,4,FALSE)</f>
        <v>30-Apr-21 A</v>
      </c>
      <c r="F131" s="17">
        <f>VLOOKUP(A131,'forecast data dump'!$A$1:$H$3450,5,FALSE)</f>
        <v>44417</v>
      </c>
      <c r="G131" s="42">
        <v>0.6</v>
      </c>
      <c r="H131" s="5" t="s">
        <v>3762</v>
      </c>
      <c r="I131" s="39">
        <f t="shared" si="77"/>
        <v>233840.80000000002</v>
      </c>
      <c r="J131" s="5"/>
      <c r="K131" s="5"/>
      <c r="L131" s="33">
        <f t="shared" si="78"/>
        <v>271415.2</v>
      </c>
      <c r="M131" s="33">
        <f t="shared" si="79"/>
        <v>271415.2</v>
      </c>
      <c r="N131" s="33">
        <f t="shared" si="80"/>
        <v>0</v>
      </c>
      <c r="O131">
        <v>1</v>
      </c>
      <c r="R131" s="62">
        <f t="shared" si="58"/>
        <v>271415.2</v>
      </c>
      <c r="S131" s="63">
        <f t="shared" si="59"/>
        <v>0</v>
      </c>
      <c r="T131" s="64">
        <f t="shared" si="60"/>
        <v>0</v>
      </c>
    </row>
    <row r="132" spans="1:21" x14ac:dyDescent="0.3">
      <c r="A132" s="3" t="s">
        <v>7837</v>
      </c>
      <c r="B132" s="3"/>
      <c r="C132" s="3"/>
      <c r="D132" s="4"/>
      <c r="E132" s="15"/>
      <c r="F132" s="15"/>
      <c r="G132" s="41"/>
      <c r="H132" s="3"/>
      <c r="I132" s="38"/>
      <c r="J132" s="3"/>
      <c r="K132" s="3"/>
      <c r="L132" s="32"/>
      <c r="M132" s="32"/>
      <c r="N132" s="32"/>
      <c r="R132" s="62"/>
      <c r="S132" s="63"/>
      <c r="T132" s="64"/>
      <c r="U132" s="29">
        <f>SUM(R133:R136)</f>
        <v>166053.76000000001</v>
      </c>
    </row>
    <row r="133" spans="1:21" x14ac:dyDescent="0.3">
      <c r="A133" s="5" t="s">
        <v>1219</v>
      </c>
      <c r="B133" s="5" t="s">
        <v>1220</v>
      </c>
      <c r="C133" s="5">
        <v>104682</v>
      </c>
      <c r="D133" s="6">
        <v>121503</v>
      </c>
      <c r="E133" s="17">
        <f>VLOOKUP(A133,'forecast data dump'!$A$1:$H$3450,4,FALSE)</f>
        <v>44495</v>
      </c>
      <c r="F133" s="17">
        <f>VLOOKUP(A133,'forecast data dump'!$A$1:$H$3450,5,FALSE)</f>
        <v>44501</v>
      </c>
      <c r="G133" s="42">
        <f>VLOOKUP(A133,'forecast data dump'!$A$1:$H$3450,8,FALSE)</f>
        <v>0</v>
      </c>
      <c r="H133" s="5" t="s">
        <v>3762</v>
      </c>
      <c r="I133" s="39">
        <f t="shared" ref="I133:I136" si="81">C133*(1-G133)</f>
        <v>104682</v>
      </c>
      <c r="J133" s="5"/>
      <c r="K133" s="5"/>
      <c r="L133" s="33">
        <f t="shared" ref="L133:L136" si="82">D133*(1-G133)</f>
        <v>121503</v>
      </c>
      <c r="M133" s="33">
        <f t="shared" ref="M133:M136" si="83">IF(J133="",L133,(D133/C133)*J133)</f>
        <v>121503</v>
      </c>
      <c r="N133" s="33">
        <f t="shared" ref="N133:N136" si="84">L133-M133</f>
        <v>0</v>
      </c>
      <c r="Q133">
        <v>1</v>
      </c>
      <c r="R133" s="62">
        <f t="shared" si="58"/>
        <v>0</v>
      </c>
      <c r="S133" s="63">
        <f t="shared" si="59"/>
        <v>0</v>
      </c>
      <c r="T133" s="64">
        <f t="shared" si="60"/>
        <v>121503</v>
      </c>
      <c r="U133" s="103" t="s">
        <v>8348</v>
      </c>
    </row>
    <row r="134" spans="1:21" x14ac:dyDescent="0.3">
      <c r="A134" s="5" t="s">
        <v>1221</v>
      </c>
      <c r="B134" s="5" t="s">
        <v>1222</v>
      </c>
      <c r="C134" s="5">
        <v>64000</v>
      </c>
      <c r="D134" s="6">
        <v>74284</v>
      </c>
      <c r="E134" s="17">
        <f>VLOOKUP(A134,'forecast data dump'!$A$1:$H$3450,4,FALSE)</f>
        <v>44524</v>
      </c>
      <c r="F134" s="17">
        <f>VLOOKUP(A134,'forecast data dump'!$A$1:$H$3450,5,FALSE)</f>
        <v>44532</v>
      </c>
      <c r="G134" s="42">
        <f>VLOOKUP(A134,'forecast data dump'!$A$1:$H$3450,8,FALSE)</f>
        <v>0</v>
      </c>
      <c r="H134" s="5" t="s">
        <v>3762</v>
      </c>
      <c r="I134" s="39">
        <f t="shared" si="81"/>
        <v>64000</v>
      </c>
      <c r="J134" s="5"/>
      <c r="K134" s="5"/>
      <c r="L134" s="33">
        <f t="shared" si="82"/>
        <v>74284</v>
      </c>
      <c r="M134" s="33">
        <f t="shared" si="83"/>
        <v>74284</v>
      </c>
      <c r="N134" s="33">
        <f t="shared" si="84"/>
        <v>0</v>
      </c>
      <c r="Q134">
        <v>1</v>
      </c>
      <c r="R134" s="62">
        <f t="shared" si="58"/>
        <v>0</v>
      </c>
      <c r="S134" s="63">
        <f t="shared" si="59"/>
        <v>0</v>
      </c>
      <c r="T134" s="64">
        <f t="shared" si="60"/>
        <v>74284</v>
      </c>
      <c r="U134" s="103" t="s">
        <v>8349</v>
      </c>
    </row>
    <row r="135" spans="1:21" x14ac:dyDescent="0.3">
      <c r="A135" s="5" t="s">
        <v>1227</v>
      </c>
      <c r="B135" s="5" t="s">
        <v>1228</v>
      </c>
      <c r="C135" s="5">
        <v>16856</v>
      </c>
      <c r="D135" s="6">
        <v>19181</v>
      </c>
      <c r="E135" s="17">
        <f>VLOOKUP(A135,'forecast data dump'!$A$1:$H$3450,4,FALSE)</f>
        <v>44410</v>
      </c>
      <c r="F135" s="17">
        <f>VLOOKUP(A135,'forecast data dump'!$A$1:$H$3450,5,FALSE)</f>
        <v>44414</v>
      </c>
      <c r="G135" s="42">
        <f>VLOOKUP(A135,'forecast data dump'!$A$1:$H$3450,8,FALSE)</f>
        <v>0</v>
      </c>
      <c r="H135" s="5" t="s">
        <v>3762</v>
      </c>
      <c r="I135" s="39">
        <f t="shared" si="81"/>
        <v>16856</v>
      </c>
      <c r="J135" s="5"/>
      <c r="K135" s="5"/>
      <c r="L135" s="33">
        <f t="shared" si="82"/>
        <v>19181</v>
      </c>
      <c r="M135" s="33">
        <f t="shared" si="83"/>
        <v>19181</v>
      </c>
      <c r="N135" s="33">
        <f t="shared" si="84"/>
        <v>0</v>
      </c>
      <c r="Q135">
        <v>1</v>
      </c>
      <c r="R135" s="62">
        <f t="shared" si="58"/>
        <v>0</v>
      </c>
      <c r="S135" s="63">
        <f t="shared" si="59"/>
        <v>0</v>
      </c>
      <c r="T135" s="64">
        <f t="shared" si="60"/>
        <v>19181</v>
      </c>
    </row>
    <row r="136" spans="1:21" x14ac:dyDescent="0.3">
      <c r="A136" s="5" t="s">
        <v>1229</v>
      </c>
      <c r="B136" s="5" t="s">
        <v>1230</v>
      </c>
      <c r="C136" s="5">
        <v>223540</v>
      </c>
      <c r="D136" s="6">
        <v>259459</v>
      </c>
      <c r="E136" s="17" t="str">
        <f>VLOOKUP(A136,'forecast data dump'!$A$1:$H$3450,4,FALSE)</f>
        <v>23-Nov-20 A</v>
      </c>
      <c r="F136" s="17">
        <f>VLOOKUP(A136,'forecast data dump'!$A$1:$H$3450,5,FALSE)</f>
        <v>44498</v>
      </c>
      <c r="G136" s="42">
        <v>0.36</v>
      </c>
      <c r="H136" s="5" t="s">
        <v>3762</v>
      </c>
      <c r="I136" s="39">
        <f t="shared" si="81"/>
        <v>143065.60000000001</v>
      </c>
      <c r="J136" s="5"/>
      <c r="K136" s="5"/>
      <c r="L136" s="33">
        <f t="shared" si="82"/>
        <v>166053.76000000001</v>
      </c>
      <c r="M136" s="33">
        <f t="shared" si="83"/>
        <v>166053.76000000001</v>
      </c>
      <c r="N136" s="33">
        <f t="shared" si="84"/>
        <v>0</v>
      </c>
      <c r="O136">
        <v>1</v>
      </c>
      <c r="R136" s="62">
        <f t="shared" si="58"/>
        <v>166053.76000000001</v>
      </c>
      <c r="S136" s="63">
        <f t="shared" si="59"/>
        <v>0</v>
      </c>
      <c r="T136" s="64">
        <f t="shared" si="60"/>
        <v>0</v>
      </c>
    </row>
    <row r="137" spans="1:21" x14ac:dyDescent="0.3">
      <c r="A137" s="3" t="s">
        <v>7838</v>
      </c>
      <c r="B137" s="3"/>
      <c r="C137" s="3"/>
      <c r="D137" s="4"/>
      <c r="E137" s="15"/>
      <c r="F137" s="15"/>
      <c r="G137" s="41"/>
      <c r="H137" s="3"/>
      <c r="I137" s="38"/>
      <c r="J137" s="3"/>
      <c r="K137" s="3"/>
      <c r="L137" s="32"/>
      <c r="M137" s="32"/>
      <c r="N137" s="32"/>
      <c r="R137" s="62"/>
      <c r="S137" s="63"/>
      <c r="T137" s="64"/>
      <c r="U137" s="29">
        <f>T138+T140</f>
        <v>205441</v>
      </c>
    </row>
    <row r="138" spans="1:21" x14ac:dyDescent="0.3">
      <c r="A138" s="5" t="s">
        <v>1271</v>
      </c>
      <c r="B138" s="5" t="s">
        <v>1272</v>
      </c>
      <c r="C138" s="5">
        <v>60000</v>
      </c>
      <c r="D138" s="6">
        <v>69641</v>
      </c>
      <c r="E138" s="17">
        <f>VLOOKUP(A138,'forecast data dump'!$A$1:$H$3450,4,FALSE)</f>
        <v>44410</v>
      </c>
      <c r="F138" s="17">
        <f>VLOOKUP(A138,'forecast data dump'!$A$1:$H$3450,5,FALSE)</f>
        <v>44414</v>
      </c>
      <c r="G138" s="42">
        <f>VLOOKUP(A138,'forecast data dump'!$A$1:$H$3450,8,FALSE)</f>
        <v>0</v>
      </c>
      <c r="H138" s="5" t="s">
        <v>3762</v>
      </c>
      <c r="I138" s="39">
        <f>C138*(1-G138)</f>
        <v>60000</v>
      </c>
      <c r="J138" s="5"/>
      <c r="K138" s="5"/>
      <c r="L138" s="33">
        <f>D138*(1-G138)</f>
        <v>69641</v>
      </c>
      <c r="M138" s="33">
        <f>IF(J138="",L138,(D138/C138)*J138)</f>
        <v>69641</v>
      </c>
      <c r="N138" s="33">
        <f>L138-M138</f>
        <v>0</v>
      </c>
      <c r="Q138">
        <v>1</v>
      </c>
      <c r="R138" s="62">
        <f t="shared" si="58"/>
        <v>0</v>
      </c>
      <c r="S138" s="63">
        <f t="shared" si="59"/>
        <v>0</v>
      </c>
      <c r="T138" s="64">
        <f t="shared" si="60"/>
        <v>69641</v>
      </c>
      <c r="U138" s="103" t="s">
        <v>8350</v>
      </c>
    </row>
    <row r="139" spans="1:21" x14ac:dyDescent="0.3">
      <c r="A139" s="3" t="s">
        <v>7839</v>
      </c>
      <c r="B139" s="3"/>
      <c r="C139" s="3"/>
      <c r="D139" s="4"/>
      <c r="E139" s="15"/>
      <c r="F139" s="15"/>
      <c r="G139" s="41"/>
      <c r="H139" s="3"/>
      <c r="I139" s="38"/>
      <c r="J139" s="3"/>
      <c r="K139" s="3"/>
      <c r="L139" s="32"/>
      <c r="M139" s="32"/>
      <c r="N139" s="32"/>
      <c r="R139" s="62"/>
      <c r="S139" s="63"/>
      <c r="T139" s="64"/>
    </row>
    <row r="140" spans="1:21" x14ac:dyDescent="0.3">
      <c r="A140" s="5" t="s">
        <v>1263</v>
      </c>
      <c r="B140" s="5" t="s">
        <v>1264</v>
      </c>
      <c r="C140" s="5">
        <v>117000</v>
      </c>
      <c r="D140" s="6">
        <v>135800</v>
      </c>
      <c r="E140" s="17">
        <f>VLOOKUP(A140,'forecast data dump'!$A$1:$H$3450,4,FALSE)</f>
        <v>44504</v>
      </c>
      <c r="F140" s="17">
        <f>VLOOKUP(A140,'forecast data dump'!$A$1:$H$3450,5,FALSE)</f>
        <v>44510</v>
      </c>
      <c r="G140" s="42">
        <f>VLOOKUP(A140,'forecast data dump'!$A$1:$H$3450,8,FALSE)</f>
        <v>0</v>
      </c>
      <c r="H140" s="5" t="s">
        <v>3762</v>
      </c>
      <c r="I140" s="39">
        <f>C140*(1-G140)</f>
        <v>117000</v>
      </c>
      <c r="J140" s="5"/>
      <c r="K140" s="5"/>
      <c r="L140" s="33">
        <f>D140*(1-G140)</f>
        <v>135800</v>
      </c>
      <c r="M140" s="33">
        <f>IF(J140="",L140,(D140/C140)*J140)</f>
        <v>135800</v>
      </c>
      <c r="N140" s="33">
        <f>L140-M140</f>
        <v>0</v>
      </c>
      <c r="Q140">
        <v>1</v>
      </c>
      <c r="R140" s="62">
        <f t="shared" si="58"/>
        <v>0</v>
      </c>
      <c r="S140" s="63">
        <f t="shared" si="59"/>
        <v>0</v>
      </c>
      <c r="T140" s="64">
        <f t="shared" si="60"/>
        <v>135800</v>
      </c>
    </row>
    <row r="141" spans="1:21" x14ac:dyDescent="0.3">
      <c r="A141" s="3" t="s">
        <v>7840</v>
      </c>
      <c r="B141" s="3"/>
      <c r="C141" s="3"/>
      <c r="D141" s="4"/>
      <c r="E141" s="15"/>
      <c r="F141" s="15"/>
      <c r="G141" s="41"/>
      <c r="H141" s="3"/>
      <c r="I141" s="38"/>
      <c r="J141" s="3"/>
      <c r="K141" s="3"/>
      <c r="L141" s="32"/>
      <c r="M141" s="32"/>
      <c r="N141" s="32"/>
      <c r="R141" s="62"/>
      <c r="S141" s="63"/>
      <c r="T141" s="64"/>
      <c r="U141" s="29">
        <f>T142</f>
        <v>32673</v>
      </c>
    </row>
    <row r="142" spans="1:21" x14ac:dyDescent="0.3">
      <c r="A142" s="5" t="s">
        <v>1283</v>
      </c>
      <c r="B142" s="5" t="s">
        <v>1284</v>
      </c>
      <c r="C142" s="5">
        <v>28150</v>
      </c>
      <c r="D142" s="6">
        <v>32673</v>
      </c>
      <c r="E142" s="17">
        <f>VLOOKUP(A142,'forecast data dump'!$A$1:$H$3450,4,FALSE)</f>
        <v>44453</v>
      </c>
      <c r="F142" s="17">
        <f>VLOOKUP(A142,'forecast data dump'!$A$1:$H$3450,5,FALSE)</f>
        <v>44459</v>
      </c>
      <c r="G142" s="42">
        <f>VLOOKUP(A142,'forecast data dump'!$A$1:$H$3450,8,FALSE)</f>
        <v>0</v>
      </c>
      <c r="H142" s="5" t="s">
        <v>3762</v>
      </c>
      <c r="I142" s="39">
        <f>C142*(1-G142)</f>
        <v>28150</v>
      </c>
      <c r="J142" s="5"/>
      <c r="K142" s="5"/>
      <c r="L142" s="33">
        <f>D142*(1-G142)</f>
        <v>32673</v>
      </c>
      <c r="M142" s="33">
        <f>IF(J142="",L142,(D142/C142)*J142)</f>
        <v>32673</v>
      </c>
      <c r="N142" s="33">
        <f>L142-M142</f>
        <v>0</v>
      </c>
      <c r="Q142">
        <v>1</v>
      </c>
      <c r="R142" s="62">
        <f t="shared" si="58"/>
        <v>0</v>
      </c>
      <c r="S142" s="63">
        <f t="shared" si="59"/>
        <v>0</v>
      </c>
      <c r="T142" s="64">
        <f t="shared" si="60"/>
        <v>32673</v>
      </c>
    </row>
    <row r="143" spans="1:21" x14ac:dyDescent="0.3">
      <c r="A143" s="3" t="s">
        <v>7841</v>
      </c>
      <c r="B143" s="3"/>
      <c r="C143" s="3"/>
      <c r="D143" s="4"/>
      <c r="E143" s="15"/>
      <c r="F143" s="15"/>
      <c r="G143" s="41"/>
      <c r="H143" s="3"/>
      <c r="I143" s="38"/>
      <c r="J143" s="3"/>
      <c r="K143" s="3"/>
      <c r="L143" s="32"/>
      <c r="M143" s="32"/>
      <c r="N143" s="32"/>
      <c r="R143" s="62"/>
      <c r="S143" s="63"/>
      <c r="T143" s="64"/>
      <c r="U143" s="29">
        <f>T144</f>
        <v>48284</v>
      </c>
    </row>
    <row r="144" spans="1:21" x14ac:dyDescent="0.3">
      <c r="A144" s="5" t="s">
        <v>1168</v>
      </c>
      <c r="B144" s="5" t="s">
        <v>1169</v>
      </c>
      <c r="C144" s="5">
        <v>41600</v>
      </c>
      <c r="D144" s="6">
        <v>48284</v>
      </c>
      <c r="E144" s="17">
        <f>VLOOKUP(A144,'forecast data dump'!$A$1:$H$3450,4,FALSE)</f>
        <v>44496</v>
      </c>
      <c r="F144" s="17">
        <f>VLOOKUP(A144,'forecast data dump'!$A$1:$H$3450,5,FALSE)</f>
        <v>44502</v>
      </c>
      <c r="G144" s="42">
        <f>VLOOKUP(A144,'forecast data dump'!$A$1:$H$3450,8,FALSE)</f>
        <v>0</v>
      </c>
      <c r="H144" s="5" t="s">
        <v>3762</v>
      </c>
      <c r="I144" s="39">
        <f>C144*(1-G144)</f>
        <v>41600</v>
      </c>
      <c r="J144" s="5"/>
      <c r="K144" s="5"/>
      <c r="L144" s="33">
        <f>D144*(1-G144)</f>
        <v>48284</v>
      </c>
      <c r="M144" s="33">
        <f>IF(J144="",L144,(D144/C144)*J144)</f>
        <v>48284</v>
      </c>
      <c r="N144" s="33">
        <f>L144-M144</f>
        <v>0</v>
      </c>
      <c r="Q144">
        <v>1</v>
      </c>
      <c r="R144" s="62">
        <f t="shared" si="58"/>
        <v>0</v>
      </c>
      <c r="S144" s="63">
        <f t="shared" si="59"/>
        <v>0</v>
      </c>
      <c r="T144" s="64">
        <f t="shared" si="60"/>
        <v>48284</v>
      </c>
    </row>
    <row r="145" spans="1:21" x14ac:dyDescent="0.3">
      <c r="A145" s="3" t="s">
        <v>7842</v>
      </c>
      <c r="B145" s="3"/>
      <c r="C145" s="3"/>
      <c r="D145" s="4"/>
      <c r="E145" s="15"/>
      <c r="F145" s="15"/>
      <c r="G145" s="41"/>
      <c r="H145" s="3"/>
      <c r="I145" s="38"/>
      <c r="J145" s="3"/>
      <c r="K145" s="3"/>
      <c r="L145" s="32"/>
      <c r="M145" s="32"/>
      <c r="N145" s="32"/>
      <c r="R145" s="62"/>
      <c r="S145" s="63"/>
      <c r="T145" s="64"/>
      <c r="U145" s="29">
        <f>R146+T147</f>
        <v>71022</v>
      </c>
    </row>
    <row r="146" spans="1:21" x14ac:dyDescent="0.3">
      <c r="A146" s="5" t="s">
        <v>1118</v>
      </c>
      <c r="B146" s="5" t="s">
        <v>1119</v>
      </c>
      <c r="C146" s="5">
        <v>14770</v>
      </c>
      <c r="D146" s="6">
        <v>17143</v>
      </c>
      <c r="E146" s="17">
        <f>VLOOKUP(A146,'forecast data dump'!$A$1:$H$3450,4,FALSE)</f>
        <v>44533</v>
      </c>
      <c r="F146" s="17">
        <f>VLOOKUP(A146,'forecast data dump'!$A$1:$H$3450,5,FALSE)</f>
        <v>44539</v>
      </c>
      <c r="G146" s="42">
        <f>VLOOKUP(A146,'forecast data dump'!$A$1:$H$3450,8,FALSE)</f>
        <v>0</v>
      </c>
      <c r="H146" s="5" t="s">
        <v>3762</v>
      </c>
      <c r="I146" s="39">
        <f t="shared" ref="I146:I147" si="85">C146*(1-G146)</f>
        <v>14770</v>
      </c>
      <c r="J146" s="5"/>
      <c r="K146" s="5"/>
      <c r="L146" s="33">
        <f t="shared" ref="L146:L147" si="86">D146*(1-G146)</f>
        <v>17143</v>
      </c>
      <c r="M146" s="33">
        <f t="shared" ref="M146:M147" si="87">IF(J146="",L146,(D146/C146)*J146)</f>
        <v>17143</v>
      </c>
      <c r="N146" s="33">
        <f t="shared" ref="N146:N147" si="88">L146-M146</f>
        <v>0</v>
      </c>
      <c r="O146">
        <v>1</v>
      </c>
      <c r="R146" s="62">
        <f t="shared" si="58"/>
        <v>17143</v>
      </c>
      <c r="S146" s="63">
        <f t="shared" si="59"/>
        <v>0</v>
      </c>
      <c r="T146" s="64">
        <f t="shared" si="60"/>
        <v>0</v>
      </c>
    </row>
    <row r="147" spans="1:21" ht="15" thickBot="1" x14ac:dyDescent="0.35">
      <c r="A147" s="5" t="s">
        <v>1122</v>
      </c>
      <c r="B147" s="5" t="s">
        <v>1123</v>
      </c>
      <c r="C147" s="5">
        <v>46420</v>
      </c>
      <c r="D147" s="6">
        <v>53879</v>
      </c>
      <c r="E147" s="17">
        <f>VLOOKUP(A147,'forecast data dump'!$A$1:$H$3450,4,FALSE)</f>
        <v>44533</v>
      </c>
      <c r="F147" s="17">
        <f>VLOOKUP(A147,'forecast data dump'!$A$1:$H$3450,5,FALSE)</f>
        <v>44539</v>
      </c>
      <c r="G147" s="42">
        <f>VLOOKUP(A147,'forecast data dump'!$A$1:$H$3450,8,FALSE)</f>
        <v>0</v>
      </c>
      <c r="H147" s="5" t="s">
        <v>3762</v>
      </c>
      <c r="I147" s="39">
        <f t="shared" si="85"/>
        <v>46420</v>
      </c>
      <c r="J147" s="5"/>
      <c r="K147" s="5"/>
      <c r="L147" s="33">
        <f t="shared" si="86"/>
        <v>53879</v>
      </c>
      <c r="M147" s="33">
        <f t="shared" si="87"/>
        <v>53879</v>
      </c>
      <c r="N147" s="33">
        <f t="shared" si="88"/>
        <v>0</v>
      </c>
      <c r="Q147">
        <v>1</v>
      </c>
      <c r="R147" s="65">
        <f t="shared" si="58"/>
        <v>0</v>
      </c>
      <c r="S147" s="66">
        <f t="shared" si="59"/>
        <v>0</v>
      </c>
      <c r="T147" s="67">
        <f t="shared" si="60"/>
        <v>53879</v>
      </c>
    </row>
    <row r="149" spans="1:21" x14ac:dyDescent="0.3">
      <c r="C149" s="35">
        <f>SUM(C5:C147)</f>
        <v>5778484</v>
      </c>
      <c r="D149" s="35">
        <f>SUM(D5:D147)</f>
        <v>7542590</v>
      </c>
      <c r="E149" s="35"/>
      <c r="F149" s="35"/>
      <c r="G149" s="35"/>
      <c r="H149" s="35">
        <f>SUM(H5:H147)</f>
        <v>0</v>
      </c>
      <c r="I149" s="35">
        <f>SUM(I5:I147)</f>
        <v>3648541.7350000003</v>
      </c>
      <c r="J149" s="35"/>
      <c r="K149" s="35"/>
      <c r="L149" s="35">
        <f>SUM(L5:L147)</f>
        <v>4596075.650700001</v>
      </c>
      <c r="M149" s="101">
        <f>SUM(M5:M147)</f>
        <v>4596075.650700001</v>
      </c>
      <c r="N149" s="35"/>
      <c r="O149" s="35"/>
      <c r="P149" s="35"/>
      <c r="Q149" s="35"/>
      <c r="R149" s="35">
        <f>SUM(R5:R147)</f>
        <v>3361163.5920000002</v>
      </c>
      <c r="S149" s="35">
        <f>SUM(S5:S147)</f>
        <v>321634.01870000002</v>
      </c>
      <c r="T149" s="35">
        <f>SUM(T5:T147)</f>
        <v>913278.04</v>
      </c>
    </row>
    <row r="150" spans="1:21" x14ac:dyDescent="0.3">
      <c r="R150" s="102" t="s">
        <v>8333</v>
      </c>
      <c r="S150" s="44">
        <f>SUM(R149:T149)</f>
        <v>4596075.6507000001</v>
      </c>
    </row>
    <row r="151" spans="1:21" ht="15" thickBot="1" x14ac:dyDescent="0.35">
      <c r="D151" s="88"/>
      <c r="R151" s="29"/>
      <c r="S151" s="29"/>
      <c r="T151" s="29"/>
    </row>
    <row r="152" spans="1:21" x14ac:dyDescent="0.3">
      <c r="B152" t="s">
        <v>8325</v>
      </c>
      <c r="D152" s="54">
        <f>200000-40000</f>
        <v>160000</v>
      </c>
      <c r="M152" s="29">
        <f t="shared" ref="M152:M153" si="89">D152</f>
        <v>160000</v>
      </c>
      <c r="Q152">
        <v>1</v>
      </c>
      <c r="R152" s="29">
        <f t="shared" ref="R152:R153" si="90">O152*M152</f>
        <v>0</v>
      </c>
      <c r="S152" s="29">
        <f t="shared" ref="S152:S153" si="91">P152*M152</f>
        <v>0</v>
      </c>
      <c r="T152" s="29">
        <f t="shared" ref="T152:T153" si="92">Q152*M152</f>
        <v>160000</v>
      </c>
    </row>
    <row r="153" spans="1:21" ht="15" thickBot="1" x14ac:dyDescent="0.35">
      <c r="B153" t="s">
        <v>8018</v>
      </c>
      <c r="D153" s="55">
        <v>170000</v>
      </c>
      <c r="M153" s="29">
        <f t="shared" si="89"/>
        <v>170000</v>
      </c>
      <c r="Q153">
        <v>1</v>
      </c>
      <c r="R153" s="29">
        <f t="shared" si="90"/>
        <v>0</v>
      </c>
      <c r="S153" s="29">
        <f t="shared" si="91"/>
        <v>0</v>
      </c>
      <c r="T153" s="29">
        <f t="shared" si="92"/>
        <v>170000</v>
      </c>
    </row>
    <row r="155" spans="1:21" x14ac:dyDescent="0.3">
      <c r="B155" t="s">
        <v>8021</v>
      </c>
      <c r="D155" s="70">
        <f>SUM(D151:D153)</f>
        <v>330000</v>
      </c>
    </row>
    <row r="156" spans="1:21" x14ac:dyDescent="0.3">
      <c r="B156" t="s">
        <v>8332</v>
      </c>
      <c r="M156" s="101">
        <f>M149+D155</f>
        <v>4926075.650700001</v>
      </c>
      <c r="P156" t="s">
        <v>8022</v>
      </c>
      <c r="R156" s="49">
        <f>R149+SUM(R151:R153)</f>
        <v>3361163.5920000002</v>
      </c>
      <c r="S156" s="49">
        <f>S149+SUM(S151:S153)</f>
        <v>321634.01870000002</v>
      </c>
      <c r="T156" s="49">
        <f>T149+SUM(T151:T153)</f>
        <v>1243278.04</v>
      </c>
    </row>
    <row r="157" spans="1:21" x14ac:dyDescent="0.3">
      <c r="A157" s="94"/>
      <c r="B157" s="94"/>
      <c r="C157" s="95"/>
      <c r="D157" s="94"/>
      <c r="E157" s="96"/>
      <c r="F157" s="96"/>
      <c r="G157" s="97"/>
      <c r="H157" s="94"/>
      <c r="I157" s="98"/>
      <c r="J157" s="94"/>
      <c r="K157" s="94"/>
      <c r="L157" s="99"/>
      <c r="M157" s="100"/>
      <c r="P157" t="s">
        <v>8024</v>
      </c>
    </row>
    <row r="158" spans="1:21" x14ac:dyDescent="0.3">
      <c r="A158" s="94"/>
      <c r="B158" s="94"/>
      <c r="C158" s="94"/>
      <c r="D158" s="94"/>
      <c r="E158" s="96"/>
      <c r="F158" s="96"/>
      <c r="G158" s="97"/>
      <c r="H158" s="94"/>
      <c r="I158" s="98"/>
      <c r="J158" s="94"/>
      <c r="K158" s="94"/>
      <c r="L158" s="99"/>
      <c r="M158" s="99"/>
      <c r="P158" t="s">
        <v>8023</v>
      </c>
    </row>
    <row r="159" spans="1:21" x14ac:dyDescent="0.3">
      <c r="A159" s="94"/>
      <c r="B159" s="94"/>
      <c r="C159" s="95"/>
      <c r="D159" s="94"/>
      <c r="E159" s="96"/>
      <c r="F159" s="96"/>
      <c r="G159" s="97"/>
      <c r="H159" s="94"/>
      <c r="I159" s="98"/>
      <c r="J159" s="94"/>
      <c r="K159" s="94"/>
      <c r="L159" s="99"/>
      <c r="M159" s="100"/>
      <c r="R159" s="103" t="s">
        <v>8334</v>
      </c>
      <c r="S159" s="51">
        <f>S150+SUM(R151:T153)</f>
        <v>4926075.6507000001</v>
      </c>
    </row>
    <row r="160" spans="1:21" x14ac:dyDescent="0.3">
      <c r="A160" s="94"/>
      <c r="B160" s="94"/>
      <c r="C160" s="94"/>
      <c r="D160" s="94"/>
      <c r="E160" s="96"/>
      <c r="F160" s="96"/>
      <c r="G160" s="97"/>
      <c r="H160" s="94"/>
      <c r="I160" s="98"/>
      <c r="J160" s="94"/>
      <c r="K160" s="94"/>
      <c r="L160" s="99"/>
      <c r="M160" s="99"/>
    </row>
    <row r="161" spans="1:13" x14ac:dyDescent="0.3">
      <c r="A161" s="94"/>
      <c r="B161" s="94"/>
      <c r="C161" s="95"/>
      <c r="D161" s="94"/>
      <c r="E161" s="96"/>
      <c r="F161" s="96"/>
      <c r="G161" s="97"/>
      <c r="H161" s="94"/>
      <c r="I161" s="98"/>
      <c r="J161" s="94"/>
      <c r="K161" s="94"/>
      <c r="L161" s="99"/>
      <c r="M161" s="100"/>
    </row>
    <row r="162" spans="1:13" x14ac:dyDescent="0.3">
      <c r="A162" s="94"/>
      <c r="B162" s="94"/>
      <c r="C162" s="94"/>
      <c r="D162" s="94"/>
      <c r="E162" s="96"/>
      <c r="F162" s="96"/>
      <c r="G162" s="97"/>
      <c r="H162" s="94"/>
      <c r="I162" s="98"/>
      <c r="J162" s="94"/>
      <c r="K162" s="94"/>
      <c r="L162" s="99"/>
      <c r="M162" s="99"/>
    </row>
    <row r="163" spans="1:13" x14ac:dyDescent="0.3">
      <c r="A163" s="94"/>
      <c r="B163" s="94"/>
      <c r="C163" s="94"/>
      <c r="D163" s="94"/>
      <c r="E163" s="96"/>
      <c r="F163" s="96"/>
      <c r="G163" s="97"/>
      <c r="H163" s="94"/>
      <c r="I163" s="98"/>
      <c r="J163" s="94"/>
      <c r="K163" s="94"/>
      <c r="L163" s="99"/>
      <c r="M163" s="99"/>
    </row>
    <row r="164" spans="1:13" x14ac:dyDescent="0.3">
      <c r="A164" s="94"/>
      <c r="B164" s="94"/>
      <c r="C164" s="94"/>
      <c r="D164" s="94"/>
      <c r="E164" s="96"/>
      <c r="F164" s="96"/>
      <c r="G164" s="97"/>
      <c r="H164" s="94"/>
      <c r="I164" s="98"/>
      <c r="J164" s="94"/>
      <c r="K164" s="94"/>
      <c r="L164" s="99"/>
      <c r="M164" s="99"/>
    </row>
    <row r="165" spans="1:13" x14ac:dyDescent="0.3">
      <c r="A165" s="94"/>
      <c r="B165" s="94"/>
      <c r="C165" s="94"/>
      <c r="D165" s="94"/>
      <c r="E165" s="96"/>
      <c r="F165" s="96"/>
      <c r="G165" s="97"/>
      <c r="H165" s="94"/>
      <c r="I165" s="98"/>
      <c r="J165" s="94"/>
      <c r="K165" s="94"/>
      <c r="L165" s="99"/>
      <c r="M165" s="99"/>
    </row>
    <row r="166" spans="1:13" x14ac:dyDescent="0.3">
      <c r="A166" s="94"/>
      <c r="B166" s="94"/>
      <c r="C166" s="95"/>
      <c r="D166" s="95"/>
      <c r="E166" s="96"/>
      <c r="F166" s="96"/>
      <c r="G166" s="97"/>
      <c r="H166" s="94"/>
      <c r="I166" s="98"/>
      <c r="J166" s="94"/>
      <c r="K166" s="94"/>
      <c r="L166" s="99"/>
      <c r="M166" s="100"/>
    </row>
    <row r="167" spans="1:13" x14ac:dyDescent="0.3">
      <c r="A167" s="94"/>
      <c r="B167" s="94"/>
      <c r="C167" s="94"/>
      <c r="D167" s="94"/>
      <c r="E167" s="96"/>
      <c r="F167" s="96"/>
      <c r="G167" s="97"/>
      <c r="H167" s="94"/>
      <c r="I167" s="98"/>
      <c r="J167" s="94"/>
      <c r="K167" s="94"/>
      <c r="L167" s="99"/>
      <c r="M167" s="99"/>
    </row>
    <row r="168" spans="1:13" x14ac:dyDescent="0.3">
      <c r="A168" s="94"/>
      <c r="B168" s="94"/>
      <c r="C168" s="95"/>
      <c r="D168" s="94"/>
      <c r="E168" s="96"/>
      <c r="F168" s="96"/>
      <c r="G168" s="97"/>
      <c r="H168" s="94"/>
      <c r="I168" s="98"/>
      <c r="J168" s="94"/>
      <c r="K168" s="94"/>
      <c r="L168" s="99"/>
      <c r="M168" s="100"/>
    </row>
    <row r="169" spans="1:13" x14ac:dyDescent="0.3">
      <c r="A169" s="94"/>
      <c r="B169" s="94"/>
      <c r="C169" s="94"/>
      <c r="D169" s="94"/>
      <c r="E169" s="96"/>
      <c r="F169" s="96"/>
      <c r="G169" s="97"/>
      <c r="H169" s="94"/>
      <c r="I169" s="98"/>
      <c r="J169" s="94"/>
      <c r="K169" s="94"/>
      <c r="L169" s="99"/>
      <c r="M169" s="99"/>
    </row>
  </sheetData>
  <autoFilter ref="A2:N147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18" t="s">
        <v>3815</v>
      </c>
      <c r="B1" s="118"/>
      <c r="C1" s="118"/>
      <c r="D1" s="118"/>
      <c r="E1" s="118"/>
      <c r="F1" s="115" t="s">
        <v>7818</v>
      </c>
      <c r="G1" s="116"/>
      <c r="H1" s="117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 t="shared" ref="L7:L9" si="0">E7*(1-H7)</f>
        <v>0</v>
      </c>
      <c r="M7" s="33">
        <f t="shared" ref="M7:M9" si="1">IF(J7="",L7,(E7/D7)*J7)</f>
        <v>0</v>
      </c>
      <c r="N7" s="22">
        <f t="shared" ref="N7:N9" si="2"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 t="shared" ref="I8:I9" si="3">D8*(1-H8)</f>
        <v>0</v>
      </c>
      <c r="J8" s="5"/>
      <c r="K8" s="5"/>
      <c r="L8" s="33">
        <f t="shared" si="0"/>
        <v>0</v>
      </c>
      <c r="M8" s="33">
        <f t="shared" si="1"/>
        <v>0</v>
      </c>
      <c r="N8" s="22">
        <f t="shared" si="2"/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 t="shared" si="3"/>
        <v>0</v>
      </c>
      <c r="J9" s="5"/>
      <c r="K9" s="5"/>
      <c r="L9" s="33">
        <f t="shared" si="0"/>
        <v>0</v>
      </c>
      <c r="M9" s="33">
        <f t="shared" si="1"/>
        <v>0</v>
      </c>
      <c r="N9" s="22">
        <f t="shared" si="2"/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4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4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4"/>
        <v>35</v>
      </c>
      <c r="J13" s="5"/>
      <c r="K13" s="5"/>
      <c r="L13" s="33">
        <f t="shared" ref="L13:L42" si="5">E13*(1-H13)</f>
        <v>6351</v>
      </c>
      <c r="M13" s="33">
        <f t="shared" ref="M13:M42" si="6">IF(J13="",L13,(E13/D13)*J13)</f>
        <v>6351</v>
      </c>
      <c r="N13" s="22">
        <f t="shared" ref="N13:N42" si="7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4"/>
        <v>0</v>
      </c>
      <c r="J14" s="5"/>
      <c r="K14" s="5"/>
      <c r="L14" s="33">
        <f t="shared" si="5"/>
        <v>0</v>
      </c>
      <c r="M14" s="33">
        <f t="shared" si="6"/>
        <v>0</v>
      </c>
      <c r="N14" s="22">
        <f t="shared" si="7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4"/>
        <v>0</v>
      </c>
      <c r="J15" s="5"/>
      <c r="K15" s="5"/>
      <c r="L15" s="33">
        <f t="shared" si="5"/>
        <v>0</v>
      </c>
      <c r="M15" s="33">
        <f t="shared" si="6"/>
        <v>0</v>
      </c>
      <c r="N15" s="22">
        <f t="shared" si="7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4"/>
        <v>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4"/>
        <v>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4"/>
        <v>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4"/>
        <v>0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4"/>
        <v>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4"/>
        <v>762.005</v>
      </c>
      <c r="J21" s="5"/>
      <c r="K21" s="5"/>
      <c r="L21" s="33">
        <f t="shared" si="5"/>
        <v>161609.56700000001</v>
      </c>
      <c r="M21" s="33">
        <f t="shared" si="6"/>
        <v>161609.56700000001</v>
      </c>
      <c r="N21" s="22">
        <f t="shared" si="7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4"/>
        <v>487.27199999999999</v>
      </c>
      <c r="J22" s="5"/>
      <c r="K22" s="5"/>
      <c r="L22" s="33">
        <f t="shared" si="5"/>
        <v>75002.108999999997</v>
      </c>
      <c r="M22" s="33">
        <f t="shared" si="6"/>
        <v>75002.108999999997</v>
      </c>
      <c r="N22" s="22">
        <f t="shared" si="7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4"/>
        <v>25.7</v>
      </c>
      <c r="J23" s="5"/>
      <c r="K23" s="5"/>
      <c r="L23" s="33">
        <f t="shared" si="5"/>
        <v>3906.143</v>
      </c>
      <c r="M23" s="33">
        <f t="shared" si="6"/>
        <v>3906.143</v>
      </c>
      <c r="N23" s="22">
        <f t="shared" si="7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4"/>
        <v>120.276</v>
      </c>
      <c r="J24" s="5"/>
      <c r="K24" s="5"/>
      <c r="L24" s="33">
        <f t="shared" si="5"/>
        <v>21068.089</v>
      </c>
      <c r="M24" s="33">
        <f t="shared" si="6"/>
        <v>21068.089</v>
      </c>
      <c r="N24" s="22">
        <f t="shared" si="7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4"/>
        <v>419.42400000000004</v>
      </c>
      <c r="J25" s="5"/>
      <c r="K25" s="5"/>
      <c r="L25" s="33">
        <f t="shared" si="5"/>
        <v>43295.505000000005</v>
      </c>
      <c r="M25" s="33">
        <f t="shared" si="6"/>
        <v>43295.505000000005</v>
      </c>
      <c r="N25" s="22">
        <f t="shared" si="7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4"/>
        <v>109.482</v>
      </c>
      <c r="J26" s="5"/>
      <c r="K26" s="5"/>
      <c r="L26" s="33">
        <f t="shared" si="5"/>
        <v>6850.5920000000006</v>
      </c>
      <c r="M26" s="33">
        <f t="shared" si="6"/>
        <v>6850.5920000000006</v>
      </c>
      <c r="N26" s="22">
        <f t="shared" si="7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4"/>
        <v>414.541</v>
      </c>
      <c r="J27" s="5"/>
      <c r="K27" s="5"/>
      <c r="L27" s="33">
        <f t="shared" si="5"/>
        <v>96655.387000000002</v>
      </c>
      <c r="M27" s="33">
        <f t="shared" si="6"/>
        <v>96655.387000000002</v>
      </c>
      <c r="N27" s="22">
        <f t="shared" si="7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4"/>
        <v>4</v>
      </c>
      <c r="J28" s="5"/>
      <c r="K28" s="5"/>
      <c r="L28" s="33">
        <f t="shared" si="5"/>
        <v>626</v>
      </c>
      <c r="M28" s="33">
        <f t="shared" si="6"/>
        <v>626</v>
      </c>
      <c r="N28" s="22">
        <f t="shared" si="7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4"/>
        <v>19</v>
      </c>
      <c r="J29" s="5"/>
      <c r="K29" s="5"/>
      <c r="L29" s="33">
        <f t="shared" si="5"/>
        <v>3377</v>
      </c>
      <c r="M29" s="33">
        <f t="shared" si="6"/>
        <v>3377</v>
      </c>
      <c r="N29" s="22">
        <f t="shared" si="7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4"/>
        <v>75</v>
      </c>
      <c r="J30" s="5"/>
      <c r="K30" s="5"/>
      <c r="L30" s="33">
        <f t="shared" si="5"/>
        <v>11891</v>
      </c>
      <c r="M30" s="33">
        <f t="shared" si="6"/>
        <v>11891</v>
      </c>
      <c r="N30" s="22">
        <f t="shared" si="7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4"/>
        <v>65</v>
      </c>
      <c r="J31" s="5"/>
      <c r="K31" s="5"/>
      <c r="L31" s="33">
        <f t="shared" si="5"/>
        <v>6941</v>
      </c>
      <c r="M31" s="33">
        <f t="shared" si="6"/>
        <v>6941</v>
      </c>
      <c r="N31" s="22">
        <f t="shared" si="7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4"/>
        <v>17</v>
      </c>
      <c r="J32" s="5"/>
      <c r="K32" s="5"/>
      <c r="L32" s="33">
        <f t="shared" si="5"/>
        <v>1098</v>
      </c>
      <c r="M32" s="33">
        <f t="shared" si="6"/>
        <v>1098</v>
      </c>
      <c r="N32" s="22">
        <f t="shared" si="7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4"/>
        <v>65</v>
      </c>
      <c r="J33" s="5"/>
      <c r="K33" s="5"/>
      <c r="L33" s="33">
        <f t="shared" si="5"/>
        <v>15494</v>
      </c>
      <c r="M33" s="33">
        <f t="shared" si="6"/>
        <v>15494</v>
      </c>
      <c r="N33" s="22">
        <f t="shared" si="7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4"/>
        <v>118</v>
      </c>
      <c r="J34" s="5"/>
      <c r="K34" s="5"/>
      <c r="L34" s="33">
        <f t="shared" si="5"/>
        <v>25777</v>
      </c>
      <c r="M34" s="33">
        <f t="shared" si="6"/>
        <v>25777</v>
      </c>
      <c r="N34" s="22">
        <f t="shared" si="7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4"/>
        <v>0</v>
      </c>
      <c r="J35" s="5"/>
      <c r="K35" s="5"/>
      <c r="L35" s="33">
        <f t="shared" si="5"/>
        <v>0</v>
      </c>
      <c r="M35" s="33">
        <f t="shared" si="6"/>
        <v>0</v>
      </c>
      <c r="N35" s="22">
        <f t="shared" si="7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4"/>
        <v>0</v>
      </c>
      <c r="J36" s="5"/>
      <c r="K36" s="5"/>
      <c r="L36" s="33">
        <f t="shared" si="5"/>
        <v>0</v>
      </c>
      <c r="M36" s="33">
        <f t="shared" si="6"/>
        <v>0</v>
      </c>
      <c r="N36" s="22">
        <f t="shared" si="7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4"/>
        <v>0</v>
      </c>
      <c r="J37" s="5"/>
      <c r="K37" s="5"/>
      <c r="L37" s="33">
        <f t="shared" si="5"/>
        <v>0</v>
      </c>
      <c r="M37" s="33">
        <f t="shared" si="6"/>
        <v>0</v>
      </c>
      <c r="N37" s="22">
        <f t="shared" si="7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4"/>
        <v>0</v>
      </c>
      <c r="J38" s="5"/>
      <c r="K38" s="5"/>
      <c r="L38" s="33">
        <f t="shared" si="5"/>
        <v>0</v>
      </c>
      <c r="M38" s="33">
        <f t="shared" si="6"/>
        <v>0</v>
      </c>
      <c r="N38" s="22">
        <f t="shared" si="7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4"/>
        <v>0</v>
      </c>
      <c r="J39" s="5"/>
      <c r="K39" s="5"/>
      <c r="L39" s="33">
        <f t="shared" si="5"/>
        <v>0</v>
      </c>
      <c r="M39" s="33">
        <f t="shared" si="6"/>
        <v>0</v>
      </c>
      <c r="N39" s="22">
        <f t="shared" si="7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4"/>
        <v>0</v>
      </c>
      <c r="J40" s="5"/>
      <c r="K40" s="5"/>
      <c r="L40" s="33">
        <f t="shared" si="5"/>
        <v>0</v>
      </c>
      <c r="M40" s="33">
        <f t="shared" si="6"/>
        <v>0</v>
      </c>
      <c r="N40" s="22">
        <f t="shared" si="7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4"/>
        <v>0</v>
      </c>
      <c r="J41" s="5"/>
      <c r="K41" s="5"/>
      <c r="L41" s="33">
        <f t="shared" si="5"/>
        <v>0</v>
      </c>
      <c r="M41" s="33">
        <f t="shared" si="6"/>
        <v>0</v>
      </c>
      <c r="N41" s="22">
        <f t="shared" si="7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4"/>
        <v>0</v>
      </c>
      <c r="J42" s="5"/>
      <c r="K42" s="5"/>
      <c r="L42" s="33">
        <f t="shared" si="5"/>
        <v>0</v>
      </c>
      <c r="M42" s="33">
        <f t="shared" si="6"/>
        <v>0</v>
      </c>
      <c r="N42" s="22">
        <f t="shared" si="7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 t="shared" ref="I44:I47" si="8">D44*(1-H44)</f>
        <v>0</v>
      </c>
      <c r="J44" s="5"/>
      <c r="K44" s="5"/>
      <c r="L44" s="33">
        <f t="shared" ref="L44:L47" si="9">E44*(1-H44)</f>
        <v>0</v>
      </c>
      <c r="M44" s="33">
        <f t="shared" ref="M44:M47" si="10">IF(J44="",L44,(E44/D44)*J44)</f>
        <v>0</v>
      </c>
      <c r="N44" s="22">
        <f t="shared" ref="N44:N47" si="11"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 t="shared" si="8"/>
        <v>0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 t="shared" si="8"/>
        <v>0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 t="shared" si="8"/>
        <v>0</v>
      </c>
      <c r="J47" s="5"/>
      <c r="K47" s="5"/>
      <c r="L47" s="33">
        <f t="shared" si="9"/>
        <v>0</v>
      </c>
      <c r="M47" s="33">
        <f t="shared" si="10"/>
        <v>0</v>
      </c>
      <c r="N47" s="22">
        <f t="shared" si="11"/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 t="shared" ref="I50:I52" si="12">D50*(1-H50)</f>
        <v>0</v>
      </c>
      <c r="J50" s="5"/>
      <c r="K50" s="5"/>
      <c r="L50" s="33">
        <f t="shared" ref="L50:L52" si="13">E50*(1-H50)</f>
        <v>0</v>
      </c>
      <c r="M50" s="33">
        <f t="shared" ref="M50:M52" si="14">IF(J50="",L50,(E50/D50)*J50)</f>
        <v>0</v>
      </c>
      <c r="N50" s="22">
        <f t="shared" ref="N50:N52" si="15"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 t="shared" si="12"/>
        <v>0</v>
      </c>
      <c r="J51" s="5"/>
      <c r="K51" s="5"/>
      <c r="L51" s="33">
        <f t="shared" si="13"/>
        <v>0</v>
      </c>
      <c r="M51" s="33">
        <f t="shared" si="14"/>
        <v>0</v>
      </c>
      <c r="N51" s="22">
        <f t="shared" si="15"/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 t="shared" si="12"/>
        <v>0</v>
      </c>
      <c r="J52" s="5"/>
      <c r="K52" s="5"/>
      <c r="L52" s="33">
        <f t="shared" si="13"/>
        <v>0</v>
      </c>
      <c r="M52" s="33">
        <f t="shared" si="14"/>
        <v>0</v>
      </c>
      <c r="N52" s="22">
        <f t="shared" si="15"/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16">D54*(1-H54)</f>
        <v>4</v>
      </c>
      <c r="J54" s="5"/>
      <c r="K54" s="5"/>
      <c r="L54" s="33">
        <f t="shared" ref="L54:L59" si="17">E54*(1-H54)</f>
        <v>688</v>
      </c>
      <c r="M54" s="33">
        <f t="shared" ref="M54:M59" si="18">IF(J54="",L54,(E54/D54)*J54)</f>
        <v>688</v>
      </c>
      <c r="N54" s="22">
        <f t="shared" ref="N54:N59" si="19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16"/>
        <v>4</v>
      </c>
      <c r="J55" s="5"/>
      <c r="K55" s="5"/>
      <c r="L55" s="33">
        <f t="shared" si="17"/>
        <v>589</v>
      </c>
      <c r="M55" s="33">
        <f t="shared" si="18"/>
        <v>589</v>
      </c>
      <c r="N55" s="22">
        <f t="shared" si="19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16"/>
        <v>4</v>
      </c>
      <c r="J56" s="5"/>
      <c r="K56" s="5"/>
      <c r="L56" s="33">
        <f t="shared" si="17"/>
        <v>688</v>
      </c>
      <c r="M56" s="33">
        <f t="shared" si="18"/>
        <v>688</v>
      </c>
      <c r="N56" s="22">
        <f t="shared" si="19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16"/>
        <v>4</v>
      </c>
      <c r="J57" s="5"/>
      <c r="K57" s="5"/>
      <c r="L57" s="33">
        <f t="shared" si="17"/>
        <v>589</v>
      </c>
      <c r="M57" s="33">
        <f t="shared" si="18"/>
        <v>589</v>
      </c>
      <c r="N57" s="22">
        <f t="shared" si="19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16"/>
        <v>4</v>
      </c>
      <c r="J58" s="5"/>
      <c r="K58" s="5"/>
      <c r="L58" s="33">
        <f t="shared" si="17"/>
        <v>688</v>
      </c>
      <c r="M58" s="33">
        <f t="shared" si="18"/>
        <v>688</v>
      </c>
      <c r="N58" s="22">
        <f t="shared" si="19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16"/>
        <v>4</v>
      </c>
      <c r="J59" s="5"/>
      <c r="K59" s="5"/>
      <c r="L59" s="33">
        <f t="shared" si="17"/>
        <v>589</v>
      </c>
      <c r="M59" s="33">
        <f t="shared" si="18"/>
        <v>589</v>
      </c>
      <c r="N59" s="22">
        <f t="shared" si="19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 t="shared" ref="I61:I65" si="20">D61*(1-H61)</f>
        <v>0</v>
      </c>
      <c r="J61" s="5"/>
      <c r="K61" s="5"/>
      <c r="L61" s="33">
        <f t="shared" ref="L61:L65" si="21">E61*(1-H61)</f>
        <v>0</v>
      </c>
      <c r="M61" s="33">
        <f t="shared" ref="M61:M65" si="22">IF(J61="",L61,(E61/D61)*J61)</f>
        <v>0</v>
      </c>
      <c r="N61" s="22">
        <f t="shared" ref="N61:N65" si="23"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 t="shared" si="20"/>
        <v>0</v>
      </c>
      <c r="J62" s="5"/>
      <c r="K62" s="5"/>
      <c r="L62" s="33">
        <f t="shared" si="21"/>
        <v>0</v>
      </c>
      <c r="M62" s="33">
        <f t="shared" si="22"/>
        <v>0</v>
      </c>
      <c r="N62" s="22">
        <f t="shared" si="23"/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 t="shared" si="20"/>
        <v>0</v>
      </c>
      <c r="J63" s="5"/>
      <c r="K63" s="5"/>
      <c r="L63" s="33">
        <f t="shared" si="21"/>
        <v>0</v>
      </c>
      <c r="M63" s="33">
        <f t="shared" si="22"/>
        <v>0</v>
      </c>
      <c r="N63" s="22">
        <f t="shared" si="23"/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 t="shared" si="20"/>
        <v>0</v>
      </c>
      <c r="J64" s="5"/>
      <c r="K64" s="5"/>
      <c r="L64" s="33">
        <f t="shared" si="21"/>
        <v>0</v>
      </c>
      <c r="M64" s="33">
        <f t="shared" si="22"/>
        <v>0</v>
      </c>
      <c r="N64" s="22">
        <f t="shared" si="23"/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 t="shared" si="20"/>
        <v>0</v>
      </c>
      <c r="J65" s="5"/>
      <c r="K65" s="5"/>
      <c r="L65" s="33">
        <f t="shared" si="21"/>
        <v>0</v>
      </c>
      <c r="M65" s="33">
        <f t="shared" si="22"/>
        <v>0</v>
      </c>
      <c r="N65" s="22">
        <f t="shared" si="23"/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 t="shared" ref="I68:I69" si="24">D68*(1-H68)</f>
        <v>0</v>
      </c>
      <c r="J68" s="5"/>
      <c r="K68" s="5"/>
      <c r="L68" s="33">
        <f t="shared" ref="L68:L69" si="25">E68*(1-H68)</f>
        <v>0</v>
      </c>
      <c r="M68" s="33">
        <f t="shared" ref="M68:M69" si="26">IF(J68="",L68,(E68/D68)*J68)</f>
        <v>0</v>
      </c>
      <c r="N68" s="22">
        <f t="shared" ref="N68:N69" si="27"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 t="shared" si="24"/>
        <v>0</v>
      </c>
      <c r="J69" s="5"/>
      <c r="K69" s="5"/>
      <c r="L69" s="33">
        <f t="shared" si="25"/>
        <v>0</v>
      </c>
      <c r="M69" s="33">
        <f t="shared" si="26"/>
        <v>0</v>
      </c>
      <c r="N69" s="22">
        <f t="shared" si="27"/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 t="shared" ref="I72:I75" si="28">D72*(1-H72)</f>
        <v>0</v>
      </c>
      <c r="J72" s="5"/>
      <c r="K72" s="5"/>
      <c r="L72" s="33">
        <f t="shared" ref="L72:L75" si="29">E72*(1-H72)</f>
        <v>0</v>
      </c>
      <c r="M72" s="33">
        <f t="shared" ref="M72:M75" si="30">IF(J72="",L72,(E72/D72)*J72)</f>
        <v>0</v>
      </c>
      <c r="N72" s="22">
        <f t="shared" ref="N72:N75" si="31"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 t="shared" si="28"/>
        <v>0</v>
      </c>
      <c r="J73" s="5"/>
      <c r="K73" s="5"/>
      <c r="L73" s="33">
        <f t="shared" si="29"/>
        <v>0</v>
      </c>
      <c r="M73" s="33">
        <f t="shared" si="30"/>
        <v>0</v>
      </c>
      <c r="N73" s="22">
        <f t="shared" si="31"/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 t="shared" si="28"/>
        <v>0</v>
      </c>
      <c r="J74" s="5"/>
      <c r="K74" s="5"/>
      <c r="L74" s="33">
        <f t="shared" si="29"/>
        <v>0</v>
      </c>
      <c r="M74" s="33">
        <f t="shared" si="30"/>
        <v>0</v>
      </c>
      <c r="N74" s="22">
        <f t="shared" si="31"/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 t="shared" si="28"/>
        <v>0</v>
      </c>
      <c r="J75" s="5"/>
      <c r="K75" s="5"/>
      <c r="L75" s="33">
        <f t="shared" si="29"/>
        <v>0</v>
      </c>
      <c r="M75" s="33">
        <f t="shared" si="30"/>
        <v>0</v>
      </c>
      <c r="N75" s="22">
        <f t="shared" si="31"/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32">D77*(1-H77)</f>
        <v>0</v>
      </c>
      <c r="J77" s="5"/>
      <c r="K77" s="5"/>
      <c r="L77" s="33">
        <f t="shared" ref="L77:L83" si="33">E77*(1-H77)</f>
        <v>0</v>
      </c>
      <c r="M77" s="33">
        <f t="shared" ref="M77:M83" si="34">IF(J77="",L77,(E77/D77)*J77)</f>
        <v>0</v>
      </c>
      <c r="N77" s="22">
        <f t="shared" ref="N77:N83" si="35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32"/>
        <v>0</v>
      </c>
      <c r="J78" s="5"/>
      <c r="K78" s="5"/>
      <c r="L78" s="33">
        <f t="shared" si="33"/>
        <v>0</v>
      </c>
      <c r="M78" s="33">
        <f t="shared" si="34"/>
        <v>0</v>
      </c>
      <c r="N78" s="22">
        <f t="shared" si="35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32"/>
        <v>0</v>
      </c>
      <c r="J79" s="5"/>
      <c r="K79" s="5"/>
      <c r="L79" s="33">
        <f t="shared" si="33"/>
        <v>0</v>
      </c>
      <c r="M79" s="33">
        <f t="shared" si="34"/>
        <v>0</v>
      </c>
      <c r="N79" s="22">
        <f t="shared" si="35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32"/>
        <v>0</v>
      </c>
      <c r="J80" s="5"/>
      <c r="K80" s="5"/>
      <c r="L80" s="33">
        <f t="shared" si="33"/>
        <v>0</v>
      </c>
      <c r="M80" s="33">
        <f t="shared" si="34"/>
        <v>0</v>
      </c>
      <c r="N80" s="22">
        <f t="shared" si="35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32"/>
        <v>0</v>
      </c>
      <c r="J81" s="5"/>
      <c r="K81" s="5"/>
      <c r="L81" s="33">
        <f t="shared" si="33"/>
        <v>0</v>
      </c>
      <c r="M81" s="33">
        <f t="shared" si="34"/>
        <v>0</v>
      </c>
      <c r="N81" s="22">
        <f t="shared" si="35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32"/>
        <v>0</v>
      </c>
      <c r="J82" s="5"/>
      <c r="K82" s="5"/>
      <c r="L82" s="33">
        <f t="shared" si="33"/>
        <v>0</v>
      </c>
      <c r="M82" s="33">
        <f t="shared" si="34"/>
        <v>0</v>
      </c>
      <c r="N82" s="22">
        <f t="shared" si="35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32"/>
        <v>0</v>
      </c>
      <c r="J83" s="5"/>
      <c r="K83" s="5"/>
      <c r="L83" s="33">
        <f t="shared" si="33"/>
        <v>0</v>
      </c>
      <c r="M83" s="33">
        <f t="shared" si="34"/>
        <v>0</v>
      </c>
      <c r="N83" s="22">
        <f t="shared" si="35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 t="shared" ref="I88:I89" si="36">D88*(1-H88)</f>
        <v>0</v>
      </c>
      <c r="J88" s="5"/>
      <c r="K88" s="5"/>
      <c r="L88" s="33">
        <f t="shared" ref="L88:L89" si="37">E88*(1-H88)</f>
        <v>0</v>
      </c>
      <c r="M88" s="33">
        <f t="shared" ref="M88:M89" si="38">IF(J88="",L88,(E88/D88)*J88)</f>
        <v>0</v>
      </c>
      <c r="N88" s="22">
        <f t="shared" ref="N88:N89" si="39"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 t="shared" si="36"/>
        <v>0</v>
      </c>
      <c r="J89" s="5"/>
      <c r="K89" s="5"/>
      <c r="L89" s="33">
        <f t="shared" si="37"/>
        <v>0</v>
      </c>
      <c r="M89" s="33">
        <f t="shared" si="38"/>
        <v>0</v>
      </c>
      <c r="N89" s="22">
        <f t="shared" si="39"/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 t="shared" ref="I91:I92" si="40">D91*(1-H91)</f>
        <v>0</v>
      </c>
      <c r="J91" s="5"/>
      <c r="K91" s="5"/>
      <c r="L91" s="33">
        <f t="shared" ref="L91:L92" si="41">E91*(1-H91)</f>
        <v>0</v>
      </c>
      <c r="M91" s="33">
        <f t="shared" ref="M91:M92" si="42">IF(J91="",L91,(E91/D91)*J91)</f>
        <v>0</v>
      </c>
      <c r="N91" s="22">
        <f t="shared" ref="N91:N92" si="43"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 t="shared" si="40"/>
        <v>0</v>
      </c>
      <c r="J92" s="5"/>
      <c r="K92" s="5"/>
      <c r="L92" s="33">
        <f t="shared" si="41"/>
        <v>0</v>
      </c>
      <c r="M92" s="33">
        <f t="shared" si="42"/>
        <v>0</v>
      </c>
      <c r="N92" s="22">
        <f t="shared" si="43"/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 t="shared" ref="I97:I98" si="44">D97*(1-H97)</f>
        <v>0</v>
      </c>
      <c r="J97" s="5"/>
      <c r="K97" s="5"/>
      <c r="L97" s="33">
        <f t="shared" ref="L97:L98" si="45">E97*(1-H97)</f>
        <v>0</v>
      </c>
      <c r="M97" s="33">
        <f t="shared" ref="M97:M98" si="46">IF(J97="",L97,(E97/D97)*J97)</f>
        <v>0</v>
      </c>
      <c r="N97" s="22">
        <f t="shared" ref="N97:N98" si="47"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 t="shared" si="44"/>
        <v>0</v>
      </c>
      <c r="J98" s="5"/>
      <c r="K98" s="5"/>
      <c r="L98" s="33">
        <f t="shared" si="45"/>
        <v>0</v>
      </c>
      <c r="M98" s="33">
        <f t="shared" si="46"/>
        <v>0</v>
      </c>
      <c r="N98" s="22">
        <f t="shared" si="47"/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 t="shared" ref="I101:I102" si="48">D101*(1-H101)</f>
        <v>0</v>
      </c>
      <c r="J101" s="5"/>
      <c r="K101" s="5"/>
      <c r="L101" s="33">
        <f t="shared" ref="L101:L102" si="49">E101*(1-H101)</f>
        <v>0</v>
      </c>
      <c r="M101" s="33">
        <f t="shared" ref="M101:M102" si="50">IF(J101="",L101,(E101/D101)*J101)</f>
        <v>0</v>
      </c>
      <c r="N101" s="22">
        <f t="shared" ref="N101:N102" si="51"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 t="shared" si="48"/>
        <v>0</v>
      </c>
      <c r="J102" s="5"/>
      <c r="K102" s="5"/>
      <c r="L102" s="33">
        <f t="shared" si="49"/>
        <v>0</v>
      </c>
      <c r="M102" s="33">
        <f t="shared" si="50"/>
        <v>0</v>
      </c>
      <c r="N102" s="22">
        <f t="shared" si="51"/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 t="shared" ref="I104:I105" si="52">D104*(1-H104)</f>
        <v>0</v>
      </c>
      <c r="J104" s="5"/>
      <c r="K104" s="5"/>
      <c r="L104" s="33">
        <f t="shared" ref="L104:L105" si="53">E104*(1-H104)</f>
        <v>0</v>
      </c>
      <c r="M104" s="33">
        <f t="shared" ref="M104:M105" si="54">IF(J104="",L104,(E104/D104)*J104)</f>
        <v>0</v>
      </c>
      <c r="N104" s="22">
        <f t="shared" ref="N104:N105" si="55"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 t="shared" si="52"/>
        <v>0</v>
      </c>
      <c r="J105" s="5"/>
      <c r="K105" s="5"/>
      <c r="L105" s="33">
        <f t="shared" si="53"/>
        <v>0</v>
      </c>
      <c r="M105" s="33">
        <f t="shared" si="54"/>
        <v>0</v>
      </c>
      <c r="N105" s="22">
        <f t="shared" si="55"/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56">D108*(1-H108)</f>
        <v>0</v>
      </c>
      <c r="J108" s="5"/>
      <c r="K108" s="5"/>
      <c r="L108" s="33">
        <f t="shared" ref="L108:L113" si="57">E108*(1-H108)</f>
        <v>0</v>
      </c>
      <c r="M108" s="33">
        <f t="shared" ref="M108:M113" si="58">IF(J108="",L108,(E108/D108)*J108)</f>
        <v>0</v>
      </c>
      <c r="N108" s="22">
        <f t="shared" ref="N108:N113" si="59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56"/>
        <v>0</v>
      </c>
      <c r="J109" s="5"/>
      <c r="K109" s="5"/>
      <c r="L109" s="33">
        <f t="shared" si="57"/>
        <v>0</v>
      </c>
      <c r="M109" s="33">
        <f t="shared" si="58"/>
        <v>0</v>
      </c>
      <c r="N109" s="22">
        <f t="shared" si="59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56"/>
        <v>0.20000000000000018</v>
      </c>
      <c r="J110" s="5"/>
      <c r="K110" s="5"/>
      <c r="L110" s="33">
        <f t="shared" si="57"/>
        <v>29.450000000000028</v>
      </c>
      <c r="M110" s="33">
        <f t="shared" si="58"/>
        <v>29.450000000000028</v>
      </c>
      <c r="N110" s="22">
        <f t="shared" si="59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56"/>
        <v>0.20000000000000018</v>
      </c>
      <c r="J111" s="5"/>
      <c r="K111" s="5"/>
      <c r="L111" s="33">
        <f t="shared" si="57"/>
        <v>34.400000000000034</v>
      </c>
      <c r="M111" s="33">
        <f t="shared" si="58"/>
        <v>34.400000000000034</v>
      </c>
      <c r="N111" s="22">
        <f t="shared" si="59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56"/>
        <v>0</v>
      </c>
      <c r="J112" s="5"/>
      <c r="K112" s="5"/>
      <c r="L112" s="33">
        <f t="shared" si="57"/>
        <v>0</v>
      </c>
      <c r="M112" s="33">
        <f t="shared" si="58"/>
        <v>0</v>
      </c>
      <c r="N112" s="22">
        <f t="shared" si="59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56"/>
        <v>0</v>
      </c>
      <c r="J113" s="5"/>
      <c r="K113" s="5"/>
      <c r="L113" s="33">
        <f t="shared" si="57"/>
        <v>0</v>
      </c>
      <c r="M113" s="33">
        <f t="shared" si="58"/>
        <v>0</v>
      </c>
      <c r="N113" s="22">
        <f t="shared" si="59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60">D115*(1-H115)</f>
        <v>0</v>
      </c>
      <c r="J115" s="5"/>
      <c r="K115" s="5"/>
      <c r="L115" s="33">
        <f t="shared" ref="L115:L129" si="61">E115*(1-H115)</f>
        <v>0</v>
      </c>
      <c r="M115" s="33">
        <f t="shared" ref="M115:M129" si="62">IF(J115="",L115,(E115/D115)*J115)</f>
        <v>0</v>
      </c>
      <c r="N115" s="22">
        <f t="shared" ref="N115:N129" si="63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60"/>
        <v>0</v>
      </c>
      <c r="J116" s="5"/>
      <c r="K116" s="5"/>
      <c r="L116" s="33">
        <f t="shared" si="61"/>
        <v>0</v>
      </c>
      <c r="M116" s="33">
        <f t="shared" si="62"/>
        <v>0</v>
      </c>
      <c r="N116" s="22">
        <f t="shared" si="63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60"/>
        <v>0</v>
      </c>
      <c r="J117" s="5"/>
      <c r="K117" s="5"/>
      <c r="L117" s="33">
        <f t="shared" si="61"/>
        <v>0</v>
      </c>
      <c r="M117" s="33">
        <f t="shared" si="62"/>
        <v>0</v>
      </c>
      <c r="N117" s="22">
        <f t="shared" si="63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60"/>
        <v>0</v>
      </c>
      <c r="J118" s="5"/>
      <c r="K118" s="5"/>
      <c r="L118" s="33">
        <f t="shared" si="61"/>
        <v>0</v>
      </c>
      <c r="M118" s="33">
        <f t="shared" si="62"/>
        <v>0</v>
      </c>
      <c r="N118" s="22">
        <f t="shared" si="63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60"/>
        <v>0</v>
      </c>
      <c r="J119" s="5"/>
      <c r="K119" s="5"/>
      <c r="L119" s="33">
        <f t="shared" si="61"/>
        <v>0</v>
      </c>
      <c r="M119" s="33">
        <f t="shared" si="62"/>
        <v>0</v>
      </c>
      <c r="N119" s="22">
        <f t="shared" si="63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60"/>
        <v>0</v>
      </c>
      <c r="J120" s="5"/>
      <c r="K120" s="5"/>
      <c r="L120" s="33">
        <f t="shared" si="61"/>
        <v>0</v>
      </c>
      <c r="M120" s="33">
        <f t="shared" si="62"/>
        <v>0</v>
      </c>
      <c r="N120" s="22">
        <f t="shared" si="63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60"/>
        <v>0</v>
      </c>
      <c r="J121" s="5"/>
      <c r="K121" s="5"/>
      <c r="L121" s="33">
        <f t="shared" si="61"/>
        <v>0</v>
      </c>
      <c r="M121" s="33">
        <f t="shared" si="62"/>
        <v>0</v>
      </c>
      <c r="N121" s="22">
        <f t="shared" si="63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60"/>
        <v>0</v>
      </c>
      <c r="J122" s="5"/>
      <c r="K122" s="5"/>
      <c r="L122" s="33">
        <f t="shared" si="61"/>
        <v>0</v>
      </c>
      <c r="M122" s="33">
        <f t="shared" si="62"/>
        <v>0</v>
      </c>
      <c r="N122" s="22">
        <f t="shared" si="63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60"/>
        <v>8</v>
      </c>
      <c r="J123" s="5"/>
      <c r="K123" s="5"/>
      <c r="L123" s="33">
        <f t="shared" si="61"/>
        <v>1012</v>
      </c>
      <c r="M123" s="33">
        <f t="shared" si="62"/>
        <v>1012</v>
      </c>
      <c r="N123" s="22">
        <f t="shared" si="63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60"/>
        <v>8</v>
      </c>
      <c r="J124" s="5"/>
      <c r="K124" s="5"/>
      <c r="L124" s="33">
        <f t="shared" si="61"/>
        <v>1178</v>
      </c>
      <c r="M124" s="33">
        <f t="shared" si="62"/>
        <v>1178</v>
      </c>
      <c r="N124" s="22">
        <f t="shared" si="63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60"/>
        <v>8</v>
      </c>
      <c r="J125" s="5"/>
      <c r="K125" s="5"/>
      <c r="L125" s="33">
        <f t="shared" si="61"/>
        <v>1377</v>
      </c>
      <c r="M125" s="33">
        <f t="shared" si="62"/>
        <v>1377</v>
      </c>
      <c r="N125" s="22">
        <f t="shared" si="63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60"/>
        <v>0</v>
      </c>
      <c r="J126" s="5"/>
      <c r="K126" s="5"/>
      <c r="L126" s="33">
        <f t="shared" si="61"/>
        <v>0</v>
      </c>
      <c r="M126" s="33">
        <f t="shared" si="62"/>
        <v>0</v>
      </c>
      <c r="N126" s="22">
        <f t="shared" si="63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60"/>
        <v>0</v>
      </c>
      <c r="J127" s="5"/>
      <c r="K127" s="5"/>
      <c r="L127" s="33">
        <f t="shared" si="61"/>
        <v>0</v>
      </c>
      <c r="M127" s="33">
        <f t="shared" si="62"/>
        <v>0</v>
      </c>
      <c r="N127" s="22">
        <f t="shared" si="63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60"/>
        <v>0</v>
      </c>
      <c r="J128" s="5"/>
      <c r="K128" s="5"/>
      <c r="L128" s="33">
        <f t="shared" si="61"/>
        <v>0</v>
      </c>
      <c r="M128" s="33">
        <f t="shared" si="62"/>
        <v>0</v>
      </c>
      <c r="N128" s="22">
        <f t="shared" si="63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60"/>
        <v>0</v>
      </c>
      <c r="J129" s="5"/>
      <c r="K129" s="5"/>
      <c r="L129" s="33">
        <f t="shared" si="61"/>
        <v>0</v>
      </c>
      <c r="M129" s="33">
        <f t="shared" si="62"/>
        <v>0</v>
      </c>
      <c r="N129" s="22">
        <f t="shared" si="63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 t="shared" ref="I131:I135" si="64">D131*(1-H131)</f>
        <v>0</v>
      </c>
      <c r="J131" s="5"/>
      <c r="K131" s="5"/>
      <c r="L131" s="33">
        <f t="shared" ref="L131:L135" si="65">E131*(1-H131)</f>
        <v>0</v>
      </c>
      <c r="M131" s="33">
        <f t="shared" ref="M131:M135" si="66">IF(J131="",L131,(E131/D131)*J131)</f>
        <v>0</v>
      </c>
      <c r="N131" s="22">
        <f t="shared" ref="N131:N135" si="67"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 t="shared" si="64"/>
        <v>0</v>
      </c>
      <c r="J132" s="5"/>
      <c r="K132" s="5"/>
      <c r="L132" s="33">
        <f t="shared" si="65"/>
        <v>0</v>
      </c>
      <c r="M132" s="33">
        <f t="shared" si="66"/>
        <v>0</v>
      </c>
      <c r="N132" s="22">
        <f t="shared" si="67"/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 t="shared" si="64"/>
        <v>0</v>
      </c>
      <c r="J133" s="5"/>
      <c r="K133" s="5"/>
      <c r="L133" s="33">
        <f t="shared" si="65"/>
        <v>0</v>
      </c>
      <c r="M133" s="33">
        <f t="shared" si="66"/>
        <v>0</v>
      </c>
      <c r="N133" s="22">
        <f t="shared" si="67"/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 t="shared" si="64"/>
        <v>0</v>
      </c>
      <c r="J134" s="5"/>
      <c r="K134" s="5"/>
      <c r="L134" s="33">
        <f t="shared" si="65"/>
        <v>0</v>
      </c>
      <c r="M134" s="33">
        <f t="shared" si="66"/>
        <v>0</v>
      </c>
      <c r="N134" s="22">
        <f t="shared" si="67"/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 t="shared" si="64"/>
        <v>0</v>
      </c>
      <c r="J135" s="5"/>
      <c r="K135" s="5"/>
      <c r="L135" s="33">
        <f t="shared" si="65"/>
        <v>0</v>
      </c>
      <c r="M135" s="33">
        <f t="shared" si="66"/>
        <v>0</v>
      </c>
      <c r="N135" s="22">
        <f t="shared" si="67"/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68">D138*(1-H138)</f>
        <v>0</v>
      </c>
      <c r="J138" s="5"/>
      <c r="K138" s="5"/>
      <c r="L138" s="33">
        <f t="shared" ref="L138:L143" si="69">E138*(1-H138)</f>
        <v>0</v>
      </c>
      <c r="M138" s="33">
        <f t="shared" ref="M138:M143" si="70">IF(J138="",L138,(E138/D138)*J138)</f>
        <v>0</v>
      </c>
      <c r="N138" s="22">
        <f t="shared" ref="N138:N143" si="71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68"/>
        <v>0</v>
      </c>
      <c r="J139" s="5"/>
      <c r="K139" s="5"/>
      <c r="L139" s="33">
        <f t="shared" si="69"/>
        <v>0</v>
      </c>
      <c r="M139" s="33">
        <f t="shared" si="70"/>
        <v>0</v>
      </c>
      <c r="N139" s="22">
        <f t="shared" si="71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68"/>
        <v>0</v>
      </c>
      <c r="J140" s="5"/>
      <c r="K140" s="5"/>
      <c r="L140" s="33">
        <f t="shared" si="69"/>
        <v>0</v>
      </c>
      <c r="M140" s="33">
        <f t="shared" si="70"/>
        <v>0</v>
      </c>
      <c r="N140" s="22">
        <f t="shared" si="71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68"/>
        <v>0</v>
      </c>
      <c r="J141" s="5"/>
      <c r="K141" s="5"/>
      <c r="L141" s="33">
        <f t="shared" si="69"/>
        <v>0</v>
      </c>
      <c r="M141" s="33">
        <f t="shared" si="70"/>
        <v>0</v>
      </c>
      <c r="N141" s="22">
        <f t="shared" si="71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68"/>
        <v>0</v>
      </c>
      <c r="J142" s="5"/>
      <c r="K142" s="5"/>
      <c r="L142" s="33">
        <f t="shared" si="69"/>
        <v>0</v>
      </c>
      <c r="M142" s="33">
        <f t="shared" si="70"/>
        <v>0</v>
      </c>
      <c r="N142" s="22">
        <f t="shared" si="71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68"/>
        <v>0</v>
      </c>
      <c r="J143" s="5"/>
      <c r="K143" s="5"/>
      <c r="L143" s="33">
        <f t="shared" si="69"/>
        <v>0</v>
      </c>
      <c r="M143" s="33">
        <f t="shared" si="70"/>
        <v>0</v>
      </c>
      <c r="N143" s="22">
        <f t="shared" si="71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 t="shared" ref="I145:I146" si="72">D145*(1-H145)</f>
        <v>192</v>
      </c>
      <c r="J145" s="5"/>
      <c r="K145" s="5"/>
      <c r="L145" s="33">
        <f t="shared" ref="L145:L146" si="73">E145*(1-H145)</f>
        <v>29123.399999999998</v>
      </c>
      <c r="M145" s="33">
        <f t="shared" ref="M145:M146" si="74">IF(J145="",L145,(E145/D145)*J145)</f>
        <v>29123.399999999998</v>
      </c>
      <c r="N145" s="22">
        <f t="shared" ref="N145:N146" si="75"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 t="shared" si="72"/>
        <v>40.199999999999996</v>
      </c>
      <c r="J146" s="5"/>
      <c r="K146" s="5"/>
      <c r="L146" s="33">
        <f t="shared" si="73"/>
        <v>7126.2</v>
      </c>
      <c r="M146" s="33">
        <f t="shared" si="74"/>
        <v>7126.2</v>
      </c>
      <c r="N146" s="22">
        <f t="shared" si="75"/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76">D149*(1-H149)</f>
        <v>3.2</v>
      </c>
      <c r="J149" s="5"/>
      <c r="K149" s="5"/>
      <c r="L149" s="33">
        <f t="shared" ref="L149:L159" si="77">E149*(1-H149)</f>
        <v>457.6</v>
      </c>
      <c r="M149" s="33">
        <f t="shared" ref="M149:M159" si="78">IF(J149="",L149,(E149/D149)*J149)</f>
        <v>457.6</v>
      </c>
      <c r="N149" s="22">
        <f t="shared" ref="N149:N159" si="79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76"/>
        <v>3.2</v>
      </c>
      <c r="J150" s="5"/>
      <c r="K150" s="5"/>
      <c r="L150" s="33">
        <f t="shared" si="77"/>
        <v>534.4</v>
      </c>
      <c r="M150" s="33">
        <f t="shared" si="78"/>
        <v>534.4</v>
      </c>
      <c r="N150" s="22">
        <f t="shared" si="79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76"/>
        <v>2</v>
      </c>
      <c r="J151" s="5"/>
      <c r="K151" s="5"/>
      <c r="L151" s="33">
        <f t="shared" si="77"/>
        <v>286</v>
      </c>
      <c r="M151" s="33">
        <f t="shared" si="78"/>
        <v>286</v>
      </c>
      <c r="N151" s="22">
        <f t="shared" si="79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76"/>
        <v>2</v>
      </c>
      <c r="J152" s="5"/>
      <c r="K152" s="5"/>
      <c r="L152" s="33">
        <f t="shared" si="77"/>
        <v>334</v>
      </c>
      <c r="M152" s="33">
        <f t="shared" si="78"/>
        <v>334</v>
      </c>
      <c r="N152" s="22">
        <f t="shared" si="79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76"/>
        <v>24</v>
      </c>
      <c r="J153" s="5"/>
      <c r="K153" s="5"/>
      <c r="L153" s="33">
        <f t="shared" si="77"/>
        <v>2739</v>
      </c>
      <c r="M153" s="33">
        <f t="shared" si="78"/>
        <v>2739</v>
      </c>
      <c r="N153" s="22">
        <f t="shared" si="79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76"/>
        <v>64</v>
      </c>
      <c r="J154" s="5"/>
      <c r="K154" s="5"/>
      <c r="L154" s="33">
        <f t="shared" si="77"/>
        <v>11015</v>
      </c>
      <c r="M154" s="33">
        <f t="shared" si="78"/>
        <v>11015</v>
      </c>
      <c r="N154" s="22">
        <f t="shared" si="79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76"/>
        <v>64</v>
      </c>
      <c r="J155" s="5"/>
      <c r="K155" s="5"/>
      <c r="L155" s="33">
        <f t="shared" si="77"/>
        <v>9425</v>
      </c>
      <c r="M155" s="33">
        <f t="shared" si="78"/>
        <v>9425</v>
      </c>
      <c r="N155" s="22">
        <f t="shared" si="79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76"/>
        <v>64</v>
      </c>
      <c r="J156" s="5"/>
      <c r="K156" s="5"/>
      <c r="L156" s="33">
        <f t="shared" si="77"/>
        <v>7304</v>
      </c>
      <c r="M156" s="33">
        <f t="shared" si="78"/>
        <v>7304</v>
      </c>
      <c r="N156" s="22">
        <f t="shared" si="79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76"/>
        <v>24</v>
      </c>
      <c r="J157" s="5"/>
      <c r="K157" s="5"/>
      <c r="L157" s="33">
        <f t="shared" si="77"/>
        <v>2739</v>
      </c>
      <c r="M157" s="33">
        <f t="shared" si="78"/>
        <v>2739</v>
      </c>
      <c r="N157" s="22">
        <f t="shared" si="79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76"/>
        <v>0</v>
      </c>
      <c r="J158" s="5"/>
      <c r="K158" s="5"/>
      <c r="L158" s="33">
        <f t="shared" si="77"/>
        <v>0</v>
      </c>
      <c r="M158" s="33">
        <f t="shared" si="78"/>
        <v>0</v>
      </c>
      <c r="N158" s="22">
        <f t="shared" si="79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76"/>
        <v>0</v>
      </c>
      <c r="J159" s="5"/>
      <c r="K159" s="5"/>
      <c r="L159" s="33">
        <f t="shared" si="77"/>
        <v>0</v>
      </c>
      <c r="M159" s="33">
        <f t="shared" si="78"/>
        <v>0</v>
      </c>
      <c r="N159" s="22">
        <f t="shared" si="79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80">D161*(1-H161)</f>
        <v>0</v>
      </c>
      <c r="J161" s="5"/>
      <c r="K161" s="5"/>
      <c r="L161" s="33">
        <f t="shared" ref="L161:L174" si="81">E161*(1-H161)</f>
        <v>0</v>
      </c>
      <c r="M161" s="33">
        <f t="shared" ref="M161:M174" si="82">IF(J161="",L161,(E161/D161)*J161)</f>
        <v>0</v>
      </c>
      <c r="N161" s="22">
        <f t="shared" ref="N161:N174" si="83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80"/>
        <v>0</v>
      </c>
      <c r="J162" s="5"/>
      <c r="K162" s="5"/>
      <c r="L162" s="33">
        <f t="shared" si="81"/>
        <v>0</v>
      </c>
      <c r="M162" s="33">
        <f t="shared" si="82"/>
        <v>0</v>
      </c>
      <c r="N162" s="22">
        <f t="shared" si="83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80"/>
        <v>0</v>
      </c>
      <c r="J163" s="5"/>
      <c r="K163" s="5"/>
      <c r="L163" s="33">
        <f t="shared" si="81"/>
        <v>0</v>
      </c>
      <c r="M163" s="33">
        <f t="shared" si="82"/>
        <v>0</v>
      </c>
      <c r="N163" s="22">
        <f t="shared" si="83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80"/>
        <v>0</v>
      </c>
      <c r="J164" s="5"/>
      <c r="K164" s="5"/>
      <c r="L164" s="33">
        <f t="shared" si="81"/>
        <v>0</v>
      </c>
      <c r="M164" s="33">
        <f t="shared" si="82"/>
        <v>0</v>
      </c>
      <c r="N164" s="22">
        <f t="shared" si="83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80"/>
        <v>0</v>
      </c>
      <c r="J165" s="5"/>
      <c r="K165" s="5"/>
      <c r="L165" s="33">
        <f t="shared" si="81"/>
        <v>0</v>
      </c>
      <c r="M165" s="33">
        <f t="shared" si="82"/>
        <v>0</v>
      </c>
      <c r="N165" s="22">
        <f t="shared" si="83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80"/>
        <v>0</v>
      </c>
      <c r="J166" s="5"/>
      <c r="K166" s="5"/>
      <c r="L166" s="33">
        <f t="shared" si="81"/>
        <v>0</v>
      </c>
      <c r="M166" s="33">
        <f t="shared" si="82"/>
        <v>0</v>
      </c>
      <c r="N166" s="22">
        <f t="shared" si="83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80"/>
        <v>0</v>
      </c>
      <c r="J167" s="5"/>
      <c r="K167" s="5"/>
      <c r="L167" s="33">
        <f t="shared" si="81"/>
        <v>0</v>
      </c>
      <c r="M167" s="33">
        <f t="shared" si="82"/>
        <v>0</v>
      </c>
      <c r="N167" s="22">
        <f t="shared" si="83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80"/>
        <v>0</v>
      </c>
      <c r="J168" s="5"/>
      <c r="K168" s="5"/>
      <c r="L168" s="33">
        <f t="shared" si="81"/>
        <v>0</v>
      </c>
      <c r="M168" s="33">
        <f t="shared" si="82"/>
        <v>0</v>
      </c>
      <c r="N168" s="22">
        <f t="shared" si="83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80"/>
        <v>0</v>
      </c>
      <c r="J169" s="5"/>
      <c r="K169" s="5"/>
      <c r="L169" s="33">
        <f t="shared" si="81"/>
        <v>0</v>
      </c>
      <c r="M169" s="33">
        <f t="shared" si="82"/>
        <v>0</v>
      </c>
      <c r="N169" s="22">
        <f t="shared" si="83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80"/>
        <v>0</v>
      </c>
      <c r="J170" s="5"/>
      <c r="K170" s="5"/>
      <c r="L170" s="33">
        <f t="shared" si="81"/>
        <v>0</v>
      </c>
      <c r="M170" s="33">
        <f t="shared" si="82"/>
        <v>0</v>
      </c>
      <c r="N170" s="22">
        <f t="shared" si="83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80"/>
        <v>40</v>
      </c>
      <c r="J171" s="5"/>
      <c r="K171" s="5"/>
      <c r="L171" s="33">
        <f t="shared" si="81"/>
        <v>6067</v>
      </c>
      <c r="M171" s="33">
        <f t="shared" si="82"/>
        <v>6067</v>
      </c>
      <c r="N171" s="22">
        <f t="shared" si="83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80"/>
        <v>308</v>
      </c>
      <c r="J172" s="5"/>
      <c r="K172" s="5"/>
      <c r="L172" s="33">
        <f t="shared" si="81"/>
        <v>36204</v>
      </c>
      <c r="M172" s="33">
        <f t="shared" si="82"/>
        <v>36204</v>
      </c>
      <c r="N172" s="22">
        <f t="shared" si="83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80"/>
        <v>0</v>
      </c>
      <c r="J173" s="5"/>
      <c r="K173" s="5"/>
      <c r="L173" s="33">
        <f t="shared" si="81"/>
        <v>0</v>
      </c>
      <c r="M173" s="33">
        <f t="shared" si="82"/>
        <v>0</v>
      </c>
      <c r="N173" s="22">
        <f t="shared" si="83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80"/>
        <v>0</v>
      </c>
      <c r="J174" s="5"/>
      <c r="K174" s="5"/>
      <c r="L174" s="33">
        <f t="shared" si="81"/>
        <v>0</v>
      </c>
      <c r="M174" s="33">
        <f t="shared" si="82"/>
        <v>0</v>
      </c>
      <c r="N174" s="22">
        <f t="shared" si="83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84">D176*(1-H176)</f>
        <v>0</v>
      </c>
      <c r="J176" s="5"/>
      <c r="K176" s="5"/>
      <c r="L176" s="33">
        <f t="shared" ref="L176:L191" si="85">E176*(1-H176)</f>
        <v>0</v>
      </c>
      <c r="M176" s="33">
        <f t="shared" ref="M176:M191" si="86">IF(J176="",L176,(E176/D176)*J176)</f>
        <v>0</v>
      </c>
      <c r="N176" s="22">
        <f t="shared" ref="N176:N191" si="87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84"/>
        <v>0</v>
      </c>
      <c r="J177" s="5"/>
      <c r="K177" s="5"/>
      <c r="L177" s="33">
        <f t="shared" si="85"/>
        <v>0</v>
      </c>
      <c r="M177" s="33">
        <f t="shared" si="86"/>
        <v>0</v>
      </c>
      <c r="N177" s="22">
        <f t="shared" si="87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84"/>
        <v>0</v>
      </c>
      <c r="J178" s="5"/>
      <c r="K178" s="5"/>
      <c r="L178" s="33">
        <f t="shared" si="85"/>
        <v>0</v>
      </c>
      <c r="M178" s="33">
        <f t="shared" si="86"/>
        <v>0</v>
      </c>
      <c r="N178" s="22">
        <f t="shared" si="87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84"/>
        <v>0</v>
      </c>
      <c r="J179" s="5"/>
      <c r="K179" s="5"/>
      <c r="L179" s="33">
        <f t="shared" si="85"/>
        <v>0</v>
      </c>
      <c r="M179" s="33">
        <f t="shared" si="86"/>
        <v>0</v>
      </c>
      <c r="N179" s="22">
        <f t="shared" si="87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84"/>
        <v>0</v>
      </c>
      <c r="J180" s="5"/>
      <c r="K180" s="5"/>
      <c r="L180" s="33">
        <f t="shared" si="85"/>
        <v>0</v>
      </c>
      <c r="M180" s="33">
        <f t="shared" si="86"/>
        <v>0</v>
      </c>
      <c r="N180" s="22">
        <f t="shared" si="87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84"/>
        <v>0</v>
      </c>
      <c r="J181" s="5"/>
      <c r="K181" s="5"/>
      <c r="L181" s="33">
        <f t="shared" si="85"/>
        <v>0</v>
      </c>
      <c r="M181" s="33">
        <f t="shared" si="86"/>
        <v>0</v>
      </c>
      <c r="N181" s="22">
        <f t="shared" si="87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84"/>
        <v>24</v>
      </c>
      <c r="J182" s="5"/>
      <c r="K182" s="5"/>
      <c r="L182" s="33">
        <f t="shared" si="85"/>
        <v>2739</v>
      </c>
      <c r="M182" s="33">
        <f t="shared" si="86"/>
        <v>2739</v>
      </c>
      <c r="N182" s="22">
        <f t="shared" si="87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84"/>
        <v>24</v>
      </c>
      <c r="J183" s="5"/>
      <c r="K183" s="5"/>
      <c r="L183" s="33">
        <f t="shared" si="85"/>
        <v>2739</v>
      </c>
      <c r="M183" s="33">
        <f t="shared" si="86"/>
        <v>2739</v>
      </c>
      <c r="N183" s="22">
        <f t="shared" si="87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84"/>
        <v>24</v>
      </c>
      <c r="J184" s="5"/>
      <c r="K184" s="5"/>
      <c r="L184" s="33">
        <f t="shared" si="85"/>
        <v>2739</v>
      </c>
      <c r="M184" s="33">
        <f t="shared" si="86"/>
        <v>2739</v>
      </c>
      <c r="N184" s="22">
        <f t="shared" si="87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84"/>
        <v>80</v>
      </c>
      <c r="J185" s="5"/>
      <c r="K185" s="5"/>
      <c r="L185" s="33">
        <f t="shared" si="85"/>
        <v>9130</v>
      </c>
      <c r="M185" s="33">
        <f t="shared" si="86"/>
        <v>9130</v>
      </c>
      <c r="N185" s="22">
        <f t="shared" si="87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84"/>
        <v>24</v>
      </c>
      <c r="J186" s="5"/>
      <c r="K186" s="5"/>
      <c r="L186" s="33">
        <f t="shared" si="85"/>
        <v>2739</v>
      </c>
      <c r="M186" s="33">
        <f t="shared" si="86"/>
        <v>2739</v>
      </c>
      <c r="N186" s="22">
        <f t="shared" si="87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84"/>
        <v>240</v>
      </c>
      <c r="J187" s="5"/>
      <c r="K187" s="5"/>
      <c r="L187" s="33">
        <f t="shared" si="85"/>
        <v>27453</v>
      </c>
      <c r="M187" s="33">
        <f t="shared" si="86"/>
        <v>27453</v>
      </c>
      <c r="N187" s="22">
        <f t="shared" si="87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84"/>
        <v>40</v>
      </c>
      <c r="J188" s="5"/>
      <c r="K188" s="5"/>
      <c r="L188" s="33">
        <f t="shared" si="85"/>
        <v>4702</v>
      </c>
      <c r="M188" s="33">
        <f t="shared" si="86"/>
        <v>4702</v>
      </c>
      <c r="N188" s="22">
        <f t="shared" si="87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84"/>
        <v>40</v>
      </c>
      <c r="J189" s="5"/>
      <c r="K189" s="5"/>
      <c r="L189" s="33">
        <f t="shared" si="85"/>
        <v>4702</v>
      </c>
      <c r="M189" s="33">
        <f t="shared" si="86"/>
        <v>4702</v>
      </c>
      <c r="N189" s="22">
        <f t="shared" si="87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84"/>
        <v>0</v>
      </c>
      <c r="J190" s="5"/>
      <c r="K190" s="5"/>
      <c r="L190" s="33">
        <f t="shared" si="85"/>
        <v>0</v>
      </c>
      <c r="M190" s="33">
        <f t="shared" si="86"/>
        <v>0</v>
      </c>
      <c r="N190" s="22">
        <f t="shared" si="87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84"/>
        <v>0</v>
      </c>
      <c r="J191" s="5"/>
      <c r="K191" s="5"/>
      <c r="L191" s="33">
        <f t="shared" si="85"/>
        <v>0</v>
      </c>
      <c r="M191" s="33">
        <f t="shared" si="86"/>
        <v>0</v>
      </c>
      <c r="N191" s="22">
        <f t="shared" si="87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 t="shared" ref="I193:I195" si="88">D193*(1-H193)</f>
        <v>0</v>
      </c>
      <c r="J193" s="5"/>
      <c r="K193" s="5"/>
      <c r="L193" s="33">
        <f t="shared" ref="L193:L195" si="89">E193*(1-H193)</f>
        <v>0</v>
      </c>
      <c r="M193" s="33">
        <f t="shared" ref="M193:M195" si="90">IF(J193="",L193,(E193/D193)*J193)</f>
        <v>0</v>
      </c>
      <c r="N193" s="22">
        <f t="shared" ref="N193:N195" si="91"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 t="shared" si="88"/>
        <v>0</v>
      </c>
      <c r="J194" s="5"/>
      <c r="K194" s="5"/>
      <c r="L194" s="33">
        <f t="shared" si="89"/>
        <v>0</v>
      </c>
      <c r="M194" s="33">
        <f t="shared" si="90"/>
        <v>0</v>
      </c>
      <c r="N194" s="22">
        <f t="shared" si="91"/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 t="shared" si="88"/>
        <v>0</v>
      </c>
      <c r="J195" s="5"/>
      <c r="K195" s="5"/>
      <c r="L195" s="33">
        <f t="shared" si="89"/>
        <v>0</v>
      </c>
      <c r="M195" s="33">
        <f t="shared" si="90"/>
        <v>0</v>
      </c>
      <c r="N195" s="22">
        <f t="shared" si="91"/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 t="shared" ref="I198:I199" si="92">D198*(1-H198)</f>
        <v>0</v>
      </c>
      <c r="J198" s="5"/>
      <c r="K198" s="5"/>
      <c r="L198" s="33">
        <f t="shared" ref="L198:L199" si="93">E198*(1-H198)</f>
        <v>0</v>
      </c>
      <c r="M198" s="33">
        <f t="shared" ref="M198:M199" si="94">IF(J198="",L198,(E198/D198)*J198)</f>
        <v>0</v>
      </c>
      <c r="N198" s="22">
        <f t="shared" ref="N198:N199" si="95"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 t="shared" si="92"/>
        <v>0</v>
      </c>
      <c r="J199" s="5"/>
      <c r="K199" s="5"/>
      <c r="L199" s="33">
        <f t="shared" si="93"/>
        <v>0</v>
      </c>
      <c r="M199" s="33">
        <f t="shared" si="94"/>
        <v>0</v>
      </c>
      <c r="N199" s="22">
        <f t="shared" si="95"/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96">D202*(1-H202)</f>
        <v>0</v>
      </c>
      <c r="J202" s="5"/>
      <c r="K202" s="5"/>
      <c r="L202" s="33">
        <f t="shared" ref="L202:L215" si="97">E202*(1-H202)</f>
        <v>0</v>
      </c>
      <c r="M202" s="33">
        <f t="shared" ref="M202:M215" si="98">IF(J202="",L202,(E202/D202)*J202)</f>
        <v>0</v>
      </c>
      <c r="N202" s="22">
        <f t="shared" ref="N202:N215" si="9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96"/>
        <v>0</v>
      </c>
      <c r="J203" s="5"/>
      <c r="K203" s="5"/>
      <c r="L203" s="33">
        <f t="shared" si="97"/>
        <v>0</v>
      </c>
      <c r="M203" s="33">
        <f t="shared" si="98"/>
        <v>0</v>
      </c>
      <c r="N203" s="22">
        <f t="shared" si="9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96"/>
        <v>0</v>
      </c>
      <c r="J204" s="5"/>
      <c r="K204" s="5"/>
      <c r="L204" s="33">
        <f t="shared" si="97"/>
        <v>0</v>
      </c>
      <c r="M204" s="33">
        <f t="shared" si="98"/>
        <v>0</v>
      </c>
      <c r="N204" s="22">
        <f t="shared" si="9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96"/>
        <v>0</v>
      </c>
      <c r="J205" s="5"/>
      <c r="K205" s="5"/>
      <c r="L205" s="33">
        <f t="shared" si="97"/>
        <v>0</v>
      </c>
      <c r="M205" s="33">
        <f t="shared" si="98"/>
        <v>0</v>
      </c>
      <c r="N205" s="22">
        <f t="shared" si="9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96"/>
        <v>0</v>
      </c>
      <c r="J206" s="5"/>
      <c r="K206" s="5"/>
      <c r="L206" s="33">
        <f t="shared" si="97"/>
        <v>0</v>
      </c>
      <c r="M206" s="33">
        <f t="shared" si="98"/>
        <v>0</v>
      </c>
      <c r="N206" s="22">
        <f t="shared" si="9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96"/>
        <v>0</v>
      </c>
      <c r="J207" s="5"/>
      <c r="K207" s="5"/>
      <c r="L207" s="33">
        <f t="shared" si="97"/>
        <v>0</v>
      </c>
      <c r="M207" s="33">
        <f t="shared" si="98"/>
        <v>0</v>
      </c>
      <c r="N207" s="22">
        <f t="shared" si="9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96"/>
        <v>0</v>
      </c>
      <c r="J208" s="5"/>
      <c r="K208" s="5"/>
      <c r="L208" s="33">
        <f t="shared" si="97"/>
        <v>0</v>
      </c>
      <c r="M208" s="33">
        <f t="shared" si="98"/>
        <v>0</v>
      </c>
      <c r="N208" s="22">
        <f t="shared" si="9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96"/>
        <v>0</v>
      </c>
      <c r="J209" s="5"/>
      <c r="K209" s="5"/>
      <c r="L209" s="33">
        <f t="shared" si="97"/>
        <v>0</v>
      </c>
      <c r="M209" s="33">
        <f t="shared" si="98"/>
        <v>0</v>
      </c>
      <c r="N209" s="22">
        <f t="shared" si="9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96"/>
        <v>0</v>
      </c>
      <c r="J210" s="5"/>
      <c r="K210" s="5"/>
      <c r="L210" s="33">
        <f t="shared" si="97"/>
        <v>0</v>
      </c>
      <c r="M210" s="33">
        <f t="shared" si="98"/>
        <v>0</v>
      </c>
      <c r="N210" s="22">
        <f t="shared" si="9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96"/>
        <v>0</v>
      </c>
      <c r="J211" s="5"/>
      <c r="K211" s="5"/>
      <c r="L211" s="33">
        <f t="shared" si="97"/>
        <v>0</v>
      </c>
      <c r="M211" s="33">
        <f t="shared" si="98"/>
        <v>0</v>
      </c>
      <c r="N211" s="22">
        <f t="shared" si="9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96"/>
        <v>0</v>
      </c>
      <c r="J212" s="5"/>
      <c r="K212" s="5"/>
      <c r="L212" s="33">
        <f t="shared" si="97"/>
        <v>0</v>
      </c>
      <c r="M212" s="33">
        <f t="shared" si="98"/>
        <v>0</v>
      </c>
      <c r="N212" s="22">
        <f t="shared" si="9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96"/>
        <v>0</v>
      </c>
      <c r="J213" s="5"/>
      <c r="K213" s="5"/>
      <c r="L213" s="33">
        <f t="shared" si="97"/>
        <v>0</v>
      </c>
      <c r="M213" s="33">
        <f t="shared" si="98"/>
        <v>0</v>
      </c>
      <c r="N213" s="22">
        <f t="shared" si="9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96"/>
        <v>0</v>
      </c>
      <c r="J214" s="5"/>
      <c r="K214" s="5"/>
      <c r="L214" s="33">
        <f t="shared" si="97"/>
        <v>0</v>
      </c>
      <c r="M214" s="33">
        <f t="shared" si="98"/>
        <v>0</v>
      </c>
      <c r="N214" s="22">
        <f t="shared" si="9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96"/>
        <v>0</v>
      </c>
      <c r="J215" s="5"/>
      <c r="K215" s="5"/>
      <c r="L215" s="33">
        <f t="shared" si="97"/>
        <v>0</v>
      </c>
      <c r="M215" s="33">
        <f t="shared" si="98"/>
        <v>0</v>
      </c>
      <c r="N215" s="22">
        <f t="shared" si="9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100">D217*(1-H217)</f>
        <v>0</v>
      </c>
      <c r="J217" s="5"/>
      <c r="K217" s="5"/>
      <c r="L217" s="33">
        <f t="shared" ref="L217:L231" si="101">E217*(1-H217)</f>
        <v>0</v>
      </c>
      <c r="M217" s="33">
        <f t="shared" ref="M217:M231" si="102">IF(J217="",L217,(E217/D217)*J217)</f>
        <v>0</v>
      </c>
      <c r="N217" s="22">
        <f t="shared" ref="N217:N231" si="10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100"/>
        <v>0</v>
      </c>
      <c r="J218" s="5"/>
      <c r="K218" s="5"/>
      <c r="L218" s="33">
        <f t="shared" si="101"/>
        <v>0</v>
      </c>
      <c r="M218" s="33">
        <f t="shared" si="102"/>
        <v>0</v>
      </c>
      <c r="N218" s="22">
        <f t="shared" si="10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100"/>
        <v>0</v>
      </c>
      <c r="J219" s="5"/>
      <c r="K219" s="5"/>
      <c r="L219" s="33">
        <f t="shared" si="101"/>
        <v>0</v>
      </c>
      <c r="M219" s="33">
        <f t="shared" si="102"/>
        <v>0</v>
      </c>
      <c r="N219" s="22">
        <f t="shared" si="10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100"/>
        <v>0</v>
      </c>
      <c r="J220" s="5"/>
      <c r="K220" s="5"/>
      <c r="L220" s="33">
        <f t="shared" si="101"/>
        <v>0</v>
      </c>
      <c r="M220" s="33">
        <f t="shared" si="102"/>
        <v>0</v>
      </c>
      <c r="N220" s="22">
        <f t="shared" si="10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100"/>
        <v>0</v>
      </c>
      <c r="J221" s="5"/>
      <c r="K221" s="5"/>
      <c r="L221" s="33">
        <f t="shared" si="101"/>
        <v>0</v>
      </c>
      <c r="M221" s="33">
        <f t="shared" si="102"/>
        <v>0</v>
      </c>
      <c r="N221" s="22">
        <f t="shared" si="10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100"/>
        <v>194.04000000000002</v>
      </c>
      <c r="J222" s="5"/>
      <c r="K222" s="5"/>
      <c r="L222" s="33">
        <f t="shared" si="101"/>
        <v>29362.620000000003</v>
      </c>
      <c r="M222" s="33">
        <f t="shared" si="102"/>
        <v>29362.620000000003</v>
      </c>
      <c r="N222" s="22">
        <f t="shared" si="10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100"/>
        <v>387.24</v>
      </c>
      <c r="J223" s="5"/>
      <c r="K223" s="5"/>
      <c r="L223" s="33">
        <f t="shared" si="101"/>
        <v>45410.400000000001</v>
      </c>
      <c r="M223" s="33">
        <f t="shared" si="102"/>
        <v>45410.400000000001</v>
      </c>
      <c r="N223" s="22">
        <f t="shared" si="10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100"/>
        <v>300.3</v>
      </c>
      <c r="J224" s="5"/>
      <c r="K224" s="5"/>
      <c r="L224" s="33">
        <f t="shared" si="101"/>
        <v>45451.9</v>
      </c>
      <c r="M224" s="33">
        <f t="shared" si="102"/>
        <v>45451.9</v>
      </c>
      <c r="N224" s="22">
        <f t="shared" si="10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100"/>
        <v>599.30000000000007</v>
      </c>
      <c r="J225" s="5"/>
      <c r="K225" s="5"/>
      <c r="L225" s="33">
        <f t="shared" si="101"/>
        <v>70292.95</v>
      </c>
      <c r="M225" s="33">
        <f t="shared" si="102"/>
        <v>70292.95</v>
      </c>
      <c r="N225" s="22">
        <f t="shared" si="10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100"/>
        <v>286.44</v>
      </c>
      <c r="J226" s="5"/>
      <c r="K226" s="5"/>
      <c r="L226" s="33">
        <f t="shared" si="101"/>
        <v>43373.34</v>
      </c>
      <c r="M226" s="33">
        <f t="shared" si="102"/>
        <v>43373.34</v>
      </c>
      <c r="N226" s="22">
        <f t="shared" si="10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100"/>
        <v>571.64</v>
      </c>
      <c r="J227" s="5"/>
      <c r="K227" s="5"/>
      <c r="L227" s="33">
        <f t="shared" si="101"/>
        <v>67078.42</v>
      </c>
      <c r="M227" s="33">
        <f t="shared" si="102"/>
        <v>67078.42</v>
      </c>
      <c r="N227" s="22">
        <f t="shared" si="10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100"/>
        <v>300.3</v>
      </c>
      <c r="J228" s="5"/>
      <c r="K228" s="5"/>
      <c r="L228" s="33">
        <f t="shared" si="101"/>
        <v>45511.700000000004</v>
      </c>
      <c r="M228" s="33">
        <f t="shared" si="102"/>
        <v>45511.700000000004</v>
      </c>
      <c r="N228" s="22">
        <f t="shared" si="10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100"/>
        <v>599.30000000000007</v>
      </c>
      <c r="J229" s="5"/>
      <c r="K229" s="5"/>
      <c r="L229" s="33">
        <f t="shared" si="101"/>
        <v>70385.900000000009</v>
      </c>
      <c r="M229" s="33">
        <f t="shared" si="102"/>
        <v>70385.900000000009</v>
      </c>
      <c r="N229" s="22">
        <f t="shared" si="10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100"/>
        <v>309.53999999999996</v>
      </c>
      <c r="J230" s="5"/>
      <c r="K230" s="5"/>
      <c r="L230" s="33">
        <f t="shared" si="101"/>
        <v>46932.829999999994</v>
      </c>
      <c r="M230" s="33">
        <f t="shared" si="102"/>
        <v>46932.829999999994</v>
      </c>
      <c r="N230" s="22">
        <f t="shared" si="10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100"/>
        <v>617.7399999999999</v>
      </c>
      <c r="J231" s="5"/>
      <c r="K231" s="5"/>
      <c r="L231" s="33">
        <f t="shared" si="101"/>
        <v>72583.109999999986</v>
      </c>
      <c r="M231" s="33">
        <f t="shared" si="102"/>
        <v>72583.109999999986</v>
      </c>
      <c r="N231" s="22">
        <f t="shared" si="10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104">D234*(1-H234)</f>
        <v>0</v>
      </c>
      <c r="J234" s="5"/>
      <c r="K234" s="5"/>
      <c r="L234" s="33">
        <f t="shared" ref="L234:L262" si="105">E234*(1-H234)</f>
        <v>0</v>
      </c>
      <c r="M234" s="33">
        <f t="shared" ref="M234:M262" si="106">IF(J234="",L234,(E234/D234)*J234)</f>
        <v>0</v>
      </c>
      <c r="N234" s="22">
        <f t="shared" ref="N234:N262" si="10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104"/>
        <v>0</v>
      </c>
      <c r="J235" s="5"/>
      <c r="K235" s="5"/>
      <c r="L235" s="33">
        <f t="shared" si="105"/>
        <v>0</v>
      </c>
      <c r="M235" s="33">
        <f t="shared" si="106"/>
        <v>0</v>
      </c>
      <c r="N235" s="22">
        <f t="shared" si="10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104"/>
        <v>0</v>
      </c>
      <c r="J236" s="5"/>
      <c r="K236" s="5"/>
      <c r="L236" s="33">
        <f t="shared" si="105"/>
        <v>0</v>
      </c>
      <c r="M236" s="33">
        <f t="shared" si="106"/>
        <v>0</v>
      </c>
      <c r="N236" s="22">
        <f t="shared" si="10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104"/>
        <v>0</v>
      </c>
      <c r="J237" s="5"/>
      <c r="K237" s="5"/>
      <c r="L237" s="33">
        <f t="shared" si="105"/>
        <v>0</v>
      </c>
      <c r="M237" s="33">
        <f t="shared" si="106"/>
        <v>0</v>
      </c>
      <c r="N237" s="22">
        <f t="shared" si="10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104"/>
        <v>0</v>
      </c>
      <c r="J238" s="5"/>
      <c r="K238" s="5"/>
      <c r="L238" s="33">
        <f t="shared" si="105"/>
        <v>0</v>
      </c>
      <c r="M238" s="33">
        <f t="shared" si="106"/>
        <v>0</v>
      </c>
      <c r="N238" s="22">
        <f t="shared" si="10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104"/>
        <v>0</v>
      </c>
      <c r="J239" s="5"/>
      <c r="K239" s="5"/>
      <c r="L239" s="33">
        <f t="shared" si="105"/>
        <v>0</v>
      </c>
      <c r="M239" s="33">
        <f t="shared" si="106"/>
        <v>0</v>
      </c>
      <c r="N239" s="22">
        <f t="shared" si="10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104"/>
        <v>0</v>
      </c>
      <c r="J240" s="5"/>
      <c r="K240" s="5"/>
      <c r="L240" s="33">
        <f t="shared" si="105"/>
        <v>0</v>
      </c>
      <c r="M240" s="33">
        <f t="shared" si="106"/>
        <v>0</v>
      </c>
      <c r="N240" s="22">
        <f t="shared" si="10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104"/>
        <v>0</v>
      </c>
      <c r="J241" s="5"/>
      <c r="K241" s="5"/>
      <c r="L241" s="33">
        <f t="shared" si="105"/>
        <v>0</v>
      </c>
      <c r="M241" s="33">
        <f t="shared" si="106"/>
        <v>0</v>
      </c>
      <c r="N241" s="22">
        <f t="shared" si="10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104"/>
        <v>0</v>
      </c>
      <c r="J242" s="5"/>
      <c r="K242" s="5"/>
      <c r="L242" s="33">
        <f t="shared" si="105"/>
        <v>0</v>
      </c>
      <c r="M242" s="33">
        <f t="shared" si="106"/>
        <v>0</v>
      </c>
      <c r="N242" s="22">
        <f t="shared" si="10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104"/>
        <v>0</v>
      </c>
      <c r="J243" s="5"/>
      <c r="K243" s="5"/>
      <c r="L243" s="33">
        <f t="shared" si="105"/>
        <v>0</v>
      </c>
      <c r="M243" s="33">
        <f t="shared" si="106"/>
        <v>0</v>
      </c>
      <c r="N243" s="22">
        <f t="shared" si="10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104"/>
        <v>0</v>
      </c>
      <c r="J244" s="5"/>
      <c r="K244" s="5"/>
      <c r="L244" s="33">
        <f t="shared" si="105"/>
        <v>0</v>
      </c>
      <c r="M244" s="33">
        <f t="shared" si="106"/>
        <v>0</v>
      </c>
      <c r="N244" s="22">
        <f t="shared" si="10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104"/>
        <v>0</v>
      </c>
      <c r="J245" s="5"/>
      <c r="K245" s="5"/>
      <c r="L245" s="33">
        <f t="shared" si="105"/>
        <v>0</v>
      </c>
      <c r="M245" s="33">
        <f t="shared" si="106"/>
        <v>0</v>
      </c>
      <c r="N245" s="22">
        <f t="shared" si="10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104"/>
        <v>0</v>
      </c>
      <c r="J246" s="5"/>
      <c r="K246" s="5"/>
      <c r="L246" s="33">
        <f t="shared" si="105"/>
        <v>0</v>
      </c>
      <c r="M246" s="33">
        <f t="shared" si="106"/>
        <v>0</v>
      </c>
      <c r="N246" s="22">
        <f t="shared" si="10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104"/>
        <v>0</v>
      </c>
      <c r="J247" s="5"/>
      <c r="K247" s="5"/>
      <c r="L247" s="33">
        <f t="shared" si="105"/>
        <v>0</v>
      </c>
      <c r="M247" s="33">
        <f t="shared" si="106"/>
        <v>0</v>
      </c>
      <c r="N247" s="22">
        <f t="shared" si="10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104"/>
        <v>0</v>
      </c>
      <c r="J248" s="5"/>
      <c r="K248" s="5"/>
      <c r="L248" s="33">
        <f t="shared" si="105"/>
        <v>0</v>
      </c>
      <c r="M248" s="33">
        <f t="shared" si="106"/>
        <v>0</v>
      </c>
      <c r="N248" s="22">
        <f t="shared" si="10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104"/>
        <v>0</v>
      </c>
      <c r="J249" s="5"/>
      <c r="K249" s="5"/>
      <c r="L249" s="33">
        <f t="shared" si="105"/>
        <v>0</v>
      </c>
      <c r="M249" s="33">
        <f t="shared" si="106"/>
        <v>0</v>
      </c>
      <c r="N249" s="22">
        <f t="shared" si="10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104"/>
        <v>0</v>
      </c>
      <c r="J250" s="5"/>
      <c r="K250" s="5"/>
      <c r="L250" s="33">
        <f t="shared" si="105"/>
        <v>0</v>
      </c>
      <c r="M250" s="33">
        <f t="shared" si="106"/>
        <v>0</v>
      </c>
      <c r="N250" s="22">
        <f t="shared" si="10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104"/>
        <v>0</v>
      </c>
      <c r="J251" s="5"/>
      <c r="K251" s="5"/>
      <c r="L251" s="33">
        <f t="shared" si="105"/>
        <v>0</v>
      </c>
      <c r="M251" s="33">
        <f t="shared" si="106"/>
        <v>0</v>
      </c>
      <c r="N251" s="22">
        <f t="shared" si="10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104"/>
        <v>0</v>
      </c>
      <c r="J252" s="5"/>
      <c r="K252" s="5"/>
      <c r="L252" s="33">
        <f t="shared" si="105"/>
        <v>0</v>
      </c>
      <c r="M252" s="33">
        <f t="shared" si="106"/>
        <v>0</v>
      </c>
      <c r="N252" s="22">
        <f t="shared" si="10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104"/>
        <v>0</v>
      </c>
      <c r="J253" s="5"/>
      <c r="K253" s="5"/>
      <c r="L253" s="33">
        <f t="shared" si="105"/>
        <v>0</v>
      </c>
      <c r="M253" s="33">
        <f t="shared" si="106"/>
        <v>0</v>
      </c>
      <c r="N253" s="22">
        <f t="shared" si="10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104"/>
        <v>0</v>
      </c>
      <c r="J254" s="5"/>
      <c r="K254" s="5"/>
      <c r="L254" s="33">
        <f t="shared" si="105"/>
        <v>0</v>
      </c>
      <c r="M254" s="33">
        <f t="shared" si="106"/>
        <v>0</v>
      </c>
      <c r="N254" s="22">
        <f t="shared" si="10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104"/>
        <v>0</v>
      </c>
      <c r="J255" s="5"/>
      <c r="K255" s="5"/>
      <c r="L255" s="33">
        <f t="shared" si="105"/>
        <v>0</v>
      </c>
      <c r="M255" s="33">
        <f t="shared" si="106"/>
        <v>0</v>
      </c>
      <c r="N255" s="22">
        <f t="shared" si="10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104"/>
        <v>0</v>
      </c>
      <c r="J256" s="5"/>
      <c r="K256" s="5"/>
      <c r="L256" s="33">
        <f t="shared" si="105"/>
        <v>0</v>
      </c>
      <c r="M256" s="33">
        <f t="shared" si="106"/>
        <v>0</v>
      </c>
      <c r="N256" s="22">
        <f t="shared" si="10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104"/>
        <v>0</v>
      </c>
      <c r="J257" s="5"/>
      <c r="K257" s="5"/>
      <c r="L257" s="33">
        <f t="shared" si="105"/>
        <v>0</v>
      </c>
      <c r="M257" s="33">
        <f t="shared" si="106"/>
        <v>0</v>
      </c>
      <c r="N257" s="22">
        <f t="shared" si="10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104"/>
        <v>0</v>
      </c>
      <c r="J258" s="5"/>
      <c r="K258" s="5"/>
      <c r="L258" s="33">
        <f t="shared" si="105"/>
        <v>0</v>
      </c>
      <c r="M258" s="33">
        <f t="shared" si="106"/>
        <v>0</v>
      </c>
      <c r="N258" s="22">
        <f t="shared" si="10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104"/>
        <v>0</v>
      </c>
      <c r="J259" s="5"/>
      <c r="K259" s="5"/>
      <c r="L259" s="33">
        <f t="shared" si="105"/>
        <v>0</v>
      </c>
      <c r="M259" s="33">
        <f t="shared" si="106"/>
        <v>0</v>
      </c>
      <c r="N259" s="22">
        <f t="shared" si="10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104"/>
        <v>0</v>
      </c>
      <c r="J260" s="5"/>
      <c r="K260" s="5"/>
      <c r="L260" s="33">
        <f t="shared" si="105"/>
        <v>0</v>
      </c>
      <c r="M260" s="33">
        <f t="shared" si="106"/>
        <v>0</v>
      </c>
      <c r="N260" s="22">
        <f t="shared" si="10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104"/>
        <v>0</v>
      </c>
      <c r="J261" s="5"/>
      <c r="K261" s="5"/>
      <c r="L261" s="33">
        <f t="shared" si="105"/>
        <v>0</v>
      </c>
      <c r="M261" s="33">
        <f t="shared" si="106"/>
        <v>0</v>
      </c>
      <c r="N261" s="22">
        <f t="shared" si="10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104"/>
        <v>0</v>
      </c>
      <c r="J262" s="5"/>
      <c r="K262" s="5"/>
      <c r="L262" s="33">
        <f t="shared" si="105"/>
        <v>0</v>
      </c>
      <c r="M262" s="33">
        <f t="shared" si="106"/>
        <v>0</v>
      </c>
      <c r="N262" s="22">
        <f t="shared" si="10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108">D264*(1-H264)</f>
        <v>0</v>
      </c>
      <c r="J264" s="5"/>
      <c r="K264" s="5"/>
      <c r="L264" s="33">
        <f t="shared" ref="L264:L279" si="109">E264*(1-H264)</f>
        <v>0</v>
      </c>
      <c r="M264" s="33">
        <f t="shared" ref="M264:M279" si="110">IF(J264="",L264,(E264/D264)*J264)</f>
        <v>0</v>
      </c>
      <c r="N264" s="22">
        <f t="shared" ref="N264:N279" si="11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108"/>
        <v>0</v>
      </c>
      <c r="J265" s="5"/>
      <c r="K265" s="5"/>
      <c r="L265" s="33">
        <f t="shared" si="109"/>
        <v>0</v>
      </c>
      <c r="M265" s="33">
        <f t="shared" si="110"/>
        <v>0</v>
      </c>
      <c r="N265" s="22">
        <f t="shared" si="11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108"/>
        <v>0</v>
      </c>
      <c r="J266" s="5"/>
      <c r="K266" s="5"/>
      <c r="L266" s="33">
        <f t="shared" si="109"/>
        <v>0</v>
      </c>
      <c r="M266" s="33">
        <f t="shared" si="110"/>
        <v>0</v>
      </c>
      <c r="N266" s="22">
        <f t="shared" si="11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108"/>
        <v>0</v>
      </c>
      <c r="J267" s="5"/>
      <c r="K267" s="5"/>
      <c r="L267" s="33">
        <f t="shared" si="109"/>
        <v>0</v>
      </c>
      <c r="M267" s="33">
        <f t="shared" si="110"/>
        <v>0</v>
      </c>
      <c r="N267" s="22">
        <f t="shared" si="11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108"/>
        <v>0</v>
      </c>
      <c r="J268" s="5"/>
      <c r="K268" s="5"/>
      <c r="L268" s="33">
        <f t="shared" si="109"/>
        <v>0</v>
      </c>
      <c r="M268" s="33">
        <f t="shared" si="110"/>
        <v>0</v>
      </c>
      <c r="N268" s="22">
        <f t="shared" si="11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108"/>
        <v>0</v>
      </c>
      <c r="J269" s="5"/>
      <c r="K269" s="5"/>
      <c r="L269" s="33">
        <f t="shared" si="109"/>
        <v>0</v>
      </c>
      <c r="M269" s="33">
        <f t="shared" si="110"/>
        <v>0</v>
      </c>
      <c r="N269" s="22">
        <f t="shared" si="11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108"/>
        <v>482.4</v>
      </c>
      <c r="J270" s="5"/>
      <c r="K270" s="5"/>
      <c r="L270" s="33">
        <f t="shared" si="109"/>
        <v>56704.109999999993</v>
      </c>
      <c r="M270" s="33">
        <f t="shared" si="110"/>
        <v>56704.109999999993</v>
      </c>
      <c r="N270" s="22">
        <f t="shared" si="11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108"/>
        <v>396.00000000000006</v>
      </c>
      <c r="J271" s="5"/>
      <c r="K271" s="5"/>
      <c r="L271" s="33">
        <f t="shared" si="109"/>
        <v>46209.350000000006</v>
      </c>
      <c r="M271" s="33">
        <f t="shared" si="110"/>
        <v>46209.350000000006</v>
      </c>
      <c r="N271" s="22">
        <f t="shared" si="11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108"/>
        <v>120.6</v>
      </c>
      <c r="J272" s="5"/>
      <c r="K272" s="5"/>
      <c r="L272" s="33">
        <f t="shared" si="109"/>
        <v>18293.009999999998</v>
      </c>
      <c r="M272" s="33">
        <f t="shared" si="110"/>
        <v>18293.009999999998</v>
      </c>
      <c r="N272" s="22">
        <f t="shared" si="11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108"/>
        <v>309.53999999999996</v>
      </c>
      <c r="J273" s="5"/>
      <c r="K273" s="5"/>
      <c r="L273" s="33">
        <f t="shared" si="109"/>
        <v>46997.149999999994</v>
      </c>
      <c r="M273" s="33">
        <f t="shared" si="110"/>
        <v>46997.149999999994</v>
      </c>
      <c r="N273" s="22">
        <f t="shared" si="11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108"/>
        <v>926.6099999999999</v>
      </c>
      <c r="J274" s="5"/>
      <c r="K274" s="5"/>
      <c r="L274" s="33">
        <f t="shared" si="109"/>
        <v>109023.73999999999</v>
      </c>
      <c r="M274" s="33">
        <f t="shared" si="110"/>
        <v>109023.73999999999</v>
      </c>
      <c r="N274" s="22">
        <f t="shared" si="11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108"/>
        <v>954.27</v>
      </c>
      <c r="J275" s="5"/>
      <c r="K275" s="5"/>
      <c r="L275" s="33">
        <f t="shared" si="109"/>
        <v>112330.62</v>
      </c>
      <c r="M275" s="33">
        <f t="shared" si="110"/>
        <v>112330.62</v>
      </c>
      <c r="N275" s="22">
        <f t="shared" si="11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108"/>
        <v>318.77999999999997</v>
      </c>
      <c r="J276" s="5"/>
      <c r="K276" s="5"/>
      <c r="L276" s="33">
        <f t="shared" si="109"/>
        <v>48422.82</v>
      </c>
      <c r="M276" s="33">
        <f t="shared" si="110"/>
        <v>48422.82</v>
      </c>
      <c r="N276" s="22">
        <f t="shared" si="11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108"/>
        <v>318.77999999999997</v>
      </c>
      <c r="J277" s="5"/>
      <c r="K277" s="5"/>
      <c r="L277" s="33">
        <f t="shared" si="109"/>
        <v>48436.619999999995</v>
      </c>
      <c r="M277" s="33">
        <f t="shared" si="110"/>
        <v>48436.619999999995</v>
      </c>
      <c r="N277" s="22">
        <f t="shared" si="11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108"/>
        <v>1192.32</v>
      </c>
      <c r="J278" s="5"/>
      <c r="K278" s="5"/>
      <c r="L278" s="33">
        <f t="shared" si="109"/>
        <v>181164.33</v>
      </c>
      <c r="M278" s="33">
        <f t="shared" si="110"/>
        <v>181164.33</v>
      </c>
      <c r="N278" s="22">
        <f t="shared" si="11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108"/>
        <v>954.27</v>
      </c>
      <c r="J279" s="5"/>
      <c r="K279" s="5"/>
      <c r="L279" s="33">
        <f t="shared" si="109"/>
        <v>112363.04999999999</v>
      </c>
      <c r="M279" s="33">
        <f t="shared" si="110"/>
        <v>112363.04999999999</v>
      </c>
      <c r="N279" s="22">
        <f t="shared" si="11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 t="shared" ref="I281:I283" si="112">D281*(1-H281)</f>
        <v>0</v>
      </c>
      <c r="J281" s="5"/>
      <c r="K281" s="5"/>
      <c r="L281" s="33">
        <f t="shared" ref="L281:L283" si="113">E281*(1-H281)</f>
        <v>0</v>
      </c>
      <c r="M281" s="33">
        <f t="shared" ref="M281:M283" si="114">IF(J281="",L281,(E281/D281)*J281)</f>
        <v>0</v>
      </c>
      <c r="N281" s="22">
        <f t="shared" ref="N281:N283" si="115"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 t="shared" si="112"/>
        <v>0</v>
      </c>
      <c r="J282" s="5"/>
      <c r="K282" s="5"/>
      <c r="L282" s="33">
        <f t="shared" si="113"/>
        <v>0</v>
      </c>
      <c r="M282" s="33">
        <f t="shared" si="114"/>
        <v>0</v>
      </c>
      <c r="N282" s="22">
        <f t="shared" si="115"/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 t="shared" si="112"/>
        <v>0</v>
      </c>
      <c r="J283" s="5"/>
      <c r="K283" s="5"/>
      <c r="L283" s="33">
        <f t="shared" si="113"/>
        <v>0</v>
      </c>
      <c r="M283" s="33">
        <f t="shared" si="114"/>
        <v>0</v>
      </c>
      <c r="N283" s="22">
        <f t="shared" si="115"/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116">D285*(1-H285)</f>
        <v>0</v>
      </c>
      <c r="J285" s="5"/>
      <c r="K285" s="5"/>
      <c r="L285" s="33">
        <f t="shared" ref="L285:L307" si="117">E285*(1-H285)</f>
        <v>0</v>
      </c>
      <c r="M285" s="33">
        <f t="shared" ref="M285:M307" si="118">IF(J285="",L285,(E285/D285)*J285)</f>
        <v>0</v>
      </c>
      <c r="N285" s="22">
        <f t="shared" ref="N285:N307" si="119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116"/>
        <v>0</v>
      </c>
      <c r="J286" s="5"/>
      <c r="K286" s="5"/>
      <c r="L286" s="33">
        <f t="shared" si="117"/>
        <v>0</v>
      </c>
      <c r="M286" s="33">
        <f t="shared" si="118"/>
        <v>0</v>
      </c>
      <c r="N286" s="22">
        <f t="shared" si="119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116"/>
        <v>0</v>
      </c>
      <c r="J287" s="5"/>
      <c r="K287" s="5"/>
      <c r="L287" s="33">
        <f t="shared" si="117"/>
        <v>0</v>
      </c>
      <c r="M287" s="33">
        <f t="shared" si="118"/>
        <v>0</v>
      </c>
      <c r="N287" s="22">
        <f t="shared" si="119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116"/>
        <v>0</v>
      </c>
      <c r="J288" s="5"/>
      <c r="K288" s="5"/>
      <c r="L288" s="33">
        <f t="shared" si="117"/>
        <v>0</v>
      </c>
      <c r="M288" s="33">
        <f t="shared" si="118"/>
        <v>0</v>
      </c>
      <c r="N288" s="22">
        <f t="shared" si="119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116"/>
        <v>0</v>
      </c>
      <c r="J289" s="5"/>
      <c r="K289" s="5"/>
      <c r="L289" s="33">
        <f t="shared" si="117"/>
        <v>0</v>
      </c>
      <c r="M289" s="33">
        <f t="shared" si="118"/>
        <v>0</v>
      </c>
      <c r="N289" s="22">
        <f t="shared" si="119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116"/>
        <v>0</v>
      </c>
      <c r="J290" s="5"/>
      <c r="K290" s="5"/>
      <c r="L290" s="33">
        <f t="shared" si="117"/>
        <v>0</v>
      </c>
      <c r="M290" s="33">
        <f t="shared" si="118"/>
        <v>0</v>
      </c>
      <c r="N290" s="22">
        <f t="shared" si="119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116"/>
        <v>0</v>
      </c>
      <c r="J291" s="5"/>
      <c r="K291" s="5"/>
      <c r="L291" s="33">
        <f t="shared" si="117"/>
        <v>0</v>
      </c>
      <c r="M291" s="33">
        <f t="shared" si="118"/>
        <v>0</v>
      </c>
      <c r="N291" s="22">
        <f t="shared" si="119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116"/>
        <v>0</v>
      </c>
      <c r="J292" s="5"/>
      <c r="K292" s="5"/>
      <c r="L292" s="33">
        <f t="shared" si="117"/>
        <v>0</v>
      </c>
      <c r="M292" s="33">
        <f t="shared" si="118"/>
        <v>0</v>
      </c>
      <c r="N292" s="22">
        <f t="shared" si="119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116"/>
        <v>0</v>
      </c>
      <c r="J293" s="5"/>
      <c r="K293" s="5"/>
      <c r="L293" s="33">
        <f t="shared" si="117"/>
        <v>0</v>
      </c>
      <c r="M293" s="33">
        <f t="shared" si="118"/>
        <v>0</v>
      </c>
      <c r="N293" s="22">
        <f t="shared" si="119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116"/>
        <v>0</v>
      </c>
      <c r="J294" s="5"/>
      <c r="K294" s="5"/>
      <c r="L294" s="33">
        <f t="shared" si="117"/>
        <v>0</v>
      </c>
      <c r="M294" s="33">
        <f t="shared" si="118"/>
        <v>0</v>
      </c>
      <c r="N294" s="22">
        <f t="shared" si="119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116"/>
        <v>0</v>
      </c>
      <c r="J295" s="5"/>
      <c r="K295" s="5"/>
      <c r="L295" s="33">
        <f t="shared" si="117"/>
        <v>0</v>
      </c>
      <c r="M295" s="33">
        <f t="shared" si="118"/>
        <v>0</v>
      </c>
      <c r="N295" s="22">
        <f t="shared" si="119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116"/>
        <v>0</v>
      </c>
      <c r="J296" s="5"/>
      <c r="K296" s="5"/>
      <c r="L296" s="33">
        <f t="shared" si="117"/>
        <v>0</v>
      </c>
      <c r="M296" s="33">
        <f t="shared" si="118"/>
        <v>0</v>
      </c>
      <c r="N296" s="22">
        <f t="shared" si="119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116"/>
        <v>0</v>
      </c>
      <c r="J297" s="5"/>
      <c r="K297" s="5"/>
      <c r="L297" s="33">
        <f t="shared" si="117"/>
        <v>0</v>
      </c>
      <c r="M297" s="33">
        <f t="shared" si="118"/>
        <v>0</v>
      </c>
      <c r="N297" s="22">
        <f t="shared" si="119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116"/>
        <v>0</v>
      </c>
      <c r="J298" s="5"/>
      <c r="K298" s="5"/>
      <c r="L298" s="33">
        <f t="shared" si="117"/>
        <v>0</v>
      </c>
      <c r="M298" s="33">
        <f t="shared" si="118"/>
        <v>0</v>
      </c>
      <c r="N298" s="22">
        <f t="shared" si="119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116"/>
        <v>0</v>
      </c>
      <c r="J299" s="5"/>
      <c r="K299" s="5"/>
      <c r="L299" s="33">
        <f t="shared" si="117"/>
        <v>0</v>
      </c>
      <c r="M299" s="33">
        <f t="shared" si="118"/>
        <v>0</v>
      </c>
      <c r="N299" s="22">
        <f t="shared" si="119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116"/>
        <v>0</v>
      </c>
      <c r="J300" s="5"/>
      <c r="K300" s="5"/>
      <c r="L300" s="33">
        <f t="shared" si="117"/>
        <v>0</v>
      </c>
      <c r="M300" s="33">
        <f t="shared" si="118"/>
        <v>0</v>
      </c>
      <c r="N300" s="22">
        <f t="shared" si="119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116"/>
        <v>0</v>
      </c>
      <c r="J301" s="5"/>
      <c r="K301" s="5"/>
      <c r="L301" s="33">
        <f t="shared" si="117"/>
        <v>0</v>
      </c>
      <c r="M301" s="33">
        <f t="shared" si="118"/>
        <v>0</v>
      </c>
      <c r="N301" s="22">
        <f t="shared" si="119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116"/>
        <v>0</v>
      </c>
      <c r="J302" s="5"/>
      <c r="K302" s="5"/>
      <c r="L302" s="33">
        <f t="shared" si="117"/>
        <v>0</v>
      </c>
      <c r="M302" s="33">
        <f t="shared" si="118"/>
        <v>0</v>
      </c>
      <c r="N302" s="22">
        <f t="shared" si="119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116"/>
        <v>0</v>
      </c>
      <c r="J303" s="5"/>
      <c r="K303" s="5"/>
      <c r="L303" s="33">
        <f t="shared" si="117"/>
        <v>0</v>
      </c>
      <c r="M303" s="33">
        <f t="shared" si="118"/>
        <v>0</v>
      </c>
      <c r="N303" s="22">
        <f t="shared" si="119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116"/>
        <v>0</v>
      </c>
      <c r="J304" s="5"/>
      <c r="K304" s="5"/>
      <c r="L304" s="33">
        <f t="shared" si="117"/>
        <v>0</v>
      </c>
      <c r="M304" s="33">
        <f t="shared" si="118"/>
        <v>0</v>
      </c>
      <c r="N304" s="22">
        <f t="shared" si="119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116"/>
        <v>0</v>
      </c>
      <c r="J305" s="5"/>
      <c r="K305" s="5"/>
      <c r="L305" s="33">
        <f t="shared" si="117"/>
        <v>0</v>
      </c>
      <c r="M305" s="33">
        <f t="shared" si="118"/>
        <v>0</v>
      </c>
      <c r="N305" s="22">
        <f t="shared" si="119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116"/>
        <v>0</v>
      </c>
      <c r="J306" s="5"/>
      <c r="K306" s="5"/>
      <c r="L306" s="33">
        <f t="shared" si="117"/>
        <v>0</v>
      </c>
      <c r="M306" s="33">
        <f t="shared" si="118"/>
        <v>0</v>
      </c>
      <c r="N306" s="22">
        <f t="shared" si="119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116"/>
        <v>0</v>
      </c>
      <c r="J307" s="5"/>
      <c r="K307" s="5"/>
      <c r="L307" s="33">
        <f t="shared" si="117"/>
        <v>0</v>
      </c>
      <c r="M307" s="33">
        <f t="shared" si="118"/>
        <v>0</v>
      </c>
      <c r="N307" s="22">
        <f t="shared" si="119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120">D309*(1-H309)</f>
        <v>0</v>
      </c>
      <c r="J309" s="5"/>
      <c r="K309" s="5"/>
      <c r="L309" s="33">
        <f t="shared" ref="L309:L337" si="121">E309*(1-H309)</f>
        <v>0</v>
      </c>
      <c r="M309" s="33">
        <f t="shared" ref="M309:M337" si="122">IF(J309="",L309,(E309/D309)*J309)</f>
        <v>0</v>
      </c>
      <c r="N309" s="22">
        <f t="shared" ref="N309:N337" si="123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120"/>
        <v>0</v>
      </c>
      <c r="J310" s="5"/>
      <c r="K310" s="5"/>
      <c r="L310" s="33">
        <f t="shared" si="121"/>
        <v>0</v>
      </c>
      <c r="M310" s="33">
        <f t="shared" si="122"/>
        <v>0</v>
      </c>
      <c r="N310" s="22">
        <f t="shared" si="123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120"/>
        <v>0</v>
      </c>
      <c r="J311" s="5"/>
      <c r="K311" s="5"/>
      <c r="L311" s="33">
        <f t="shared" si="121"/>
        <v>0</v>
      </c>
      <c r="M311" s="33">
        <f t="shared" si="122"/>
        <v>0</v>
      </c>
      <c r="N311" s="22">
        <f t="shared" si="123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120"/>
        <v>0</v>
      </c>
      <c r="J312" s="5"/>
      <c r="K312" s="5"/>
      <c r="L312" s="33">
        <f t="shared" si="121"/>
        <v>0</v>
      </c>
      <c r="M312" s="33">
        <f t="shared" si="122"/>
        <v>0</v>
      </c>
      <c r="N312" s="22">
        <f t="shared" si="123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120"/>
        <v>0</v>
      </c>
      <c r="J313" s="5"/>
      <c r="K313" s="5"/>
      <c r="L313" s="33">
        <f t="shared" si="121"/>
        <v>0</v>
      </c>
      <c r="M313" s="33">
        <f t="shared" si="122"/>
        <v>0</v>
      </c>
      <c r="N313" s="22">
        <f t="shared" si="123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120"/>
        <v>0</v>
      </c>
      <c r="J314" s="5"/>
      <c r="K314" s="5"/>
      <c r="L314" s="33">
        <f t="shared" si="121"/>
        <v>0</v>
      </c>
      <c r="M314" s="33">
        <f t="shared" si="122"/>
        <v>0</v>
      </c>
      <c r="N314" s="22">
        <f t="shared" si="123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120"/>
        <v>0</v>
      </c>
      <c r="J315" s="5"/>
      <c r="K315" s="5"/>
      <c r="L315" s="33">
        <f t="shared" si="121"/>
        <v>0</v>
      </c>
      <c r="M315" s="33">
        <f t="shared" si="122"/>
        <v>0</v>
      </c>
      <c r="N315" s="22">
        <f t="shared" si="123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120"/>
        <v>0</v>
      </c>
      <c r="J316" s="5"/>
      <c r="K316" s="5"/>
      <c r="L316" s="33">
        <f t="shared" si="121"/>
        <v>0</v>
      </c>
      <c r="M316" s="33">
        <f t="shared" si="122"/>
        <v>0</v>
      </c>
      <c r="N316" s="22">
        <f t="shared" si="123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120"/>
        <v>0</v>
      </c>
      <c r="J317" s="5"/>
      <c r="K317" s="5"/>
      <c r="L317" s="33">
        <f t="shared" si="121"/>
        <v>0</v>
      </c>
      <c r="M317" s="33">
        <f t="shared" si="122"/>
        <v>0</v>
      </c>
      <c r="N317" s="22">
        <f t="shared" si="123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120"/>
        <v>0</v>
      </c>
      <c r="J318" s="5"/>
      <c r="K318" s="5"/>
      <c r="L318" s="33">
        <f t="shared" si="121"/>
        <v>0</v>
      </c>
      <c r="M318" s="33">
        <f t="shared" si="122"/>
        <v>0</v>
      </c>
      <c r="N318" s="22">
        <f t="shared" si="123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120"/>
        <v>0</v>
      </c>
      <c r="J319" s="5"/>
      <c r="K319" s="5"/>
      <c r="L319" s="33">
        <f t="shared" si="121"/>
        <v>0</v>
      </c>
      <c r="M319" s="33">
        <f t="shared" si="122"/>
        <v>0</v>
      </c>
      <c r="N319" s="22">
        <f t="shared" si="123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120"/>
        <v>0</v>
      </c>
      <c r="J320" s="5"/>
      <c r="K320" s="5"/>
      <c r="L320" s="33">
        <f t="shared" si="121"/>
        <v>0</v>
      </c>
      <c r="M320" s="33">
        <f t="shared" si="122"/>
        <v>0</v>
      </c>
      <c r="N320" s="22">
        <f t="shared" si="123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120"/>
        <v>0</v>
      </c>
      <c r="J321" s="5"/>
      <c r="K321" s="5"/>
      <c r="L321" s="33">
        <f t="shared" si="121"/>
        <v>0</v>
      </c>
      <c r="M321" s="33">
        <f t="shared" si="122"/>
        <v>0</v>
      </c>
      <c r="N321" s="22">
        <f t="shared" si="123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120"/>
        <v>0</v>
      </c>
      <c r="J322" s="5"/>
      <c r="K322" s="5"/>
      <c r="L322" s="33">
        <f t="shared" si="121"/>
        <v>0</v>
      </c>
      <c r="M322" s="33">
        <f t="shared" si="122"/>
        <v>0</v>
      </c>
      <c r="N322" s="22">
        <f t="shared" si="123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120"/>
        <v>0</v>
      </c>
      <c r="J323" s="5"/>
      <c r="K323" s="5"/>
      <c r="L323" s="33">
        <f t="shared" si="121"/>
        <v>0</v>
      </c>
      <c r="M323" s="33">
        <f t="shared" si="122"/>
        <v>0</v>
      </c>
      <c r="N323" s="22">
        <f t="shared" si="123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120"/>
        <v>0</v>
      </c>
      <c r="J324" s="5"/>
      <c r="K324" s="5"/>
      <c r="L324" s="33">
        <f t="shared" si="121"/>
        <v>0</v>
      </c>
      <c r="M324" s="33">
        <f t="shared" si="122"/>
        <v>0</v>
      </c>
      <c r="N324" s="22">
        <f t="shared" si="123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120"/>
        <v>0</v>
      </c>
      <c r="J325" s="5"/>
      <c r="K325" s="5"/>
      <c r="L325" s="33">
        <f t="shared" si="121"/>
        <v>0</v>
      </c>
      <c r="M325" s="33">
        <f t="shared" si="122"/>
        <v>0</v>
      </c>
      <c r="N325" s="22">
        <f t="shared" si="123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120"/>
        <v>0</v>
      </c>
      <c r="J326" s="5"/>
      <c r="K326" s="5"/>
      <c r="L326" s="33">
        <f t="shared" si="121"/>
        <v>0</v>
      </c>
      <c r="M326" s="33">
        <f t="shared" si="122"/>
        <v>0</v>
      </c>
      <c r="N326" s="22">
        <f t="shared" si="123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120"/>
        <v>0</v>
      </c>
      <c r="J327" s="5"/>
      <c r="K327" s="5"/>
      <c r="L327" s="33">
        <f t="shared" si="121"/>
        <v>0</v>
      </c>
      <c r="M327" s="33">
        <f t="shared" si="122"/>
        <v>0</v>
      </c>
      <c r="N327" s="22">
        <f t="shared" si="123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120"/>
        <v>0</v>
      </c>
      <c r="J328" s="5"/>
      <c r="K328" s="5"/>
      <c r="L328" s="33">
        <f t="shared" si="121"/>
        <v>0</v>
      </c>
      <c r="M328" s="33">
        <f t="shared" si="122"/>
        <v>0</v>
      </c>
      <c r="N328" s="22">
        <f t="shared" si="123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120"/>
        <v>0</v>
      </c>
      <c r="J329" s="5"/>
      <c r="K329" s="5"/>
      <c r="L329" s="33">
        <f t="shared" si="121"/>
        <v>0</v>
      </c>
      <c r="M329" s="33">
        <f t="shared" si="122"/>
        <v>0</v>
      </c>
      <c r="N329" s="22">
        <f t="shared" si="123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120"/>
        <v>0</v>
      </c>
      <c r="J330" s="5"/>
      <c r="K330" s="5"/>
      <c r="L330" s="33">
        <f t="shared" si="121"/>
        <v>0</v>
      </c>
      <c r="M330" s="33">
        <f t="shared" si="122"/>
        <v>0</v>
      </c>
      <c r="N330" s="22">
        <f t="shared" si="123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120"/>
        <v>0</v>
      </c>
      <c r="J331" s="5"/>
      <c r="K331" s="5"/>
      <c r="L331" s="33">
        <f t="shared" si="121"/>
        <v>0</v>
      </c>
      <c r="M331" s="33">
        <f t="shared" si="122"/>
        <v>0</v>
      </c>
      <c r="N331" s="22">
        <f t="shared" si="123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120"/>
        <v>0</v>
      </c>
      <c r="J332" s="5"/>
      <c r="K332" s="5"/>
      <c r="L332" s="33">
        <f t="shared" si="121"/>
        <v>0</v>
      </c>
      <c r="M332" s="33">
        <f t="shared" si="122"/>
        <v>0</v>
      </c>
      <c r="N332" s="22">
        <f t="shared" si="123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120"/>
        <v>0</v>
      </c>
      <c r="J333" s="5"/>
      <c r="K333" s="5"/>
      <c r="L333" s="33">
        <f t="shared" si="121"/>
        <v>0</v>
      </c>
      <c r="M333" s="33">
        <f t="shared" si="122"/>
        <v>0</v>
      </c>
      <c r="N333" s="22">
        <f t="shared" si="123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120"/>
        <v>0</v>
      </c>
      <c r="J334" s="5"/>
      <c r="K334" s="5"/>
      <c r="L334" s="33">
        <f t="shared" si="121"/>
        <v>0</v>
      </c>
      <c r="M334" s="33">
        <f t="shared" si="122"/>
        <v>0</v>
      </c>
      <c r="N334" s="22">
        <f t="shared" si="123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120"/>
        <v>0</v>
      </c>
      <c r="J335" s="5"/>
      <c r="K335" s="5"/>
      <c r="L335" s="33">
        <f t="shared" si="121"/>
        <v>0</v>
      </c>
      <c r="M335" s="33">
        <f t="shared" si="122"/>
        <v>0</v>
      </c>
      <c r="N335" s="22">
        <f t="shared" si="123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120"/>
        <v>0</v>
      </c>
      <c r="J336" s="5"/>
      <c r="K336" s="5"/>
      <c r="L336" s="33">
        <f t="shared" si="121"/>
        <v>0</v>
      </c>
      <c r="M336" s="33">
        <f t="shared" si="122"/>
        <v>0</v>
      </c>
      <c r="N336" s="22">
        <f t="shared" si="123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120"/>
        <v>0</v>
      </c>
      <c r="J337" s="5"/>
      <c r="K337" s="5"/>
      <c r="L337" s="33">
        <f t="shared" si="121"/>
        <v>0</v>
      </c>
      <c r="M337" s="33">
        <f t="shared" si="122"/>
        <v>0</v>
      </c>
      <c r="N337" s="22">
        <f t="shared" si="123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 t="shared" ref="I340:I341" si="124">D340*(1-H340)</f>
        <v>0</v>
      </c>
      <c r="J340" s="5"/>
      <c r="K340" s="5"/>
      <c r="L340" s="33">
        <f t="shared" ref="L340:L341" si="125">E340*(1-H340)</f>
        <v>0</v>
      </c>
      <c r="M340" s="33">
        <f t="shared" ref="M340:M341" si="126">IF(J340="",L340,(E340/D340)*J340)</f>
        <v>0</v>
      </c>
      <c r="N340" s="22">
        <f t="shared" ref="N340:N341" si="127"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 t="shared" si="124"/>
        <v>0</v>
      </c>
      <c r="J341" s="5"/>
      <c r="K341" s="5"/>
      <c r="L341" s="33">
        <f t="shared" si="125"/>
        <v>0</v>
      </c>
      <c r="M341" s="33">
        <f t="shared" si="126"/>
        <v>0</v>
      </c>
      <c r="N341" s="22">
        <f t="shared" si="127"/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 t="shared" ref="I343:I347" si="128">D343*(1-H343)</f>
        <v>0</v>
      </c>
      <c r="J343" s="5"/>
      <c r="K343" s="5"/>
      <c r="L343" s="33">
        <f t="shared" ref="L343:L347" si="129">E343*(1-H343)</f>
        <v>0</v>
      </c>
      <c r="M343" s="33">
        <f t="shared" ref="M343:M347" si="130">IF(J343="",L343,(E343/D343)*J343)</f>
        <v>0</v>
      </c>
      <c r="N343" s="22">
        <f t="shared" ref="N343:N347" si="131"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 t="shared" si="128"/>
        <v>0</v>
      </c>
      <c r="J344" s="5"/>
      <c r="K344" s="5"/>
      <c r="L344" s="33">
        <f t="shared" si="129"/>
        <v>0</v>
      </c>
      <c r="M344" s="33">
        <f t="shared" si="130"/>
        <v>0</v>
      </c>
      <c r="N344" s="22">
        <f t="shared" si="131"/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 t="shared" si="128"/>
        <v>0</v>
      </c>
      <c r="J345" s="5"/>
      <c r="K345" s="5"/>
      <c r="L345" s="33">
        <f t="shared" si="129"/>
        <v>0</v>
      </c>
      <c r="M345" s="33">
        <f t="shared" si="130"/>
        <v>0</v>
      </c>
      <c r="N345" s="22">
        <f t="shared" si="131"/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 t="shared" si="128"/>
        <v>0</v>
      </c>
      <c r="J346" s="5"/>
      <c r="K346" s="5"/>
      <c r="L346" s="33">
        <f t="shared" si="129"/>
        <v>0</v>
      </c>
      <c r="M346" s="33">
        <f t="shared" si="130"/>
        <v>0</v>
      </c>
      <c r="N346" s="22">
        <f t="shared" si="131"/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 t="shared" si="128"/>
        <v>0</v>
      </c>
      <c r="J347" s="5"/>
      <c r="K347" s="5"/>
      <c r="L347" s="33">
        <f t="shared" si="129"/>
        <v>0</v>
      </c>
      <c r="M347" s="33">
        <f t="shared" si="130"/>
        <v>0</v>
      </c>
      <c r="N347" s="22">
        <f t="shared" si="131"/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 t="shared" ref="I349:I351" si="132">D349*(1-H349)</f>
        <v>0</v>
      </c>
      <c r="J349" s="5"/>
      <c r="K349" s="5"/>
      <c r="L349" s="33">
        <f t="shared" ref="L349:L351" si="133">E349*(1-H349)</f>
        <v>0</v>
      </c>
      <c r="M349" s="33">
        <f t="shared" ref="M349:M351" si="134">IF(J349="",L349,(E349/D349)*J349)</f>
        <v>0</v>
      </c>
      <c r="N349" s="22">
        <f t="shared" ref="N349:N351" si="135"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 t="shared" si="132"/>
        <v>0</v>
      </c>
      <c r="J350" s="5"/>
      <c r="K350" s="5"/>
      <c r="L350" s="33">
        <f t="shared" si="133"/>
        <v>0</v>
      </c>
      <c r="M350" s="33">
        <f t="shared" si="134"/>
        <v>0</v>
      </c>
      <c r="N350" s="22">
        <f t="shared" si="135"/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 t="shared" si="132"/>
        <v>0</v>
      </c>
      <c r="J351" s="5"/>
      <c r="K351" s="5"/>
      <c r="L351" s="33">
        <f t="shared" si="133"/>
        <v>0</v>
      </c>
      <c r="M351" s="33">
        <f t="shared" si="134"/>
        <v>0</v>
      </c>
      <c r="N351" s="22">
        <f t="shared" si="135"/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136">D354*(1-H354)</f>
        <v>0</v>
      </c>
      <c r="J354" s="5"/>
      <c r="K354" s="5"/>
      <c r="L354" s="33">
        <f t="shared" ref="L354:L405" si="137">E354*(1-H354)</f>
        <v>0</v>
      </c>
      <c r="M354" s="33">
        <f t="shared" ref="M354:M405" si="138">IF(J354="",L354,(E354/D354)*J354)</f>
        <v>0</v>
      </c>
      <c r="N354" s="22">
        <f t="shared" ref="N354:N405" si="139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136"/>
        <v>0</v>
      </c>
      <c r="J355" s="5"/>
      <c r="K355" s="5"/>
      <c r="L355" s="33">
        <f t="shared" si="137"/>
        <v>0</v>
      </c>
      <c r="M355" s="33">
        <f t="shared" si="138"/>
        <v>0</v>
      </c>
      <c r="N355" s="22">
        <f t="shared" si="139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136"/>
        <v>0</v>
      </c>
      <c r="J356" s="5"/>
      <c r="K356" s="5"/>
      <c r="L356" s="33">
        <f t="shared" si="137"/>
        <v>0</v>
      </c>
      <c r="M356" s="33">
        <f t="shared" si="138"/>
        <v>0</v>
      </c>
      <c r="N356" s="22">
        <f t="shared" si="139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136"/>
        <v>0</v>
      </c>
      <c r="J357" s="5"/>
      <c r="K357" s="5"/>
      <c r="L357" s="33">
        <f t="shared" si="137"/>
        <v>0</v>
      </c>
      <c r="M357" s="33">
        <f t="shared" si="138"/>
        <v>0</v>
      </c>
      <c r="N357" s="22">
        <f t="shared" si="139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136"/>
        <v>0</v>
      </c>
      <c r="J358" s="5"/>
      <c r="K358" s="5"/>
      <c r="L358" s="33">
        <f t="shared" si="137"/>
        <v>0</v>
      </c>
      <c r="M358" s="33">
        <f t="shared" si="138"/>
        <v>0</v>
      </c>
      <c r="N358" s="22">
        <f t="shared" si="139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136"/>
        <v>0</v>
      </c>
      <c r="J359" s="5"/>
      <c r="K359" s="5"/>
      <c r="L359" s="33">
        <f t="shared" si="137"/>
        <v>0</v>
      </c>
      <c r="M359" s="33">
        <f t="shared" si="138"/>
        <v>0</v>
      </c>
      <c r="N359" s="22">
        <f t="shared" si="139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136"/>
        <v>0</v>
      </c>
      <c r="J360" s="5"/>
      <c r="K360" s="5"/>
      <c r="L360" s="33">
        <f t="shared" si="137"/>
        <v>0</v>
      </c>
      <c r="M360" s="33">
        <f t="shared" si="138"/>
        <v>0</v>
      </c>
      <c r="N360" s="22">
        <f t="shared" si="139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136"/>
        <v>0</v>
      </c>
      <c r="J361" s="5"/>
      <c r="K361" s="5"/>
      <c r="L361" s="33">
        <f t="shared" si="137"/>
        <v>0</v>
      </c>
      <c r="M361" s="33">
        <f t="shared" si="138"/>
        <v>0</v>
      </c>
      <c r="N361" s="22">
        <f t="shared" si="139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136"/>
        <v>0</v>
      </c>
      <c r="J362" s="5"/>
      <c r="K362" s="5"/>
      <c r="L362" s="33">
        <f t="shared" si="137"/>
        <v>0</v>
      </c>
      <c r="M362" s="33">
        <f t="shared" si="138"/>
        <v>0</v>
      </c>
      <c r="N362" s="22">
        <f t="shared" si="139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136"/>
        <v>0</v>
      </c>
      <c r="J363" s="5"/>
      <c r="K363" s="5"/>
      <c r="L363" s="33">
        <f t="shared" si="137"/>
        <v>0</v>
      </c>
      <c r="M363" s="33">
        <f t="shared" si="138"/>
        <v>0</v>
      </c>
      <c r="N363" s="22">
        <f t="shared" si="139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136"/>
        <v>0</v>
      </c>
      <c r="J364" s="5"/>
      <c r="K364" s="5"/>
      <c r="L364" s="33">
        <f t="shared" si="137"/>
        <v>0</v>
      </c>
      <c r="M364" s="33">
        <f t="shared" si="138"/>
        <v>0</v>
      </c>
      <c r="N364" s="22">
        <f t="shared" si="139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136"/>
        <v>0</v>
      </c>
      <c r="J365" s="5"/>
      <c r="K365" s="5"/>
      <c r="L365" s="33">
        <f t="shared" si="137"/>
        <v>0</v>
      </c>
      <c r="M365" s="33">
        <f t="shared" si="138"/>
        <v>0</v>
      </c>
      <c r="N365" s="22">
        <f t="shared" si="139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136"/>
        <v>0</v>
      </c>
      <c r="J366" s="5"/>
      <c r="K366" s="5"/>
      <c r="L366" s="33">
        <f t="shared" si="137"/>
        <v>0</v>
      </c>
      <c r="M366" s="33">
        <f t="shared" si="138"/>
        <v>0</v>
      </c>
      <c r="N366" s="22">
        <f t="shared" si="139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136"/>
        <v>0</v>
      </c>
      <c r="J367" s="5"/>
      <c r="K367" s="5"/>
      <c r="L367" s="33">
        <f t="shared" si="137"/>
        <v>0</v>
      </c>
      <c r="M367" s="33">
        <f t="shared" si="138"/>
        <v>0</v>
      </c>
      <c r="N367" s="22">
        <f t="shared" si="139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136"/>
        <v>0</v>
      </c>
      <c r="J368" s="5"/>
      <c r="K368" s="5"/>
      <c r="L368" s="33">
        <f t="shared" si="137"/>
        <v>0</v>
      </c>
      <c r="M368" s="33">
        <f t="shared" si="138"/>
        <v>0</v>
      </c>
      <c r="N368" s="22">
        <f t="shared" si="139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136"/>
        <v>0</v>
      </c>
      <c r="J369" s="5"/>
      <c r="K369" s="5"/>
      <c r="L369" s="33">
        <f t="shared" si="137"/>
        <v>0</v>
      </c>
      <c r="M369" s="33">
        <f t="shared" si="138"/>
        <v>0</v>
      </c>
      <c r="N369" s="22">
        <f t="shared" si="139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136"/>
        <v>0</v>
      </c>
      <c r="J370" s="5"/>
      <c r="K370" s="5"/>
      <c r="L370" s="33">
        <f t="shared" si="137"/>
        <v>0</v>
      </c>
      <c r="M370" s="33">
        <f t="shared" si="138"/>
        <v>0</v>
      </c>
      <c r="N370" s="22">
        <f t="shared" si="139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136"/>
        <v>0</v>
      </c>
      <c r="J371" s="5"/>
      <c r="K371" s="5"/>
      <c r="L371" s="33">
        <f t="shared" si="137"/>
        <v>0</v>
      </c>
      <c r="M371" s="33">
        <f t="shared" si="138"/>
        <v>0</v>
      </c>
      <c r="N371" s="22">
        <f t="shared" si="139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136"/>
        <v>0</v>
      </c>
      <c r="J372" s="5"/>
      <c r="K372" s="5"/>
      <c r="L372" s="33">
        <f t="shared" si="137"/>
        <v>0</v>
      </c>
      <c r="M372" s="33">
        <f t="shared" si="138"/>
        <v>0</v>
      </c>
      <c r="N372" s="22">
        <f t="shared" si="139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136"/>
        <v>0</v>
      </c>
      <c r="J373" s="5"/>
      <c r="K373" s="5"/>
      <c r="L373" s="33">
        <f t="shared" si="137"/>
        <v>0</v>
      </c>
      <c r="M373" s="33">
        <f t="shared" si="138"/>
        <v>0</v>
      </c>
      <c r="N373" s="22">
        <f t="shared" si="139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136"/>
        <v>0</v>
      </c>
      <c r="J374" s="5"/>
      <c r="K374" s="5"/>
      <c r="L374" s="33">
        <f t="shared" si="137"/>
        <v>0</v>
      </c>
      <c r="M374" s="33">
        <f t="shared" si="138"/>
        <v>0</v>
      </c>
      <c r="N374" s="22">
        <f t="shared" si="139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136"/>
        <v>0</v>
      </c>
      <c r="J375" s="5"/>
      <c r="K375" s="5"/>
      <c r="L375" s="33">
        <f t="shared" si="137"/>
        <v>0</v>
      </c>
      <c r="M375" s="33">
        <f t="shared" si="138"/>
        <v>0</v>
      </c>
      <c r="N375" s="22">
        <f t="shared" si="139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136"/>
        <v>0</v>
      </c>
      <c r="J376" s="5"/>
      <c r="K376" s="5"/>
      <c r="L376" s="33">
        <f t="shared" si="137"/>
        <v>0</v>
      </c>
      <c r="M376" s="33">
        <f t="shared" si="138"/>
        <v>0</v>
      </c>
      <c r="N376" s="22">
        <f t="shared" si="139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136"/>
        <v>0</v>
      </c>
      <c r="J377" s="5"/>
      <c r="K377" s="5"/>
      <c r="L377" s="33">
        <f t="shared" si="137"/>
        <v>0</v>
      </c>
      <c r="M377" s="33">
        <f t="shared" si="138"/>
        <v>0</v>
      </c>
      <c r="N377" s="22">
        <f t="shared" si="139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136"/>
        <v>0</v>
      </c>
      <c r="J378" s="5"/>
      <c r="K378" s="5"/>
      <c r="L378" s="33">
        <f t="shared" si="137"/>
        <v>0</v>
      </c>
      <c r="M378" s="33">
        <f t="shared" si="138"/>
        <v>0</v>
      </c>
      <c r="N378" s="22">
        <f t="shared" si="139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136"/>
        <v>0</v>
      </c>
      <c r="J379" s="5"/>
      <c r="K379" s="5"/>
      <c r="L379" s="33">
        <f t="shared" si="137"/>
        <v>0</v>
      </c>
      <c r="M379" s="33">
        <f t="shared" si="138"/>
        <v>0</v>
      </c>
      <c r="N379" s="22">
        <f t="shared" si="139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136"/>
        <v>0</v>
      </c>
      <c r="J380" s="5"/>
      <c r="K380" s="5"/>
      <c r="L380" s="33">
        <f t="shared" si="137"/>
        <v>0</v>
      </c>
      <c r="M380" s="33">
        <f t="shared" si="138"/>
        <v>0</v>
      </c>
      <c r="N380" s="22">
        <f t="shared" si="139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136"/>
        <v>0</v>
      </c>
      <c r="J381" s="5"/>
      <c r="K381" s="5"/>
      <c r="L381" s="33">
        <f t="shared" si="137"/>
        <v>0</v>
      </c>
      <c r="M381" s="33">
        <f t="shared" si="138"/>
        <v>0</v>
      </c>
      <c r="N381" s="22">
        <f t="shared" si="139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136"/>
        <v>0</v>
      </c>
      <c r="J382" s="5"/>
      <c r="K382" s="5"/>
      <c r="L382" s="33">
        <f t="shared" si="137"/>
        <v>0</v>
      </c>
      <c r="M382" s="33">
        <f t="shared" si="138"/>
        <v>0</v>
      </c>
      <c r="N382" s="22">
        <f t="shared" si="139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136"/>
        <v>0</v>
      </c>
      <c r="J383" s="5"/>
      <c r="K383" s="5"/>
      <c r="L383" s="33">
        <f t="shared" si="137"/>
        <v>0</v>
      </c>
      <c r="M383" s="33">
        <f t="shared" si="138"/>
        <v>0</v>
      </c>
      <c r="N383" s="22">
        <f t="shared" si="139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136"/>
        <v>0</v>
      </c>
      <c r="J384" s="5"/>
      <c r="K384" s="5"/>
      <c r="L384" s="33">
        <f t="shared" si="137"/>
        <v>0</v>
      </c>
      <c r="M384" s="33">
        <f t="shared" si="138"/>
        <v>0</v>
      </c>
      <c r="N384" s="22">
        <f t="shared" si="139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136"/>
        <v>0</v>
      </c>
      <c r="J385" s="5"/>
      <c r="K385" s="5"/>
      <c r="L385" s="33">
        <f t="shared" si="137"/>
        <v>0</v>
      </c>
      <c r="M385" s="33">
        <f t="shared" si="138"/>
        <v>0</v>
      </c>
      <c r="N385" s="22">
        <f t="shared" si="139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136"/>
        <v>0</v>
      </c>
      <c r="J386" s="5"/>
      <c r="K386" s="5"/>
      <c r="L386" s="33">
        <f t="shared" si="137"/>
        <v>0</v>
      </c>
      <c r="M386" s="33">
        <f t="shared" si="138"/>
        <v>0</v>
      </c>
      <c r="N386" s="22">
        <f t="shared" si="139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136"/>
        <v>0</v>
      </c>
      <c r="J387" s="5"/>
      <c r="K387" s="5"/>
      <c r="L387" s="33">
        <f t="shared" si="137"/>
        <v>0</v>
      </c>
      <c r="M387" s="33">
        <f t="shared" si="138"/>
        <v>0</v>
      </c>
      <c r="N387" s="22">
        <f t="shared" si="139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136"/>
        <v>0</v>
      </c>
      <c r="J388" s="5"/>
      <c r="K388" s="5"/>
      <c r="L388" s="33">
        <f t="shared" si="137"/>
        <v>0</v>
      </c>
      <c r="M388" s="33">
        <f t="shared" si="138"/>
        <v>0</v>
      </c>
      <c r="N388" s="22">
        <f t="shared" si="139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136"/>
        <v>0</v>
      </c>
      <c r="J389" s="5"/>
      <c r="K389" s="5"/>
      <c r="L389" s="33">
        <f t="shared" si="137"/>
        <v>0</v>
      </c>
      <c r="M389" s="33">
        <f t="shared" si="138"/>
        <v>0</v>
      </c>
      <c r="N389" s="22">
        <f t="shared" si="139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136"/>
        <v>0</v>
      </c>
      <c r="J390" s="5"/>
      <c r="K390" s="5"/>
      <c r="L390" s="33">
        <f t="shared" si="137"/>
        <v>0</v>
      </c>
      <c r="M390" s="33">
        <f t="shared" si="138"/>
        <v>0</v>
      </c>
      <c r="N390" s="22">
        <f t="shared" si="139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136"/>
        <v>0</v>
      </c>
      <c r="J391" s="5"/>
      <c r="K391" s="5"/>
      <c r="L391" s="33">
        <f t="shared" si="137"/>
        <v>0</v>
      </c>
      <c r="M391" s="33">
        <f t="shared" si="138"/>
        <v>0</v>
      </c>
      <c r="N391" s="22">
        <f t="shared" si="139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136"/>
        <v>0</v>
      </c>
      <c r="J392" s="5"/>
      <c r="K392" s="5"/>
      <c r="L392" s="33">
        <f t="shared" si="137"/>
        <v>0</v>
      </c>
      <c r="M392" s="33">
        <f t="shared" si="138"/>
        <v>0</v>
      </c>
      <c r="N392" s="22">
        <f t="shared" si="139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136"/>
        <v>0</v>
      </c>
      <c r="J393" s="5"/>
      <c r="K393" s="5"/>
      <c r="L393" s="33">
        <f t="shared" si="137"/>
        <v>0</v>
      </c>
      <c r="M393" s="33">
        <f t="shared" si="138"/>
        <v>0</v>
      </c>
      <c r="N393" s="22">
        <f t="shared" si="139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136"/>
        <v>0</v>
      </c>
      <c r="J394" s="5"/>
      <c r="K394" s="5"/>
      <c r="L394" s="33">
        <f t="shared" si="137"/>
        <v>0</v>
      </c>
      <c r="M394" s="33">
        <f t="shared" si="138"/>
        <v>0</v>
      </c>
      <c r="N394" s="22">
        <f t="shared" si="139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136"/>
        <v>0</v>
      </c>
      <c r="J395" s="5"/>
      <c r="K395" s="5"/>
      <c r="L395" s="33">
        <f t="shared" si="137"/>
        <v>0</v>
      </c>
      <c r="M395" s="33">
        <f t="shared" si="138"/>
        <v>0</v>
      </c>
      <c r="N395" s="22">
        <f t="shared" si="139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136"/>
        <v>0</v>
      </c>
      <c r="J396" s="5"/>
      <c r="K396" s="5"/>
      <c r="L396" s="33">
        <f t="shared" si="137"/>
        <v>0</v>
      </c>
      <c r="M396" s="33">
        <f t="shared" si="138"/>
        <v>0</v>
      </c>
      <c r="N396" s="22">
        <f t="shared" si="139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136"/>
        <v>0</v>
      </c>
      <c r="J397" s="5"/>
      <c r="K397" s="5"/>
      <c r="L397" s="33">
        <f t="shared" si="137"/>
        <v>0</v>
      </c>
      <c r="M397" s="33">
        <f t="shared" si="138"/>
        <v>0</v>
      </c>
      <c r="N397" s="22">
        <f t="shared" si="139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136"/>
        <v>0</v>
      </c>
      <c r="J398" s="5"/>
      <c r="K398" s="5"/>
      <c r="L398" s="33">
        <f t="shared" si="137"/>
        <v>0</v>
      </c>
      <c r="M398" s="33">
        <f t="shared" si="138"/>
        <v>0</v>
      </c>
      <c r="N398" s="22">
        <f t="shared" si="139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136"/>
        <v>0</v>
      </c>
      <c r="J399" s="5"/>
      <c r="K399" s="5"/>
      <c r="L399" s="33">
        <f t="shared" si="137"/>
        <v>0</v>
      </c>
      <c r="M399" s="33">
        <f t="shared" si="138"/>
        <v>0</v>
      </c>
      <c r="N399" s="22">
        <f t="shared" si="139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136"/>
        <v>0</v>
      </c>
      <c r="J400" s="5"/>
      <c r="K400" s="5"/>
      <c r="L400" s="33">
        <f t="shared" si="137"/>
        <v>0</v>
      </c>
      <c r="M400" s="33">
        <f t="shared" si="138"/>
        <v>0</v>
      </c>
      <c r="N400" s="22">
        <f t="shared" si="139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136"/>
        <v>0</v>
      </c>
      <c r="J401" s="5"/>
      <c r="K401" s="5"/>
      <c r="L401" s="33">
        <f t="shared" si="137"/>
        <v>0</v>
      </c>
      <c r="M401" s="33">
        <f t="shared" si="138"/>
        <v>0</v>
      </c>
      <c r="N401" s="22">
        <f t="shared" si="139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136"/>
        <v>0</v>
      </c>
      <c r="J402" s="5"/>
      <c r="K402" s="5"/>
      <c r="L402" s="33">
        <f t="shared" si="137"/>
        <v>0</v>
      </c>
      <c r="M402" s="33">
        <f t="shared" si="138"/>
        <v>0</v>
      </c>
      <c r="N402" s="22">
        <f t="shared" si="139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136"/>
        <v>0</v>
      </c>
      <c r="J403" s="5"/>
      <c r="K403" s="5"/>
      <c r="L403" s="33">
        <f t="shared" si="137"/>
        <v>0</v>
      </c>
      <c r="M403" s="33">
        <f t="shared" si="138"/>
        <v>0</v>
      </c>
      <c r="N403" s="22">
        <f t="shared" si="139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136"/>
        <v>0</v>
      </c>
      <c r="J404" s="5"/>
      <c r="K404" s="5"/>
      <c r="L404" s="33">
        <f t="shared" si="137"/>
        <v>0</v>
      </c>
      <c r="M404" s="33">
        <f t="shared" si="138"/>
        <v>0</v>
      </c>
      <c r="N404" s="22">
        <f t="shared" si="139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136"/>
        <v>0</v>
      </c>
      <c r="J405" s="5"/>
      <c r="K405" s="5"/>
      <c r="L405" s="33">
        <f t="shared" si="137"/>
        <v>0</v>
      </c>
      <c r="M405" s="33">
        <f t="shared" si="138"/>
        <v>0</v>
      </c>
      <c r="N405" s="22">
        <f t="shared" si="139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140">D407*(1-H407)</f>
        <v>0</v>
      </c>
      <c r="J407" s="5"/>
      <c r="K407" s="5"/>
      <c r="L407" s="33">
        <f t="shared" ref="L407:L441" si="141">E407*(1-H407)</f>
        <v>0</v>
      </c>
      <c r="M407" s="33">
        <f t="shared" ref="M407:M441" si="142">IF(J407="",L407,(E407/D407)*J407)</f>
        <v>0</v>
      </c>
      <c r="N407" s="22">
        <f t="shared" ref="N407:N441" si="143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140"/>
        <v>0</v>
      </c>
      <c r="J408" s="5"/>
      <c r="K408" s="5"/>
      <c r="L408" s="33">
        <f t="shared" si="141"/>
        <v>0</v>
      </c>
      <c r="M408" s="33">
        <f t="shared" si="142"/>
        <v>0</v>
      </c>
      <c r="N408" s="22">
        <f t="shared" si="143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140"/>
        <v>0</v>
      </c>
      <c r="J409" s="5"/>
      <c r="K409" s="5"/>
      <c r="L409" s="33">
        <f t="shared" si="141"/>
        <v>0</v>
      </c>
      <c r="M409" s="33">
        <f t="shared" si="142"/>
        <v>0</v>
      </c>
      <c r="N409" s="22">
        <f t="shared" si="143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140"/>
        <v>0</v>
      </c>
      <c r="J410" s="5"/>
      <c r="K410" s="5"/>
      <c r="L410" s="33">
        <f t="shared" si="141"/>
        <v>0</v>
      </c>
      <c r="M410" s="33">
        <f t="shared" si="142"/>
        <v>0</v>
      </c>
      <c r="N410" s="22">
        <f t="shared" si="143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140"/>
        <v>0</v>
      </c>
      <c r="J411" s="5"/>
      <c r="K411" s="5"/>
      <c r="L411" s="33">
        <f t="shared" si="141"/>
        <v>0</v>
      </c>
      <c r="M411" s="33">
        <f t="shared" si="142"/>
        <v>0</v>
      </c>
      <c r="N411" s="22">
        <f t="shared" si="143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140"/>
        <v>0</v>
      </c>
      <c r="J412" s="5"/>
      <c r="K412" s="5"/>
      <c r="L412" s="33">
        <f t="shared" si="141"/>
        <v>0</v>
      </c>
      <c r="M412" s="33">
        <f t="shared" si="142"/>
        <v>0</v>
      </c>
      <c r="N412" s="22">
        <f t="shared" si="143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140"/>
        <v>0</v>
      </c>
      <c r="J413" s="5"/>
      <c r="K413" s="5"/>
      <c r="L413" s="33">
        <f t="shared" si="141"/>
        <v>0</v>
      </c>
      <c r="M413" s="33">
        <f t="shared" si="142"/>
        <v>0</v>
      </c>
      <c r="N413" s="22">
        <f t="shared" si="143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140"/>
        <v>0</v>
      </c>
      <c r="J414" s="5"/>
      <c r="K414" s="5"/>
      <c r="L414" s="33">
        <f t="shared" si="141"/>
        <v>0</v>
      </c>
      <c r="M414" s="33">
        <f t="shared" si="142"/>
        <v>0</v>
      </c>
      <c r="N414" s="22">
        <f t="shared" si="143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140"/>
        <v>0</v>
      </c>
      <c r="J415" s="5"/>
      <c r="K415" s="5"/>
      <c r="L415" s="33">
        <f t="shared" si="141"/>
        <v>0</v>
      </c>
      <c r="M415" s="33">
        <f t="shared" si="142"/>
        <v>0</v>
      </c>
      <c r="N415" s="22">
        <f t="shared" si="143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140"/>
        <v>0</v>
      </c>
      <c r="J416" s="5"/>
      <c r="K416" s="5"/>
      <c r="L416" s="33">
        <f t="shared" si="141"/>
        <v>0</v>
      </c>
      <c r="M416" s="33">
        <f t="shared" si="142"/>
        <v>0</v>
      </c>
      <c r="N416" s="22">
        <f t="shared" si="143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140"/>
        <v>0</v>
      </c>
      <c r="J417" s="5"/>
      <c r="K417" s="5"/>
      <c r="L417" s="33">
        <f t="shared" si="141"/>
        <v>0</v>
      </c>
      <c r="M417" s="33">
        <f t="shared" si="142"/>
        <v>0</v>
      </c>
      <c r="N417" s="22">
        <f t="shared" si="143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140"/>
        <v>0</v>
      </c>
      <c r="J418" s="5"/>
      <c r="K418" s="5"/>
      <c r="L418" s="33">
        <f t="shared" si="141"/>
        <v>0</v>
      </c>
      <c r="M418" s="33">
        <f t="shared" si="142"/>
        <v>0</v>
      </c>
      <c r="N418" s="22">
        <f t="shared" si="143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140"/>
        <v>0</v>
      </c>
      <c r="J419" s="5"/>
      <c r="K419" s="5"/>
      <c r="L419" s="33">
        <f t="shared" si="141"/>
        <v>0</v>
      </c>
      <c r="M419" s="33">
        <f t="shared" si="142"/>
        <v>0</v>
      </c>
      <c r="N419" s="22">
        <f t="shared" si="143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140"/>
        <v>0</v>
      </c>
      <c r="J420" s="5"/>
      <c r="K420" s="5"/>
      <c r="L420" s="33">
        <f t="shared" si="141"/>
        <v>0</v>
      </c>
      <c r="M420" s="33">
        <f t="shared" si="142"/>
        <v>0</v>
      </c>
      <c r="N420" s="22">
        <f t="shared" si="143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140"/>
        <v>0</v>
      </c>
      <c r="J421" s="5"/>
      <c r="K421" s="5"/>
      <c r="L421" s="33">
        <f t="shared" si="141"/>
        <v>0</v>
      </c>
      <c r="M421" s="33">
        <f t="shared" si="142"/>
        <v>0</v>
      </c>
      <c r="N421" s="22">
        <f t="shared" si="143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140"/>
        <v>0</v>
      </c>
      <c r="J422" s="5"/>
      <c r="K422" s="5"/>
      <c r="L422" s="33">
        <f t="shared" si="141"/>
        <v>0</v>
      </c>
      <c r="M422" s="33">
        <f t="shared" si="142"/>
        <v>0</v>
      </c>
      <c r="N422" s="22">
        <f t="shared" si="143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140"/>
        <v>0</v>
      </c>
      <c r="J423" s="5"/>
      <c r="K423" s="5"/>
      <c r="L423" s="33">
        <f t="shared" si="141"/>
        <v>0</v>
      </c>
      <c r="M423" s="33">
        <f t="shared" si="142"/>
        <v>0</v>
      </c>
      <c r="N423" s="22">
        <f t="shared" si="143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140"/>
        <v>0</v>
      </c>
      <c r="J424" s="5"/>
      <c r="K424" s="5"/>
      <c r="L424" s="33">
        <f t="shared" si="141"/>
        <v>0</v>
      </c>
      <c r="M424" s="33">
        <f t="shared" si="142"/>
        <v>0</v>
      </c>
      <c r="N424" s="22">
        <f t="shared" si="143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140"/>
        <v>0</v>
      </c>
      <c r="J425" s="5"/>
      <c r="K425" s="5"/>
      <c r="L425" s="33">
        <f t="shared" si="141"/>
        <v>0</v>
      </c>
      <c r="M425" s="33">
        <f t="shared" si="142"/>
        <v>0</v>
      </c>
      <c r="N425" s="22">
        <f t="shared" si="143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140"/>
        <v>0</v>
      </c>
      <c r="J426" s="5"/>
      <c r="K426" s="5"/>
      <c r="L426" s="33">
        <f t="shared" si="141"/>
        <v>0</v>
      </c>
      <c r="M426" s="33">
        <f t="shared" si="142"/>
        <v>0</v>
      </c>
      <c r="N426" s="22">
        <f t="shared" si="143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140"/>
        <v>0</v>
      </c>
      <c r="J427" s="5"/>
      <c r="K427" s="5"/>
      <c r="L427" s="33">
        <f t="shared" si="141"/>
        <v>0</v>
      </c>
      <c r="M427" s="33">
        <f t="shared" si="142"/>
        <v>0</v>
      </c>
      <c r="N427" s="22">
        <f t="shared" si="143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140"/>
        <v>0</v>
      </c>
      <c r="J428" s="5"/>
      <c r="K428" s="5"/>
      <c r="L428" s="33">
        <f t="shared" si="141"/>
        <v>0</v>
      </c>
      <c r="M428" s="33">
        <f t="shared" si="142"/>
        <v>0</v>
      </c>
      <c r="N428" s="22">
        <f t="shared" si="143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140"/>
        <v>0</v>
      </c>
      <c r="J429" s="5"/>
      <c r="K429" s="5"/>
      <c r="L429" s="33">
        <f t="shared" si="141"/>
        <v>0</v>
      </c>
      <c r="M429" s="33">
        <f t="shared" si="142"/>
        <v>0</v>
      </c>
      <c r="N429" s="22">
        <f t="shared" si="143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140"/>
        <v>0</v>
      </c>
      <c r="J430" s="5"/>
      <c r="K430" s="5"/>
      <c r="L430" s="33">
        <f t="shared" si="141"/>
        <v>0</v>
      </c>
      <c r="M430" s="33">
        <f t="shared" si="142"/>
        <v>0</v>
      </c>
      <c r="N430" s="22">
        <f t="shared" si="143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140"/>
        <v>0</v>
      </c>
      <c r="J431" s="5"/>
      <c r="K431" s="5"/>
      <c r="L431" s="33">
        <f t="shared" si="141"/>
        <v>0</v>
      </c>
      <c r="M431" s="33">
        <f t="shared" si="142"/>
        <v>0</v>
      </c>
      <c r="N431" s="22">
        <f t="shared" si="143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140"/>
        <v>0</v>
      </c>
      <c r="J432" s="5"/>
      <c r="K432" s="5"/>
      <c r="L432" s="33">
        <f t="shared" si="141"/>
        <v>0</v>
      </c>
      <c r="M432" s="33">
        <f t="shared" si="142"/>
        <v>0</v>
      </c>
      <c r="N432" s="22">
        <f t="shared" si="143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140"/>
        <v>0</v>
      </c>
      <c r="J433" s="5"/>
      <c r="K433" s="5"/>
      <c r="L433" s="33">
        <f t="shared" si="141"/>
        <v>0</v>
      </c>
      <c r="M433" s="33">
        <f t="shared" si="142"/>
        <v>0</v>
      </c>
      <c r="N433" s="22">
        <f t="shared" si="143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140"/>
        <v>0</v>
      </c>
      <c r="J434" s="5"/>
      <c r="K434" s="5"/>
      <c r="L434" s="33">
        <f t="shared" si="141"/>
        <v>0</v>
      </c>
      <c r="M434" s="33">
        <f t="shared" si="142"/>
        <v>0</v>
      </c>
      <c r="N434" s="22">
        <f t="shared" si="143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140"/>
        <v>0</v>
      </c>
      <c r="J435" s="5"/>
      <c r="K435" s="5"/>
      <c r="L435" s="33">
        <f t="shared" si="141"/>
        <v>0</v>
      </c>
      <c r="M435" s="33">
        <f t="shared" si="142"/>
        <v>0</v>
      </c>
      <c r="N435" s="22">
        <f t="shared" si="143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140"/>
        <v>57.599999999999994</v>
      </c>
      <c r="J436" s="5"/>
      <c r="K436" s="5"/>
      <c r="L436" s="33">
        <f t="shared" si="141"/>
        <v>6770.4</v>
      </c>
      <c r="M436" s="33">
        <f t="shared" si="142"/>
        <v>6770.4</v>
      </c>
      <c r="N436" s="22">
        <f t="shared" si="143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140"/>
        <v>91.8</v>
      </c>
      <c r="J437" s="5"/>
      <c r="K437" s="5"/>
      <c r="L437" s="33">
        <f t="shared" si="141"/>
        <v>11962.199999999999</v>
      </c>
      <c r="M437" s="33">
        <f t="shared" si="142"/>
        <v>11962.199999999999</v>
      </c>
      <c r="N437" s="22">
        <f t="shared" si="143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140"/>
        <v>0</v>
      </c>
      <c r="J438" s="5"/>
      <c r="K438" s="5"/>
      <c r="L438" s="33">
        <f t="shared" si="141"/>
        <v>0</v>
      </c>
      <c r="M438" s="33">
        <f t="shared" si="142"/>
        <v>0</v>
      </c>
      <c r="N438" s="22">
        <f t="shared" si="143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140"/>
        <v>0</v>
      </c>
      <c r="J439" s="5"/>
      <c r="K439" s="5"/>
      <c r="L439" s="33">
        <f t="shared" si="141"/>
        <v>0</v>
      </c>
      <c r="M439" s="33">
        <f t="shared" si="142"/>
        <v>0</v>
      </c>
      <c r="N439" s="22">
        <f t="shared" si="143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140"/>
        <v>0</v>
      </c>
      <c r="J440" s="5"/>
      <c r="K440" s="5"/>
      <c r="L440" s="33">
        <f t="shared" si="141"/>
        <v>0</v>
      </c>
      <c r="M440" s="33">
        <f t="shared" si="142"/>
        <v>0</v>
      </c>
      <c r="N440" s="22">
        <f t="shared" si="143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140"/>
        <v>0</v>
      </c>
      <c r="J441" s="5"/>
      <c r="K441" s="5"/>
      <c r="L441" s="33">
        <f t="shared" si="141"/>
        <v>0</v>
      </c>
      <c r="M441" s="33">
        <f t="shared" si="142"/>
        <v>0</v>
      </c>
      <c r="N441" s="22">
        <f t="shared" si="143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144">D443*(1-H443)</f>
        <v>0</v>
      </c>
      <c r="J443" s="5"/>
      <c r="K443" s="5"/>
      <c r="L443" s="33">
        <f t="shared" ref="L443:L448" si="145">E443*(1-H443)</f>
        <v>0</v>
      </c>
      <c r="M443" s="33">
        <f t="shared" ref="M443:M448" si="146">IF(J443="",L443,(E443/D443)*J443)</f>
        <v>0</v>
      </c>
      <c r="N443" s="22">
        <f t="shared" ref="N443:N448" si="147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144"/>
        <v>0</v>
      </c>
      <c r="J444" s="5"/>
      <c r="K444" s="5"/>
      <c r="L444" s="33">
        <f t="shared" si="145"/>
        <v>0</v>
      </c>
      <c r="M444" s="33">
        <f t="shared" si="146"/>
        <v>0</v>
      </c>
      <c r="N444" s="22">
        <f t="shared" si="147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144"/>
        <v>0</v>
      </c>
      <c r="J445" s="5"/>
      <c r="K445" s="5"/>
      <c r="L445" s="33">
        <f t="shared" si="145"/>
        <v>0</v>
      </c>
      <c r="M445" s="33">
        <f t="shared" si="146"/>
        <v>0</v>
      </c>
      <c r="N445" s="22">
        <f t="shared" si="147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144"/>
        <v>0</v>
      </c>
      <c r="J446" s="5"/>
      <c r="K446" s="5"/>
      <c r="L446" s="33">
        <f t="shared" si="145"/>
        <v>0</v>
      </c>
      <c r="M446" s="33">
        <f t="shared" si="146"/>
        <v>0</v>
      </c>
      <c r="N446" s="22">
        <f t="shared" si="147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144"/>
        <v>0</v>
      </c>
      <c r="J447" s="5"/>
      <c r="K447" s="5"/>
      <c r="L447" s="33">
        <f t="shared" si="145"/>
        <v>0</v>
      </c>
      <c r="M447" s="33">
        <f t="shared" si="146"/>
        <v>0</v>
      </c>
      <c r="N447" s="22">
        <f t="shared" si="147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144"/>
        <v>0</v>
      </c>
      <c r="J448" s="5"/>
      <c r="K448" s="5"/>
      <c r="L448" s="33">
        <f t="shared" si="145"/>
        <v>0</v>
      </c>
      <c r="M448" s="33">
        <f t="shared" si="146"/>
        <v>0</v>
      </c>
      <c r="N448" s="22">
        <f t="shared" si="147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148">D450*(1-H450)</f>
        <v>0</v>
      </c>
      <c r="J450" s="5"/>
      <c r="K450" s="5"/>
      <c r="L450" s="33">
        <f t="shared" ref="L450:L470" si="149">E450*(1-H450)</f>
        <v>0</v>
      </c>
      <c r="M450" s="33">
        <f t="shared" ref="M450:M470" si="150">IF(J450="",L450,(E450/D450)*J450)</f>
        <v>0</v>
      </c>
      <c r="N450" s="22">
        <f t="shared" ref="N450:N470" si="151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148"/>
        <v>0</v>
      </c>
      <c r="J451" s="5"/>
      <c r="K451" s="5"/>
      <c r="L451" s="33">
        <f t="shared" si="149"/>
        <v>0</v>
      </c>
      <c r="M451" s="33">
        <f t="shared" si="150"/>
        <v>0</v>
      </c>
      <c r="N451" s="22">
        <f t="shared" si="151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148"/>
        <v>0</v>
      </c>
      <c r="J452" s="5"/>
      <c r="K452" s="5"/>
      <c r="L452" s="33">
        <f t="shared" si="149"/>
        <v>0</v>
      </c>
      <c r="M452" s="33">
        <f t="shared" si="150"/>
        <v>0</v>
      </c>
      <c r="N452" s="22">
        <f t="shared" si="151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148"/>
        <v>0</v>
      </c>
      <c r="J453" s="5"/>
      <c r="K453" s="5"/>
      <c r="L453" s="33">
        <f t="shared" si="149"/>
        <v>0</v>
      </c>
      <c r="M453" s="33">
        <f t="shared" si="150"/>
        <v>0</v>
      </c>
      <c r="N453" s="22">
        <f t="shared" si="151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148"/>
        <v>0</v>
      </c>
      <c r="J454" s="5"/>
      <c r="K454" s="5"/>
      <c r="L454" s="33">
        <f t="shared" si="149"/>
        <v>0</v>
      </c>
      <c r="M454" s="33">
        <f t="shared" si="150"/>
        <v>0</v>
      </c>
      <c r="N454" s="22">
        <f t="shared" si="151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148"/>
        <v>0</v>
      </c>
      <c r="J455" s="5"/>
      <c r="K455" s="5"/>
      <c r="L455" s="33">
        <f t="shared" si="149"/>
        <v>0</v>
      </c>
      <c r="M455" s="33">
        <f t="shared" si="150"/>
        <v>0</v>
      </c>
      <c r="N455" s="22">
        <f t="shared" si="151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148"/>
        <v>0</v>
      </c>
      <c r="J456" s="5"/>
      <c r="K456" s="5"/>
      <c r="L456" s="33">
        <f t="shared" si="149"/>
        <v>0</v>
      </c>
      <c r="M456" s="33">
        <f t="shared" si="150"/>
        <v>0</v>
      </c>
      <c r="N456" s="22">
        <f t="shared" si="151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148"/>
        <v>0</v>
      </c>
      <c r="J457" s="5"/>
      <c r="K457" s="5"/>
      <c r="L457" s="33">
        <f t="shared" si="149"/>
        <v>0</v>
      </c>
      <c r="M457" s="33">
        <f t="shared" si="150"/>
        <v>0</v>
      </c>
      <c r="N457" s="22">
        <f t="shared" si="151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148"/>
        <v>0</v>
      </c>
      <c r="J458" s="5"/>
      <c r="K458" s="5"/>
      <c r="L458" s="33">
        <f t="shared" si="149"/>
        <v>0</v>
      </c>
      <c r="M458" s="33">
        <f t="shared" si="150"/>
        <v>0</v>
      </c>
      <c r="N458" s="22">
        <f t="shared" si="151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148"/>
        <v>0</v>
      </c>
      <c r="J459" s="5"/>
      <c r="K459" s="5"/>
      <c r="L459" s="33">
        <f t="shared" si="149"/>
        <v>0</v>
      </c>
      <c r="M459" s="33">
        <f t="shared" si="150"/>
        <v>0</v>
      </c>
      <c r="N459" s="22">
        <f t="shared" si="151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148"/>
        <v>0</v>
      </c>
      <c r="J460" s="5"/>
      <c r="K460" s="5"/>
      <c r="L460" s="33">
        <f t="shared" si="149"/>
        <v>0</v>
      </c>
      <c r="M460" s="33">
        <f t="shared" si="150"/>
        <v>0</v>
      </c>
      <c r="N460" s="22">
        <f t="shared" si="151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148"/>
        <v>0</v>
      </c>
      <c r="J461" s="5"/>
      <c r="K461" s="5"/>
      <c r="L461" s="33">
        <f t="shared" si="149"/>
        <v>0</v>
      </c>
      <c r="M461" s="33">
        <f t="shared" si="150"/>
        <v>0</v>
      </c>
      <c r="N461" s="22">
        <f t="shared" si="151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148"/>
        <v>0</v>
      </c>
      <c r="J462" s="5"/>
      <c r="K462" s="5"/>
      <c r="L462" s="33">
        <f t="shared" si="149"/>
        <v>0</v>
      </c>
      <c r="M462" s="33">
        <f t="shared" si="150"/>
        <v>0</v>
      </c>
      <c r="N462" s="22">
        <f t="shared" si="151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148"/>
        <v>0</v>
      </c>
      <c r="J463" s="5"/>
      <c r="K463" s="5"/>
      <c r="L463" s="33">
        <f t="shared" si="149"/>
        <v>0</v>
      </c>
      <c r="M463" s="33">
        <f t="shared" si="150"/>
        <v>0</v>
      </c>
      <c r="N463" s="22">
        <f t="shared" si="151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148"/>
        <v>0</v>
      </c>
      <c r="J464" s="5"/>
      <c r="K464" s="5"/>
      <c r="L464" s="33">
        <f t="shared" si="149"/>
        <v>0</v>
      </c>
      <c r="M464" s="33">
        <f t="shared" si="150"/>
        <v>0</v>
      </c>
      <c r="N464" s="22">
        <f t="shared" si="151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148"/>
        <v>0</v>
      </c>
      <c r="J465" s="5"/>
      <c r="K465" s="5"/>
      <c r="L465" s="33">
        <f t="shared" si="149"/>
        <v>0</v>
      </c>
      <c r="M465" s="33">
        <f t="shared" si="150"/>
        <v>0</v>
      </c>
      <c r="N465" s="22">
        <f t="shared" si="151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148"/>
        <v>0</v>
      </c>
      <c r="J466" s="5"/>
      <c r="K466" s="5"/>
      <c r="L466" s="33">
        <f t="shared" si="149"/>
        <v>0</v>
      </c>
      <c r="M466" s="33">
        <f t="shared" si="150"/>
        <v>0</v>
      </c>
      <c r="N466" s="22">
        <f t="shared" si="151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148"/>
        <v>0</v>
      </c>
      <c r="J467" s="5"/>
      <c r="K467" s="5"/>
      <c r="L467" s="33">
        <f t="shared" si="149"/>
        <v>0</v>
      </c>
      <c r="M467" s="33">
        <f t="shared" si="150"/>
        <v>0</v>
      </c>
      <c r="N467" s="22">
        <f t="shared" si="151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148"/>
        <v>0</v>
      </c>
      <c r="J468" s="5"/>
      <c r="K468" s="5"/>
      <c r="L468" s="33">
        <f t="shared" si="149"/>
        <v>0</v>
      </c>
      <c r="M468" s="33">
        <f t="shared" si="150"/>
        <v>0</v>
      </c>
      <c r="N468" s="22">
        <f t="shared" si="151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148"/>
        <v>0</v>
      </c>
      <c r="J469" s="5"/>
      <c r="K469" s="5"/>
      <c r="L469" s="33">
        <f t="shared" si="149"/>
        <v>0</v>
      </c>
      <c r="M469" s="33">
        <f t="shared" si="150"/>
        <v>0</v>
      </c>
      <c r="N469" s="22">
        <f t="shared" si="151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148"/>
        <v>0</v>
      </c>
      <c r="J470" s="5"/>
      <c r="K470" s="5"/>
      <c r="L470" s="33">
        <f t="shared" si="149"/>
        <v>0</v>
      </c>
      <c r="M470" s="33">
        <f t="shared" si="150"/>
        <v>0</v>
      </c>
      <c r="N470" s="22">
        <f t="shared" si="151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 t="shared" ref="I473:I477" si="152">D473*(1-H473)</f>
        <v>0</v>
      </c>
      <c r="J473" s="5"/>
      <c r="K473" s="5"/>
      <c r="L473" s="33">
        <f t="shared" ref="L473:L477" si="153">E473*(1-H473)</f>
        <v>0</v>
      </c>
      <c r="M473" s="33">
        <f t="shared" ref="M473:M477" si="154">IF(J473="",L473,(E473/D473)*J473)</f>
        <v>0</v>
      </c>
      <c r="N473" s="22">
        <f t="shared" ref="N473:N477" si="155"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 t="shared" si="152"/>
        <v>0</v>
      </c>
      <c r="J474" s="5"/>
      <c r="K474" s="5"/>
      <c r="L474" s="33">
        <f t="shared" si="153"/>
        <v>0</v>
      </c>
      <c r="M474" s="33">
        <f t="shared" si="154"/>
        <v>0</v>
      </c>
      <c r="N474" s="22">
        <f t="shared" si="155"/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 t="shared" si="152"/>
        <v>0</v>
      </c>
      <c r="J475" s="5"/>
      <c r="K475" s="5"/>
      <c r="L475" s="33">
        <f t="shared" si="153"/>
        <v>0</v>
      </c>
      <c r="M475" s="33">
        <f t="shared" si="154"/>
        <v>0</v>
      </c>
      <c r="N475" s="22">
        <f t="shared" si="155"/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 t="shared" si="152"/>
        <v>0</v>
      </c>
      <c r="J476" s="5"/>
      <c r="K476" s="5"/>
      <c r="L476" s="33">
        <f t="shared" si="153"/>
        <v>0</v>
      </c>
      <c r="M476" s="33">
        <f t="shared" si="154"/>
        <v>0</v>
      </c>
      <c r="N476" s="22">
        <f t="shared" si="155"/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 t="shared" si="152"/>
        <v>0</v>
      </c>
      <c r="J477" s="5"/>
      <c r="K477" s="5"/>
      <c r="L477" s="33">
        <f t="shared" si="153"/>
        <v>0</v>
      </c>
      <c r="M477" s="33">
        <f t="shared" si="154"/>
        <v>0</v>
      </c>
      <c r="N477" s="22">
        <f t="shared" si="155"/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 t="shared" ref="I479:I481" si="156">D479*(1-H479)</f>
        <v>0</v>
      </c>
      <c r="J479" s="5"/>
      <c r="K479" s="5"/>
      <c r="L479" s="33">
        <f t="shared" ref="L479:L481" si="157">E479*(1-H479)</f>
        <v>0</v>
      </c>
      <c r="M479" s="33">
        <f t="shared" ref="M479:M481" si="158">IF(J479="",L479,(E479/D479)*J479)</f>
        <v>0</v>
      </c>
      <c r="N479" s="22">
        <f t="shared" ref="N479:N481" si="159"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 t="shared" si="156"/>
        <v>0</v>
      </c>
      <c r="J480" s="5"/>
      <c r="K480" s="5"/>
      <c r="L480" s="33">
        <f t="shared" si="157"/>
        <v>0</v>
      </c>
      <c r="M480" s="33">
        <f t="shared" si="158"/>
        <v>0</v>
      </c>
      <c r="N480" s="22">
        <f t="shared" si="159"/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 t="shared" si="156"/>
        <v>0</v>
      </c>
      <c r="J481" s="5"/>
      <c r="K481" s="5"/>
      <c r="L481" s="33">
        <f t="shared" si="157"/>
        <v>0</v>
      </c>
      <c r="M481" s="33">
        <f t="shared" si="158"/>
        <v>0</v>
      </c>
      <c r="N481" s="22">
        <f t="shared" si="159"/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 t="shared" ref="I483:I485" si="160">D483*(1-H483)</f>
        <v>0</v>
      </c>
      <c r="J483" s="5"/>
      <c r="K483" s="5"/>
      <c r="L483" s="33">
        <f t="shared" ref="L483:L485" si="161">E483*(1-H483)</f>
        <v>0</v>
      </c>
      <c r="M483" s="33">
        <f t="shared" ref="M483:M485" si="162">IF(J483="",L483,(E483/D483)*J483)</f>
        <v>0</v>
      </c>
      <c r="N483" s="22">
        <f t="shared" ref="N483:N485" si="163"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 t="shared" si="160"/>
        <v>0</v>
      </c>
      <c r="J484" s="5"/>
      <c r="K484" s="5"/>
      <c r="L484" s="33">
        <f t="shared" si="161"/>
        <v>0</v>
      </c>
      <c r="M484" s="33">
        <f t="shared" si="162"/>
        <v>0</v>
      </c>
      <c r="N484" s="22">
        <f t="shared" si="163"/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 t="shared" si="160"/>
        <v>0</v>
      </c>
      <c r="J485" s="5"/>
      <c r="K485" s="5"/>
      <c r="L485" s="33">
        <f t="shared" si="161"/>
        <v>0</v>
      </c>
      <c r="M485" s="33">
        <f t="shared" si="162"/>
        <v>0</v>
      </c>
      <c r="N485" s="22">
        <f t="shared" si="163"/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164">D488*(1-H488)</f>
        <v>0</v>
      </c>
      <c r="J488" s="5"/>
      <c r="K488" s="5"/>
      <c r="L488" s="33">
        <f t="shared" ref="L488:L500" si="165">E488*(1-H488)</f>
        <v>0</v>
      </c>
      <c r="M488" s="33">
        <f t="shared" ref="M488:M500" si="166">IF(J488="",L488,(E488/D488)*J488)</f>
        <v>0</v>
      </c>
      <c r="N488" s="22">
        <f t="shared" ref="N488:N500" si="167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164"/>
        <v>0</v>
      </c>
      <c r="J489" s="5"/>
      <c r="K489" s="5"/>
      <c r="L489" s="33">
        <f t="shared" si="165"/>
        <v>0</v>
      </c>
      <c r="M489" s="33">
        <f t="shared" si="166"/>
        <v>0</v>
      </c>
      <c r="N489" s="22">
        <f t="shared" si="167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164"/>
        <v>0</v>
      </c>
      <c r="J490" s="5"/>
      <c r="K490" s="5"/>
      <c r="L490" s="33">
        <f t="shared" si="165"/>
        <v>0</v>
      </c>
      <c r="M490" s="33">
        <f t="shared" si="166"/>
        <v>0</v>
      </c>
      <c r="N490" s="22">
        <f t="shared" si="167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164"/>
        <v>0</v>
      </c>
      <c r="J491" s="5"/>
      <c r="K491" s="5"/>
      <c r="L491" s="33">
        <f t="shared" si="165"/>
        <v>0</v>
      </c>
      <c r="M491" s="33">
        <f t="shared" si="166"/>
        <v>0</v>
      </c>
      <c r="N491" s="22">
        <f t="shared" si="167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164"/>
        <v>0</v>
      </c>
      <c r="J492" s="5"/>
      <c r="K492" s="5"/>
      <c r="L492" s="33">
        <f t="shared" si="165"/>
        <v>0</v>
      </c>
      <c r="M492" s="33">
        <f t="shared" si="166"/>
        <v>0</v>
      </c>
      <c r="N492" s="22">
        <f t="shared" si="167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164"/>
        <v>0</v>
      </c>
      <c r="J493" s="5"/>
      <c r="K493" s="5"/>
      <c r="L493" s="33">
        <f t="shared" si="165"/>
        <v>0</v>
      </c>
      <c r="M493" s="33">
        <f t="shared" si="166"/>
        <v>0</v>
      </c>
      <c r="N493" s="22">
        <f t="shared" si="167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164"/>
        <v>0</v>
      </c>
      <c r="J494" s="5"/>
      <c r="K494" s="5"/>
      <c r="L494" s="33">
        <f t="shared" si="165"/>
        <v>0</v>
      </c>
      <c r="M494" s="33">
        <f t="shared" si="166"/>
        <v>0</v>
      </c>
      <c r="N494" s="22">
        <f t="shared" si="167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164"/>
        <v>0</v>
      </c>
      <c r="J495" s="5"/>
      <c r="K495" s="5"/>
      <c r="L495" s="33">
        <f t="shared" si="165"/>
        <v>0</v>
      </c>
      <c r="M495" s="33">
        <f t="shared" si="166"/>
        <v>0</v>
      </c>
      <c r="N495" s="22">
        <f t="shared" si="167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164"/>
        <v>0</v>
      </c>
      <c r="J496" s="5"/>
      <c r="K496" s="5"/>
      <c r="L496" s="33">
        <f t="shared" si="165"/>
        <v>0</v>
      </c>
      <c r="M496" s="33">
        <f t="shared" si="166"/>
        <v>0</v>
      </c>
      <c r="N496" s="22">
        <f t="shared" si="167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164"/>
        <v>0</v>
      </c>
      <c r="J497" s="5"/>
      <c r="K497" s="5"/>
      <c r="L497" s="33">
        <f t="shared" si="165"/>
        <v>0</v>
      </c>
      <c r="M497" s="33">
        <f t="shared" si="166"/>
        <v>0</v>
      </c>
      <c r="N497" s="22">
        <f t="shared" si="167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164"/>
        <v>0</v>
      </c>
      <c r="J498" s="5"/>
      <c r="K498" s="5"/>
      <c r="L498" s="33">
        <f t="shared" si="165"/>
        <v>0</v>
      </c>
      <c r="M498" s="33">
        <f t="shared" si="166"/>
        <v>0</v>
      </c>
      <c r="N498" s="22">
        <f t="shared" si="167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164"/>
        <v>0</v>
      </c>
      <c r="J499" s="5"/>
      <c r="K499" s="5"/>
      <c r="L499" s="33">
        <f t="shared" si="165"/>
        <v>0</v>
      </c>
      <c r="M499" s="33">
        <f t="shared" si="166"/>
        <v>0</v>
      </c>
      <c r="N499" s="22">
        <f t="shared" si="167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164"/>
        <v>0</v>
      </c>
      <c r="J500" s="5"/>
      <c r="K500" s="5"/>
      <c r="L500" s="33">
        <f t="shared" si="165"/>
        <v>0</v>
      </c>
      <c r="M500" s="33">
        <f t="shared" si="166"/>
        <v>0</v>
      </c>
      <c r="N500" s="22">
        <f t="shared" si="167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168">D502*(1-H502)</f>
        <v>0</v>
      </c>
      <c r="J502" s="5"/>
      <c r="K502" s="5"/>
      <c r="L502" s="33">
        <f t="shared" ref="L502:L533" si="169">E502*(1-H502)</f>
        <v>0</v>
      </c>
      <c r="M502" s="33">
        <f t="shared" ref="M502:M533" si="170">IF(J502="",L502,(E502/D502)*J502)</f>
        <v>0</v>
      </c>
      <c r="N502" s="22">
        <f t="shared" ref="N502:N533" si="171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168"/>
        <v>0</v>
      </c>
      <c r="J503" s="5"/>
      <c r="K503" s="5"/>
      <c r="L503" s="33">
        <f t="shared" si="169"/>
        <v>0</v>
      </c>
      <c r="M503" s="33">
        <f t="shared" si="170"/>
        <v>0</v>
      </c>
      <c r="N503" s="22">
        <f t="shared" si="171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168"/>
        <v>0</v>
      </c>
      <c r="J504" s="5"/>
      <c r="K504" s="5"/>
      <c r="L504" s="33">
        <f t="shared" si="169"/>
        <v>0</v>
      </c>
      <c r="M504" s="33">
        <f t="shared" si="170"/>
        <v>0</v>
      </c>
      <c r="N504" s="22">
        <f t="shared" si="171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168"/>
        <v>0</v>
      </c>
      <c r="J505" s="5"/>
      <c r="K505" s="5"/>
      <c r="L505" s="33">
        <f t="shared" si="169"/>
        <v>0</v>
      </c>
      <c r="M505" s="33">
        <f t="shared" si="170"/>
        <v>0</v>
      </c>
      <c r="N505" s="22">
        <f t="shared" si="171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168"/>
        <v>0</v>
      </c>
      <c r="J506" s="5"/>
      <c r="K506" s="5"/>
      <c r="L506" s="33">
        <f t="shared" si="169"/>
        <v>0</v>
      </c>
      <c r="M506" s="33">
        <f t="shared" si="170"/>
        <v>0</v>
      </c>
      <c r="N506" s="22">
        <f t="shared" si="171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168"/>
        <v>22.4</v>
      </c>
      <c r="J507" s="5"/>
      <c r="K507" s="5"/>
      <c r="L507" s="33">
        <f t="shared" si="169"/>
        <v>3397.7999999999997</v>
      </c>
      <c r="M507" s="33">
        <f t="shared" si="170"/>
        <v>3397.7999999999997</v>
      </c>
      <c r="N507" s="22">
        <f t="shared" si="171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168"/>
        <v>22.4</v>
      </c>
      <c r="J508" s="5"/>
      <c r="K508" s="5"/>
      <c r="L508" s="33">
        <f t="shared" si="169"/>
        <v>3971.1</v>
      </c>
      <c r="M508" s="33">
        <f t="shared" si="170"/>
        <v>3971.1</v>
      </c>
      <c r="N508" s="22">
        <f t="shared" si="171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168"/>
        <v>358.4</v>
      </c>
      <c r="J509" s="5"/>
      <c r="K509" s="5"/>
      <c r="L509" s="33">
        <f t="shared" si="169"/>
        <v>42128.1</v>
      </c>
      <c r="M509" s="33">
        <f t="shared" si="170"/>
        <v>42128.1</v>
      </c>
      <c r="N509" s="22">
        <f t="shared" si="171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168"/>
        <v>22.4</v>
      </c>
      <c r="J510" s="5"/>
      <c r="K510" s="5"/>
      <c r="L510" s="33">
        <f t="shared" si="169"/>
        <v>2885.3999999999996</v>
      </c>
      <c r="M510" s="33">
        <f t="shared" si="170"/>
        <v>2885.3999999999996</v>
      </c>
      <c r="N510" s="22">
        <f t="shared" si="171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168"/>
        <v>0</v>
      </c>
      <c r="J511" s="5"/>
      <c r="K511" s="5"/>
      <c r="L511" s="33">
        <f t="shared" si="169"/>
        <v>0</v>
      </c>
      <c r="M511" s="33">
        <f t="shared" si="170"/>
        <v>0</v>
      </c>
      <c r="N511" s="22">
        <f t="shared" si="171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168"/>
        <v>0</v>
      </c>
      <c r="J512" s="5"/>
      <c r="K512" s="5"/>
      <c r="L512" s="33">
        <f t="shared" si="169"/>
        <v>0</v>
      </c>
      <c r="M512" s="33">
        <f t="shared" si="170"/>
        <v>0</v>
      </c>
      <c r="N512" s="22">
        <f t="shared" si="171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168"/>
        <v>0</v>
      </c>
      <c r="J513" s="5"/>
      <c r="K513" s="5"/>
      <c r="L513" s="33">
        <f t="shared" si="169"/>
        <v>0</v>
      </c>
      <c r="M513" s="33">
        <f t="shared" si="170"/>
        <v>0</v>
      </c>
      <c r="N513" s="22">
        <f t="shared" si="171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168"/>
        <v>0</v>
      </c>
      <c r="J514" s="5"/>
      <c r="K514" s="5"/>
      <c r="L514" s="33">
        <f t="shared" si="169"/>
        <v>0</v>
      </c>
      <c r="M514" s="33">
        <f t="shared" si="170"/>
        <v>0</v>
      </c>
      <c r="N514" s="22">
        <f t="shared" si="171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168"/>
        <v>40</v>
      </c>
      <c r="J515" s="5"/>
      <c r="K515" s="5"/>
      <c r="L515" s="33">
        <f t="shared" si="169"/>
        <v>5890.5</v>
      </c>
      <c r="M515" s="33">
        <f t="shared" si="170"/>
        <v>5890.5</v>
      </c>
      <c r="N515" s="22">
        <f t="shared" si="171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168"/>
        <v>40</v>
      </c>
      <c r="J516" s="5"/>
      <c r="K516" s="5"/>
      <c r="L516" s="33">
        <f t="shared" si="169"/>
        <v>6884</v>
      </c>
      <c r="M516" s="33">
        <f t="shared" si="170"/>
        <v>6884</v>
      </c>
      <c r="N516" s="22">
        <f t="shared" si="171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168"/>
        <v>31.999999999999993</v>
      </c>
      <c r="J517" s="5"/>
      <c r="K517" s="5"/>
      <c r="L517" s="33">
        <f t="shared" si="169"/>
        <v>4853.8999999999987</v>
      </c>
      <c r="M517" s="33">
        <f t="shared" si="170"/>
        <v>4853.8999999999987</v>
      </c>
      <c r="N517" s="22">
        <f t="shared" si="171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168"/>
        <v>31.999999999999993</v>
      </c>
      <c r="J518" s="5"/>
      <c r="K518" s="5"/>
      <c r="L518" s="33">
        <f t="shared" si="169"/>
        <v>5672.5999999999985</v>
      </c>
      <c r="M518" s="33">
        <f t="shared" si="170"/>
        <v>5672.5999999999985</v>
      </c>
      <c r="N518" s="22">
        <f t="shared" si="171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168"/>
        <v>0</v>
      </c>
      <c r="J519" s="5"/>
      <c r="K519" s="5"/>
      <c r="L519" s="33">
        <f t="shared" si="169"/>
        <v>0</v>
      </c>
      <c r="M519" s="33">
        <f t="shared" si="170"/>
        <v>0</v>
      </c>
      <c r="N519" s="22">
        <f t="shared" si="171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168"/>
        <v>0</v>
      </c>
      <c r="J520" s="5"/>
      <c r="K520" s="5"/>
      <c r="L520" s="33">
        <f t="shared" si="169"/>
        <v>0</v>
      </c>
      <c r="M520" s="33">
        <f t="shared" si="170"/>
        <v>0</v>
      </c>
      <c r="N520" s="22">
        <f t="shared" si="171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168"/>
        <v>0</v>
      </c>
      <c r="J521" s="5"/>
      <c r="K521" s="5"/>
      <c r="L521" s="33">
        <f t="shared" si="169"/>
        <v>0</v>
      </c>
      <c r="M521" s="33">
        <f t="shared" si="170"/>
        <v>0</v>
      </c>
      <c r="N521" s="22">
        <f t="shared" si="171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168"/>
        <v>0</v>
      </c>
      <c r="J522" s="5"/>
      <c r="K522" s="5"/>
      <c r="L522" s="33">
        <f t="shared" si="169"/>
        <v>0</v>
      </c>
      <c r="M522" s="33">
        <f t="shared" si="170"/>
        <v>0</v>
      </c>
      <c r="N522" s="22">
        <f t="shared" si="171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168"/>
        <v>0</v>
      </c>
      <c r="J523" s="5"/>
      <c r="K523" s="5"/>
      <c r="L523" s="33">
        <f t="shared" si="169"/>
        <v>0</v>
      </c>
      <c r="M523" s="33">
        <f t="shared" si="170"/>
        <v>0</v>
      </c>
      <c r="N523" s="22">
        <f t="shared" si="171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168"/>
        <v>0</v>
      </c>
      <c r="J524" s="5"/>
      <c r="K524" s="5"/>
      <c r="L524" s="33">
        <f t="shared" si="169"/>
        <v>0</v>
      </c>
      <c r="M524" s="33">
        <f t="shared" si="170"/>
        <v>0</v>
      </c>
      <c r="N524" s="22">
        <f t="shared" si="171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168"/>
        <v>11.199999999999998</v>
      </c>
      <c r="J525" s="5"/>
      <c r="K525" s="5"/>
      <c r="L525" s="33">
        <f t="shared" si="169"/>
        <v>1698.7999999999997</v>
      </c>
      <c r="M525" s="33">
        <f t="shared" si="170"/>
        <v>1698.7999999999997</v>
      </c>
      <c r="N525" s="22">
        <f t="shared" si="171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168"/>
        <v>17.599999999999994</v>
      </c>
      <c r="J526" s="5"/>
      <c r="K526" s="5"/>
      <c r="L526" s="33">
        <f t="shared" si="169"/>
        <v>3119.9999999999991</v>
      </c>
      <c r="M526" s="33">
        <f t="shared" si="170"/>
        <v>3119.9999999999991</v>
      </c>
      <c r="N526" s="22">
        <f t="shared" si="171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168"/>
        <v>8.7999999999999972</v>
      </c>
      <c r="J527" s="5"/>
      <c r="K527" s="5"/>
      <c r="L527" s="33">
        <f t="shared" si="169"/>
        <v>1034.3999999999999</v>
      </c>
      <c r="M527" s="33">
        <f t="shared" si="170"/>
        <v>1034.3999999999999</v>
      </c>
      <c r="N527" s="22">
        <f t="shared" si="171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168"/>
        <v>80</v>
      </c>
      <c r="J528" s="5"/>
      <c r="K528" s="5"/>
      <c r="L528" s="33">
        <f t="shared" si="169"/>
        <v>12135</v>
      </c>
      <c r="M528" s="33">
        <f t="shared" si="170"/>
        <v>12135</v>
      </c>
      <c r="N528" s="22">
        <f t="shared" si="171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168"/>
        <v>240</v>
      </c>
      <c r="J529" s="5"/>
      <c r="K529" s="5"/>
      <c r="L529" s="33">
        <f t="shared" si="169"/>
        <v>42545</v>
      </c>
      <c r="M529" s="33">
        <f t="shared" si="170"/>
        <v>42545</v>
      </c>
      <c r="N529" s="22">
        <f t="shared" si="171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168"/>
        <v>0</v>
      </c>
      <c r="J530" s="5"/>
      <c r="K530" s="5"/>
      <c r="L530" s="33">
        <f t="shared" si="169"/>
        <v>0</v>
      </c>
      <c r="M530" s="33">
        <f t="shared" si="170"/>
        <v>0</v>
      </c>
      <c r="N530" s="22">
        <f t="shared" si="171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168"/>
        <v>0</v>
      </c>
      <c r="J531" s="5"/>
      <c r="K531" s="5"/>
      <c r="L531" s="33">
        <f t="shared" si="169"/>
        <v>0</v>
      </c>
      <c r="M531" s="33">
        <f t="shared" si="170"/>
        <v>0</v>
      </c>
      <c r="N531" s="22">
        <f t="shared" si="171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168"/>
        <v>40</v>
      </c>
      <c r="J532" s="5"/>
      <c r="K532" s="5"/>
      <c r="L532" s="33">
        <f t="shared" si="169"/>
        <v>6884</v>
      </c>
      <c r="M532" s="33">
        <f t="shared" si="170"/>
        <v>6884</v>
      </c>
      <c r="N532" s="22">
        <f t="shared" si="171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168"/>
        <v>33.6</v>
      </c>
      <c r="J533" s="5"/>
      <c r="K533" s="5"/>
      <c r="L533" s="33">
        <f t="shared" si="169"/>
        <v>5956.44</v>
      </c>
      <c r="M533" s="33">
        <f t="shared" si="170"/>
        <v>5956.44</v>
      </c>
      <c r="N533" s="22">
        <f t="shared" si="171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 t="shared" ref="I536:I540" si="172">D536*(1-H536)</f>
        <v>0</v>
      </c>
      <c r="J536" s="5"/>
      <c r="K536" s="5"/>
      <c r="L536" s="33">
        <f t="shared" ref="L536:L540" si="173">E536*(1-H536)</f>
        <v>0</v>
      </c>
      <c r="M536" s="33">
        <f t="shared" ref="M536:M540" si="174">IF(J536="",L536,(E536/D536)*J536)</f>
        <v>0</v>
      </c>
      <c r="N536" s="22">
        <f t="shared" ref="N536:N540" si="175"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 t="shared" si="172"/>
        <v>0</v>
      </c>
      <c r="J537" s="5"/>
      <c r="K537" s="5"/>
      <c r="L537" s="33">
        <f t="shared" si="173"/>
        <v>0</v>
      </c>
      <c r="M537" s="33">
        <f t="shared" si="174"/>
        <v>0</v>
      </c>
      <c r="N537" s="22">
        <f t="shared" si="175"/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 t="shared" si="172"/>
        <v>0</v>
      </c>
      <c r="J538" s="5"/>
      <c r="K538" s="5"/>
      <c r="L538" s="33">
        <f t="shared" si="173"/>
        <v>0</v>
      </c>
      <c r="M538" s="33">
        <f t="shared" si="174"/>
        <v>0</v>
      </c>
      <c r="N538" s="22">
        <f t="shared" si="175"/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 t="shared" si="172"/>
        <v>0</v>
      </c>
      <c r="J539" s="5"/>
      <c r="K539" s="5"/>
      <c r="L539" s="33">
        <f t="shared" si="173"/>
        <v>0</v>
      </c>
      <c r="M539" s="33">
        <f t="shared" si="174"/>
        <v>0</v>
      </c>
      <c r="N539" s="22">
        <f t="shared" si="175"/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 t="shared" si="172"/>
        <v>0</v>
      </c>
      <c r="J540" s="5"/>
      <c r="K540" s="5"/>
      <c r="L540" s="33">
        <f t="shared" si="173"/>
        <v>0</v>
      </c>
      <c r="M540" s="33">
        <f t="shared" si="174"/>
        <v>0</v>
      </c>
      <c r="N540" s="22">
        <f t="shared" si="175"/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176">D543*(1-H543)</f>
        <v>0</v>
      </c>
      <c r="J543" s="5"/>
      <c r="K543" s="5"/>
      <c r="L543" s="33">
        <f t="shared" ref="L543:L555" si="177">E543*(1-H543)</f>
        <v>0</v>
      </c>
      <c r="M543" s="33">
        <f t="shared" ref="M543:M555" si="178">IF(J543="",L543,(E543/D543)*J543)</f>
        <v>0</v>
      </c>
      <c r="N543" s="22">
        <f t="shared" ref="N543:N555" si="179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176"/>
        <v>4</v>
      </c>
      <c r="J544" s="5"/>
      <c r="K544" s="5"/>
      <c r="L544" s="33">
        <f t="shared" si="177"/>
        <v>506</v>
      </c>
      <c r="M544" s="33">
        <f t="shared" si="178"/>
        <v>506</v>
      </c>
      <c r="N544" s="22">
        <f t="shared" si="179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176"/>
        <v>4</v>
      </c>
      <c r="J545" s="5"/>
      <c r="K545" s="5"/>
      <c r="L545" s="33">
        <f t="shared" si="177"/>
        <v>688</v>
      </c>
      <c r="M545" s="33">
        <f t="shared" si="178"/>
        <v>688</v>
      </c>
      <c r="N545" s="22">
        <f t="shared" si="179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176"/>
        <v>4</v>
      </c>
      <c r="J546" s="5"/>
      <c r="K546" s="5"/>
      <c r="L546" s="33">
        <f t="shared" si="177"/>
        <v>0</v>
      </c>
      <c r="M546" s="33">
        <f t="shared" si="178"/>
        <v>0</v>
      </c>
      <c r="N546" s="22">
        <f t="shared" si="179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176"/>
        <v>4</v>
      </c>
      <c r="J547" s="5"/>
      <c r="K547" s="5"/>
      <c r="L547" s="33">
        <f t="shared" si="177"/>
        <v>824</v>
      </c>
      <c r="M547" s="33">
        <f t="shared" si="178"/>
        <v>824</v>
      </c>
      <c r="N547" s="22">
        <f t="shared" si="179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176"/>
        <v>8</v>
      </c>
      <c r="J548" s="5"/>
      <c r="K548" s="5"/>
      <c r="L548" s="33">
        <f t="shared" si="177"/>
        <v>1012</v>
      </c>
      <c r="M548" s="33">
        <f t="shared" si="178"/>
        <v>1012</v>
      </c>
      <c r="N548" s="22">
        <f t="shared" si="179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176"/>
        <v>4</v>
      </c>
      <c r="J549" s="5"/>
      <c r="K549" s="5"/>
      <c r="L549" s="33">
        <f t="shared" si="177"/>
        <v>506</v>
      </c>
      <c r="M549" s="33">
        <f t="shared" si="178"/>
        <v>506</v>
      </c>
      <c r="N549" s="22">
        <f t="shared" si="179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176"/>
        <v>8</v>
      </c>
      <c r="J550" s="5"/>
      <c r="K550" s="5"/>
      <c r="L550" s="33">
        <f t="shared" si="177"/>
        <v>1012</v>
      </c>
      <c r="M550" s="33">
        <f t="shared" si="178"/>
        <v>1012</v>
      </c>
      <c r="N550" s="22">
        <f t="shared" si="179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176"/>
        <v>4</v>
      </c>
      <c r="J551" s="5"/>
      <c r="K551" s="5"/>
      <c r="L551" s="33">
        <f t="shared" si="177"/>
        <v>688</v>
      </c>
      <c r="M551" s="33">
        <f t="shared" si="178"/>
        <v>688</v>
      </c>
      <c r="N551" s="22">
        <f t="shared" si="179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176"/>
        <v>4</v>
      </c>
      <c r="J552" s="5"/>
      <c r="K552" s="5"/>
      <c r="L552" s="33">
        <f t="shared" si="177"/>
        <v>0</v>
      </c>
      <c r="M552" s="33">
        <f t="shared" si="178"/>
        <v>0</v>
      </c>
      <c r="N552" s="22">
        <f t="shared" si="179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176"/>
        <v>4</v>
      </c>
      <c r="J553" s="5"/>
      <c r="K553" s="5"/>
      <c r="L553" s="33">
        <f t="shared" si="177"/>
        <v>824</v>
      </c>
      <c r="M553" s="33">
        <f t="shared" si="178"/>
        <v>824</v>
      </c>
      <c r="N553" s="22">
        <f t="shared" si="179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176"/>
        <v>0</v>
      </c>
      <c r="J554" s="5"/>
      <c r="K554" s="5"/>
      <c r="L554" s="33">
        <f t="shared" si="177"/>
        <v>0</v>
      </c>
      <c r="M554" s="33">
        <f t="shared" si="178"/>
        <v>0</v>
      </c>
      <c r="N554" s="22">
        <f t="shared" si="179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176"/>
        <v>0</v>
      </c>
      <c r="J555" s="5"/>
      <c r="K555" s="5"/>
      <c r="L555" s="33">
        <f t="shared" si="177"/>
        <v>0</v>
      </c>
      <c r="M555" s="33">
        <f t="shared" si="178"/>
        <v>0</v>
      </c>
      <c r="N555" s="22">
        <f t="shared" si="179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 t="shared" ref="I557:I558" si="180">D557*(1-H557)</f>
        <v>156</v>
      </c>
      <c r="J557" s="5"/>
      <c r="K557" s="5"/>
      <c r="L557" s="33">
        <f t="shared" ref="L557:L558" si="181">E557*(1-H557)</f>
        <v>20328</v>
      </c>
      <c r="M557" s="33">
        <f t="shared" ref="M557:M558" si="182">IF(J557="",L557,(E557/D557)*J557)</f>
        <v>20328</v>
      </c>
      <c r="N557" s="22">
        <f t="shared" ref="N557:N558" si="183"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 t="shared" si="180"/>
        <v>108</v>
      </c>
      <c r="J558" s="5"/>
      <c r="K558" s="5"/>
      <c r="L558" s="33">
        <f t="shared" si="181"/>
        <v>14073</v>
      </c>
      <c r="M558" s="33">
        <f t="shared" si="182"/>
        <v>14073</v>
      </c>
      <c r="N558" s="22">
        <f t="shared" si="183"/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184">D561*(1-H561)</f>
        <v>0</v>
      </c>
      <c r="J561" s="5"/>
      <c r="K561" s="5"/>
      <c r="L561" s="33">
        <f t="shared" ref="L561:L572" si="185">E561*(1-H561)</f>
        <v>0</v>
      </c>
      <c r="M561" s="33">
        <f t="shared" ref="M561:M572" si="186">IF(J561="",L561,(E561/D561)*J561)</f>
        <v>0</v>
      </c>
      <c r="N561" s="22">
        <f t="shared" ref="N561:N572" si="187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184"/>
        <v>8</v>
      </c>
      <c r="J562" s="5"/>
      <c r="K562" s="5"/>
      <c r="L562" s="33">
        <f t="shared" si="185"/>
        <v>1012</v>
      </c>
      <c r="M562" s="33">
        <f t="shared" si="186"/>
        <v>1012</v>
      </c>
      <c r="N562" s="22">
        <f t="shared" si="187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184"/>
        <v>4</v>
      </c>
      <c r="J563" s="5"/>
      <c r="K563" s="5"/>
      <c r="L563" s="33">
        <f t="shared" si="185"/>
        <v>506</v>
      </c>
      <c r="M563" s="33">
        <f t="shared" si="186"/>
        <v>506</v>
      </c>
      <c r="N563" s="22">
        <f t="shared" si="187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184"/>
        <v>4</v>
      </c>
      <c r="J564" s="5"/>
      <c r="K564" s="5"/>
      <c r="L564" s="33">
        <f t="shared" si="185"/>
        <v>688</v>
      </c>
      <c r="M564" s="33">
        <f t="shared" si="186"/>
        <v>688</v>
      </c>
      <c r="N564" s="22">
        <f t="shared" si="187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184"/>
        <v>4</v>
      </c>
      <c r="J565" s="5"/>
      <c r="K565" s="5"/>
      <c r="L565" s="33">
        <f t="shared" si="185"/>
        <v>0</v>
      </c>
      <c r="M565" s="33">
        <f t="shared" si="186"/>
        <v>0</v>
      </c>
      <c r="N565" s="22">
        <f t="shared" si="187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184"/>
        <v>4</v>
      </c>
      <c r="J566" s="5"/>
      <c r="K566" s="5"/>
      <c r="L566" s="33">
        <f t="shared" si="185"/>
        <v>824</v>
      </c>
      <c r="M566" s="33">
        <f t="shared" si="186"/>
        <v>824</v>
      </c>
      <c r="N566" s="22">
        <f t="shared" si="187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184"/>
        <v>4</v>
      </c>
      <c r="J567" s="5"/>
      <c r="K567" s="5"/>
      <c r="L567" s="33">
        <f t="shared" si="185"/>
        <v>824</v>
      </c>
      <c r="M567" s="33">
        <f t="shared" si="186"/>
        <v>824</v>
      </c>
      <c r="N567" s="22">
        <f t="shared" si="187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184"/>
        <v>4</v>
      </c>
      <c r="J568" s="5"/>
      <c r="K568" s="5"/>
      <c r="L568" s="33">
        <f t="shared" si="185"/>
        <v>688</v>
      </c>
      <c r="M568" s="33">
        <f t="shared" si="186"/>
        <v>688</v>
      </c>
      <c r="N568" s="22">
        <f t="shared" si="187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184"/>
        <v>4</v>
      </c>
      <c r="J569" s="5"/>
      <c r="K569" s="5"/>
      <c r="L569" s="33">
        <f t="shared" si="185"/>
        <v>0</v>
      </c>
      <c r="M569" s="33">
        <f t="shared" si="186"/>
        <v>0</v>
      </c>
      <c r="N569" s="22">
        <f t="shared" si="187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184"/>
        <v>4</v>
      </c>
      <c r="J570" s="5"/>
      <c r="K570" s="5"/>
      <c r="L570" s="33">
        <f t="shared" si="185"/>
        <v>506</v>
      </c>
      <c r="M570" s="33">
        <f t="shared" si="186"/>
        <v>506</v>
      </c>
      <c r="N570" s="22">
        <f t="shared" si="187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184"/>
        <v>8</v>
      </c>
      <c r="J571" s="5"/>
      <c r="K571" s="5"/>
      <c r="L571" s="33">
        <f t="shared" si="185"/>
        <v>1012</v>
      </c>
      <c r="M571" s="33">
        <f t="shared" si="186"/>
        <v>1012</v>
      </c>
      <c r="N571" s="22">
        <f t="shared" si="187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184"/>
        <v>0</v>
      </c>
      <c r="J572" s="5"/>
      <c r="K572" s="5"/>
      <c r="L572" s="33">
        <f t="shared" si="185"/>
        <v>0</v>
      </c>
      <c r="M572" s="33">
        <f t="shared" si="186"/>
        <v>0</v>
      </c>
      <c r="N572" s="22">
        <f t="shared" si="187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188">D574*(1-H574)</f>
        <v>80</v>
      </c>
      <c r="J574" s="5"/>
      <c r="K574" s="5"/>
      <c r="L574" s="33">
        <f t="shared" ref="L574:L579" si="189">E574*(1-H574)</f>
        <v>10424</v>
      </c>
      <c r="M574" s="33">
        <f t="shared" ref="M574:M579" si="190">IF(J574="",L574,(E574/D574)*J574)</f>
        <v>10424</v>
      </c>
      <c r="N574" s="22">
        <f t="shared" ref="N574:N579" si="191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188"/>
        <v>40</v>
      </c>
      <c r="J575" s="5"/>
      <c r="K575" s="5"/>
      <c r="L575" s="33">
        <f t="shared" si="189"/>
        <v>7091</v>
      </c>
      <c r="M575" s="33">
        <f t="shared" si="190"/>
        <v>7091</v>
      </c>
      <c r="N575" s="22">
        <f t="shared" si="191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188"/>
        <v>320</v>
      </c>
      <c r="J576" s="5"/>
      <c r="K576" s="5"/>
      <c r="L576" s="33">
        <f t="shared" si="189"/>
        <v>37615</v>
      </c>
      <c r="M576" s="33">
        <f t="shared" si="190"/>
        <v>37615</v>
      </c>
      <c r="N576" s="22">
        <f t="shared" si="191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188"/>
        <v>128.80000000000001</v>
      </c>
      <c r="J577" s="5"/>
      <c r="K577" s="5"/>
      <c r="L577" s="33">
        <f t="shared" si="189"/>
        <v>16294.400000000001</v>
      </c>
      <c r="M577" s="33">
        <f t="shared" si="190"/>
        <v>16294.400000000001</v>
      </c>
      <c r="N577" s="22">
        <f t="shared" si="191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188"/>
        <v>160</v>
      </c>
      <c r="J578" s="5"/>
      <c r="K578" s="5"/>
      <c r="L578" s="33">
        <f t="shared" si="189"/>
        <v>20849</v>
      </c>
      <c r="M578" s="33">
        <f t="shared" si="190"/>
        <v>20849</v>
      </c>
      <c r="N578" s="22">
        <f t="shared" si="191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188"/>
        <v>192</v>
      </c>
      <c r="J579" s="5"/>
      <c r="K579" s="5"/>
      <c r="L579" s="33">
        <f t="shared" si="189"/>
        <v>25019</v>
      </c>
      <c r="M579" s="33">
        <f t="shared" si="190"/>
        <v>25019</v>
      </c>
      <c r="N579" s="22">
        <f t="shared" si="191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 t="shared" ref="I581:I585" si="192">D581*(1-H581)</f>
        <v>0</v>
      </c>
      <c r="J581" s="5"/>
      <c r="K581" s="5"/>
      <c r="L581" s="33">
        <f t="shared" ref="L581:L585" si="193">E581*(1-H581)</f>
        <v>0</v>
      </c>
      <c r="M581" s="33">
        <f t="shared" ref="M581:M585" si="194">IF(J581="",L581,(E581/D581)*J581)</f>
        <v>0</v>
      </c>
      <c r="N581" s="22">
        <f t="shared" ref="N581:N585" si="195"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 t="shared" si="192"/>
        <v>0</v>
      </c>
      <c r="J582" s="5"/>
      <c r="K582" s="5"/>
      <c r="L582" s="33">
        <f t="shared" si="193"/>
        <v>0</v>
      </c>
      <c r="M582" s="33">
        <f t="shared" si="194"/>
        <v>0</v>
      </c>
      <c r="N582" s="22">
        <f t="shared" si="195"/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 t="shared" si="192"/>
        <v>0</v>
      </c>
      <c r="J583" s="5"/>
      <c r="K583" s="5"/>
      <c r="L583" s="33">
        <f t="shared" si="193"/>
        <v>0</v>
      </c>
      <c r="M583" s="33">
        <f t="shared" si="194"/>
        <v>0</v>
      </c>
      <c r="N583" s="22">
        <f t="shared" si="195"/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 t="shared" si="192"/>
        <v>16</v>
      </c>
      <c r="J584" s="5"/>
      <c r="K584" s="5"/>
      <c r="L584" s="33">
        <f t="shared" si="193"/>
        <v>2762</v>
      </c>
      <c r="M584" s="33">
        <f t="shared" si="194"/>
        <v>2762</v>
      </c>
      <c r="N584" s="22">
        <f t="shared" si="195"/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 t="shared" si="192"/>
        <v>0</v>
      </c>
      <c r="J585" s="5"/>
      <c r="K585" s="5"/>
      <c r="L585" s="33">
        <f t="shared" si="193"/>
        <v>0</v>
      </c>
      <c r="M585" s="33">
        <f t="shared" si="194"/>
        <v>0</v>
      </c>
      <c r="N585" s="22">
        <f t="shared" si="195"/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196">D591*(1-H591)</f>
        <v>0</v>
      </c>
      <c r="J591" s="5"/>
      <c r="K591" s="5"/>
      <c r="L591" s="33">
        <f t="shared" ref="L591:L603" si="197">E591*(1-H591)</f>
        <v>0</v>
      </c>
      <c r="M591" s="33">
        <f t="shared" ref="M591:M603" si="198">IF(J591="",L591,(E591/D591)*J591)</f>
        <v>0</v>
      </c>
      <c r="N591" s="22">
        <f t="shared" ref="N591:N603" si="1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196"/>
        <v>0</v>
      </c>
      <c r="J592" s="5"/>
      <c r="K592" s="5"/>
      <c r="L592" s="33">
        <f t="shared" si="197"/>
        <v>0</v>
      </c>
      <c r="M592" s="33">
        <f t="shared" si="198"/>
        <v>0</v>
      </c>
      <c r="N592" s="22">
        <f t="shared" si="1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196"/>
        <v>0</v>
      </c>
      <c r="J593" s="5"/>
      <c r="K593" s="5"/>
      <c r="L593" s="33">
        <f t="shared" si="197"/>
        <v>0</v>
      </c>
      <c r="M593" s="33">
        <f t="shared" si="198"/>
        <v>0</v>
      </c>
      <c r="N593" s="22">
        <f t="shared" si="1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196"/>
        <v>0</v>
      </c>
      <c r="J594" s="5"/>
      <c r="K594" s="5"/>
      <c r="L594" s="33">
        <f t="shared" si="197"/>
        <v>0</v>
      </c>
      <c r="M594" s="33">
        <f t="shared" si="198"/>
        <v>0</v>
      </c>
      <c r="N594" s="22">
        <f t="shared" si="1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196"/>
        <v>225.28</v>
      </c>
      <c r="J595" s="5"/>
      <c r="K595" s="5"/>
      <c r="L595" s="33">
        <f t="shared" si="197"/>
        <v>39935.232000000004</v>
      </c>
      <c r="M595" s="33">
        <f t="shared" si="198"/>
        <v>39935.232000000004</v>
      </c>
      <c r="N595" s="22">
        <f t="shared" si="1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196"/>
        <v>880</v>
      </c>
      <c r="J596" s="5"/>
      <c r="K596" s="5"/>
      <c r="L596" s="33">
        <f t="shared" si="197"/>
        <v>160676</v>
      </c>
      <c r="M596" s="33">
        <f t="shared" si="198"/>
        <v>160676</v>
      </c>
      <c r="N596" s="22">
        <f t="shared" si="1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196"/>
        <v>0</v>
      </c>
      <c r="J597" s="5"/>
      <c r="K597" s="5"/>
      <c r="L597" s="33">
        <f t="shared" si="197"/>
        <v>0</v>
      </c>
      <c r="M597" s="33">
        <f t="shared" si="198"/>
        <v>0</v>
      </c>
      <c r="N597" s="22">
        <f t="shared" si="1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196"/>
        <v>0</v>
      </c>
      <c r="J598" s="5"/>
      <c r="K598" s="5"/>
      <c r="L598" s="33">
        <f t="shared" si="197"/>
        <v>0</v>
      </c>
      <c r="M598" s="33">
        <f t="shared" si="198"/>
        <v>0</v>
      </c>
      <c r="N598" s="22">
        <f t="shared" si="1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196"/>
        <v>0</v>
      </c>
      <c r="J599" s="5"/>
      <c r="K599" s="5"/>
      <c r="L599" s="33">
        <f t="shared" si="197"/>
        <v>0</v>
      </c>
      <c r="M599" s="33">
        <f t="shared" si="198"/>
        <v>0</v>
      </c>
      <c r="N599" s="22">
        <f t="shared" si="1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196"/>
        <v>90.111999999999995</v>
      </c>
      <c r="J600" s="5"/>
      <c r="K600" s="5"/>
      <c r="L600" s="33">
        <f t="shared" si="197"/>
        <v>15784.448</v>
      </c>
      <c r="M600" s="33">
        <f t="shared" si="198"/>
        <v>15784.448</v>
      </c>
      <c r="N600" s="22">
        <f t="shared" si="1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196"/>
        <v>352</v>
      </c>
      <c r="J601" s="5"/>
      <c r="K601" s="5"/>
      <c r="L601" s="33">
        <f t="shared" si="197"/>
        <v>63508</v>
      </c>
      <c r="M601" s="33">
        <f t="shared" si="198"/>
        <v>63508</v>
      </c>
      <c r="N601" s="22">
        <f t="shared" si="1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196"/>
        <v>0</v>
      </c>
      <c r="J602" s="5"/>
      <c r="K602" s="5"/>
      <c r="L602" s="33">
        <f t="shared" si="197"/>
        <v>0</v>
      </c>
      <c r="M602" s="33">
        <f t="shared" si="198"/>
        <v>0</v>
      </c>
      <c r="N602" s="22">
        <f t="shared" si="1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196"/>
        <v>0</v>
      </c>
      <c r="J603" s="5"/>
      <c r="K603" s="5"/>
      <c r="L603" s="33">
        <f t="shared" si="197"/>
        <v>0</v>
      </c>
      <c r="M603" s="33">
        <f t="shared" si="198"/>
        <v>0</v>
      </c>
      <c r="N603" s="22">
        <f t="shared" si="1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 t="shared" ref="I605:I608" si="200">D605*(1-H605)</f>
        <v>0</v>
      </c>
      <c r="J605" s="5"/>
      <c r="K605" s="5"/>
      <c r="L605" s="33">
        <f t="shared" ref="L605:L608" si="201">E605*(1-H605)</f>
        <v>0</v>
      </c>
      <c r="M605" s="33">
        <f t="shared" ref="M605:M608" si="202">IF(J605="",L605,(E605/D605)*J605)</f>
        <v>0</v>
      </c>
      <c r="N605" s="22">
        <f t="shared" ref="N605:N608" si="203"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 t="shared" si="200"/>
        <v>0</v>
      </c>
      <c r="J606" s="5"/>
      <c r="K606" s="5"/>
      <c r="L606" s="33">
        <f t="shared" si="201"/>
        <v>0</v>
      </c>
      <c r="M606" s="33">
        <f t="shared" si="202"/>
        <v>0</v>
      </c>
      <c r="N606" s="22">
        <f t="shared" si="203"/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 t="shared" si="200"/>
        <v>0</v>
      </c>
      <c r="J607" s="5"/>
      <c r="K607" s="5"/>
      <c r="L607" s="33">
        <f t="shared" si="201"/>
        <v>0</v>
      </c>
      <c r="M607" s="33">
        <f t="shared" si="202"/>
        <v>0</v>
      </c>
      <c r="N607" s="22">
        <f t="shared" si="203"/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 t="shared" si="200"/>
        <v>0</v>
      </c>
      <c r="J608" s="5"/>
      <c r="K608" s="5"/>
      <c r="L608" s="33">
        <f t="shared" si="201"/>
        <v>0</v>
      </c>
      <c r="M608" s="33">
        <f t="shared" si="202"/>
        <v>0</v>
      </c>
      <c r="N608" s="22">
        <f t="shared" si="203"/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204">D610*(1-H610)</f>
        <v>0</v>
      </c>
      <c r="J610" s="5"/>
      <c r="K610" s="5"/>
      <c r="L610" s="33">
        <f t="shared" ref="L610:L626" si="205">E610*(1-H610)</f>
        <v>0</v>
      </c>
      <c r="M610" s="33">
        <f t="shared" ref="M610:M626" si="206">IF(J610="",L610,(E610/D610)*J610)</f>
        <v>0</v>
      </c>
      <c r="N610" s="22">
        <f t="shared" ref="N610:N626" si="207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204"/>
        <v>0</v>
      </c>
      <c r="J611" s="5"/>
      <c r="K611" s="5"/>
      <c r="L611" s="33">
        <f t="shared" si="205"/>
        <v>0</v>
      </c>
      <c r="M611" s="33">
        <f t="shared" si="206"/>
        <v>0</v>
      </c>
      <c r="N611" s="22">
        <f t="shared" si="207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204"/>
        <v>0</v>
      </c>
      <c r="J612" s="5"/>
      <c r="K612" s="5"/>
      <c r="L612" s="33">
        <f t="shared" si="205"/>
        <v>0</v>
      </c>
      <c r="M612" s="33">
        <f t="shared" si="206"/>
        <v>0</v>
      </c>
      <c r="N612" s="22">
        <f t="shared" si="207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204"/>
        <v>0</v>
      </c>
      <c r="J613" s="5"/>
      <c r="K613" s="5"/>
      <c r="L613" s="33">
        <f t="shared" si="205"/>
        <v>0</v>
      </c>
      <c r="M613" s="33">
        <f t="shared" si="206"/>
        <v>0</v>
      </c>
      <c r="N613" s="22">
        <f t="shared" si="207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204"/>
        <v>227.84</v>
      </c>
      <c r="J614" s="5"/>
      <c r="K614" s="5"/>
      <c r="L614" s="33">
        <f t="shared" si="205"/>
        <v>37011.712</v>
      </c>
      <c r="M614" s="33">
        <f t="shared" si="206"/>
        <v>37011.712</v>
      </c>
      <c r="N614" s="22">
        <f t="shared" si="207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204"/>
        <v>220.16</v>
      </c>
      <c r="J615" s="5"/>
      <c r="K615" s="5"/>
      <c r="L615" s="33">
        <f t="shared" si="205"/>
        <v>28687.871999999999</v>
      </c>
      <c r="M615" s="33">
        <f t="shared" si="206"/>
        <v>28687.871999999999</v>
      </c>
      <c r="N615" s="22">
        <f t="shared" si="207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204"/>
        <v>800</v>
      </c>
      <c r="J616" s="5"/>
      <c r="K616" s="5"/>
      <c r="L616" s="33">
        <f t="shared" si="205"/>
        <v>107371</v>
      </c>
      <c r="M616" s="33">
        <f t="shared" si="206"/>
        <v>107371</v>
      </c>
      <c r="N616" s="22">
        <f t="shared" si="207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204"/>
        <v>0</v>
      </c>
      <c r="J617" s="5"/>
      <c r="K617" s="5"/>
      <c r="L617" s="33">
        <f t="shared" si="205"/>
        <v>0</v>
      </c>
      <c r="M617" s="33">
        <f t="shared" si="206"/>
        <v>0</v>
      </c>
      <c r="N617" s="22">
        <f t="shared" si="207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204"/>
        <v>90.111999999999995</v>
      </c>
      <c r="J618" s="5"/>
      <c r="K618" s="5"/>
      <c r="L618" s="33">
        <f t="shared" si="205"/>
        <v>9301.76</v>
      </c>
      <c r="M618" s="33">
        <f t="shared" si="206"/>
        <v>9301.76</v>
      </c>
      <c r="N618" s="22">
        <f t="shared" si="207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204"/>
        <v>0</v>
      </c>
      <c r="J619" s="5"/>
      <c r="K619" s="5"/>
      <c r="L619" s="33">
        <f t="shared" si="205"/>
        <v>0</v>
      </c>
      <c r="M619" s="33">
        <f t="shared" si="206"/>
        <v>0</v>
      </c>
      <c r="N619" s="22">
        <f t="shared" si="207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204"/>
        <v>0</v>
      </c>
      <c r="J620" s="5"/>
      <c r="K620" s="5"/>
      <c r="L620" s="33">
        <f t="shared" si="205"/>
        <v>0</v>
      </c>
      <c r="M620" s="33">
        <f t="shared" si="206"/>
        <v>0</v>
      </c>
      <c r="N620" s="22">
        <f t="shared" si="207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204"/>
        <v>112.64</v>
      </c>
      <c r="J621" s="5"/>
      <c r="K621" s="5"/>
      <c r="L621" s="33">
        <f t="shared" si="205"/>
        <v>17085.696</v>
      </c>
      <c r="M621" s="33">
        <f t="shared" si="206"/>
        <v>17085.696</v>
      </c>
      <c r="N621" s="22">
        <f t="shared" si="207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204"/>
        <v>90.111999999999995</v>
      </c>
      <c r="J622" s="5"/>
      <c r="K622" s="5"/>
      <c r="L622" s="33">
        <f t="shared" si="205"/>
        <v>11741.952000000001</v>
      </c>
      <c r="M622" s="33">
        <f t="shared" si="206"/>
        <v>11741.952000000001</v>
      </c>
      <c r="N622" s="22">
        <f t="shared" si="207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204"/>
        <v>40</v>
      </c>
      <c r="J623" s="5"/>
      <c r="K623" s="5"/>
      <c r="L623" s="33">
        <f t="shared" si="205"/>
        <v>5530</v>
      </c>
      <c r="M623" s="33">
        <f t="shared" si="206"/>
        <v>5530</v>
      </c>
      <c r="N623" s="22">
        <f t="shared" si="207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204"/>
        <v>0</v>
      </c>
      <c r="J624" s="5"/>
      <c r="K624" s="5"/>
      <c r="L624" s="33">
        <f t="shared" si="205"/>
        <v>0</v>
      </c>
      <c r="M624" s="33">
        <f t="shared" si="206"/>
        <v>0</v>
      </c>
      <c r="N624" s="22">
        <f t="shared" si="207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204"/>
        <v>0</v>
      </c>
      <c r="J625" s="5"/>
      <c r="K625" s="5"/>
      <c r="L625" s="33">
        <f t="shared" si="205"/>
        <v>0</v>
      </c>
      <c r="M625" s="33">
        <f t="shared" si="206"/>
        <v>0</v>
      </c>
      <c r="N625" s="22">
        <f t="shared" si="207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204"/>
        <v>0</v>
      </c>
      <c r="J626" s="5"/>
      <c r="K626" s="5"/>
      <c r="L626" s="33">
        <f t="shared" si="205"/>
        <v>0</v>
      </c>
      <c r="M626" s="33">
        <f t="shared" si="206"/>
        <v>0</v>
      </c>
      <c r="N626" s="22">
        <f t="shared" si="207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208">D628*(1-H628)</f>
        <v>0</v>
      </c>
      <c r="J628" s="5"/>
      <c r="K628" s="5"/>
      <c r="L628" s="33">
        <f t="shared" ref="L628:L640" si="209">E628*(1-H628)</f>
        <v>0</v>
      </c>
      <c r="M628" s="33">
        <f t="shared" ref="M628:M640" si="210">IF(J628="",L628,(E628/D628)*J628)</f>
        <v>0</v>
      </c>
      <c r="N628" s="22">
        <f t="shared" ref="N628:N640" si="211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208"/>
        <v>0</v>
      </c>
      <c r="J629" s="5"/>
      <c r="K629" s="5"/>
      <c r="L629" s="33">
        <f t="shared" si="209"/>
        <v>0</v>
      </c>
      <c r="M629" s="33">
        <f t="shared" si="210"/>
        <v>0</v>
      </c>
      <c r="N629" s="22">
        <f t="shared" si="211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208"/>
        <v>0</v>
      </c>
      <c r="J630" s="5"/>
      <c r="K630" s="5"/>
      <c r="L630" s="33">
        <f t="shared" si="209"/>
        <v>0</v>
      </c>
      <c r="M630" s="33">
        <f t="shared" si="210"/>
        <v>0</v>
      </c>
      <c r="N630" s="22">
        <f t="shared" si="211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208"/>
        <v>0</v>
      </c>
      <c r="J631" s="5"/>
      <c r="K631" s="5"/>
      <c r="L631" s="33">
        <f t="shared" si="209"/>
        <v>0</v>
      </c>
      <c r="M631" s="33">
        <f t="shared" si="210"/>
        <v>0</v>
      </c>
      <c r="N631" s="22">
        <f t="shared" si="211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208"/>
        <v>0</v>
      </c>
      <c r="J632" s="5"/>
      <c r="K632" s="5"/>
      <c r="L632" s="33">
        <f t="shared" si="209"/>
        <v>0</v>
      </c>
      <c r="M632" s="33">
        <f t="shared" si="210"/>
        <v>0</v>
      </c>
      <c r="N632" s="22">
        <f t="shared" si="211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208"/>
        <v>0</v>
      </c>
      <c r="J633" s="5"/>
      <c r="K633" s="5"/>
      <c r="L633" s="33">
        <f t="shared" si="209"/>
        <v>0</v>
      </c>
      <c r="M633" s="33">
        <f t="shared" si="210"/>
        <v>0</v>
      </c>
      <c r="N633" s="22">
        <f t="shared" si="211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208"/>
        <v>225.28</v>
      </c>
      <c r="J634" s="5"/>
      <c r="K634" s="5"/>
      <c r="L634" s="33">
        <f t="shared" si="209"/>
        <v>39461.120000000003</v>
      </c>
      <c r="M634" s="33">
        <f t="shared" si="210"/>
        <v>39461.120000000003</v>
      </c>
      <c r="N634" s="22">
        <f t="shared" si="211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208"/>
        <v>112.64</v>
      </c>
      <c r="J635" s="5"/>
      <c r="K635" s="5"/>
      <c r="L635" s="33">
        <f t="shared" si="209"/>
        <v>14677.504000000001</v>
      </c>
      <c r="M635" s="33">
        <f t="shared" si="210"/>
        <v>14677.504000000001</v>
      </c>
      <c r="N635" s="22">
        <f t="shared" si="211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208"/>
        <v>112.64</v>
      </c>
      <c r="J636" s="5"/>
      <c r="K636" s="5"/>
      <c r="L636" s="33">
        <f t="shared" si="209"/>
        <v>19967.488000000001</v>
      </c>
      <c r="M636" s="33">
        <f t="shared" si="210"/>
        <v>19967.488000000001</v>
      </c>
      <c r="N636" s="22">
        <f t="shared" si="211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208"/>
        <v>880</v>
      </c>
      <c r="J637" s="5"/>
      <c r="K637" s="5"/>
      <c r="L637" s="33">
        <f t="shared" si="209"/>
        <v>158770</v>
      </c>
      <c r="M637" s="33">
        <f t="shared" si="210"/>
        <v>158770</v>
      </c>
      <c r="N637" s="22">
        <f t="shared" si="211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208"/>
        <v>282</v>
      </c>
      <c r="J638" s="5"/>
      <c r="K638" s="5"/>
      <c r="L638" s="33">
        <f t="shared" si="209"/>
        <v>52405</v>
      </c>
      <c r="M638" s="33">
        <f t="shared" si="210"/>
        <v>52405</v>
      </c>
      <c r="N638" s="22">
        <f t="shared" si="211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208"/>
        <v>0</v>
      </c>
      <c r="J639" s="5"/>
      <c r="K639" s="5"/>
      <c r="L639" s="33">
        <f t="shared" si="209"/>
        <v>0</v>
      </c>
      <c r="M639" s="33">
        <f t="shared" si="210"/>
        <v>0</v>
      </c>
      <c r="N639" s="22">
        <f t="shared" si="211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208"/>
        <v>0</v>
      </c>
      <c r="J640" s="5"/>
      <c r="K640" s="5"/>
      <c r="L640" s="33">
        <f t="shared" si="209"/>
        <v>0</v>
      </c>
      <c r="M640" s="33">
        <f t="shared" si="210"/>
        <v>0</v>
      </c>
      <c r="N640" s="22">
        <f t="shared" si="211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212">D644*(1-H644)</f>
        <v>8</v>
      </c>
      <c r="J644" s="5"/>
      <c r="K644" s="5"/>
      <c r="L644" s="33">
        <f t="shared" ref="L644:L651" si="213">E644*(1-H644)</f>
        <v>1460.5</v>
      </c>
      <c r="M644" s="33">
        <f t="shared" ref="M644:M651" si="214">IF(J644="",L644,(E644/D644)*J644)</f>
        <v>1460.5</v>
      </c>
      <c r="N644" s="22">
        <f t="shared" ref="N644:N651" si="215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212"/>
        <v>4</v>
      </c>
      <c r="J645" s="5"/>
      <c r="K645" s="5"/>
      <c r="L645" s="33">
        <f t="shared" si="213"/>
        <v>625</v>
      </c>
      <c r="M645" s="33">
        <f t="shared" si="214"/>
        <v>625</v>
      </c>
      <c r="N645" s="22">
        <f t="shared" si="215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212"/>
        <v>8</v>
      </c>
      <c r="J646" s="5"/>
      <c r="K646" s="5"/>
      <c r="L646" s="33">
        <f t="shared" si="213"/>
        <v>1638</v>
      </c>
      <c r="M646" s="33">
        <f t="shared" si="214"/>
        <v>1638</v>
      </c>
      <c r="N646" s="22">
        <f t="shared" si="215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212"/>
        <v>16</v>
      </c>
      <c r="J647" s="5"/>
      <c r="K647" s="5"/>
      <c r="L647" s="33">
        <f t="shared" si="213"/>
        <v>2921</v>
      </c>
      <c r="M647" s="33">
        <f t="shared" si="214"/>
        <v>2921</v>
      </c>
      <c r="N647" s="22">
        <f t="shared" si="215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212"/>
        <v>8</v>
      </c>
      <c r="J648" s="5"/>
      <c r="K648" s="5"/>
      <c r="L648" s="33">
        <f t="shared" si="213"/>
        <v>1250</v>
      </c>
      <c r="M648" s="33">
        <f t="shared" si="214"/>
        <v>1250</v>
      </c>
      <c r="N648" s="22">
        <f t="shared" si="215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212"/>
        <v>16</v>
      </c>
      <c r="J649" s="5"/>
      <c r="K649" s="5"/>
      <c r="L649" s="33">
        <f t="shared" si="213"/>
        <v>3276</v>
      </c>
      <c r="M649" s="33">
        <f t="shared" si="214"/>
        <v>3276</v>
      </c>
      <c r="N649" s="22">
        <f t="shared" si="215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212"/>
        <v>16</v>
      </c>
      <c r="J650" s="5"/>
      <c r="K650" s="5"/>
      <c r="L650" s="33">
        <f t="shared" si="213"/>
        <v>2921</v>
      </c>
      <c r="M650" s="33">
        <f t="shared" si="214"/>
        <v>2921</v>
      </c>
      <c r="N650" s="22">
        <f t="shared" si="215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212"/>
        <v>16</v>
      </c>
      <c r="J651" s="5"/>
      <c r="K651" s="5"/>
      <c r="L651" s="33">
        <f t="shared" si="213"/>
        <v>3276</v>
      </c>
      <c r="M651" s="33">
        <f t="shared" si="214"/>
        <v>3276</v>
      </c>
      <c r="N651" s="22">
        <f t="shared" si="215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216">D653*(1-H653)</f>
        <v>60</v>
      </c>
      <c r="J653" s="5"/>
      <c r="K653" s="5"/>
      <c r="L653" s="33">
        <f t="shared" ref="L653:L666" si="217">E653*(1-H653)</f>
        <v>8053</v>
      </c>
      <c r="M653" s="33">
        <f t="shared" ref="M653:M666" si="218">IF(J653="",L653,(E653/D653)*J653)</f>
        <v>8053</v>
      </c>
      <c r="N653" s="22">
        <f t="shared" ref="N653:N666" si="219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216"/>
        <v>60</v>
      </c>
      <c r="J654" s="5"/>
      <c r="K654" s="5"/>
      <c r="L654" s="33">
        <f t="shared" si="217"/>
        <v>7264</v>
      </c>
      <c r="M654" s="33">
        <f t="shared" si="218"/>
        <v>7264</v>
      </c>
      <c r="N654" s="22">
        <f t="shared" si="219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216"/>
        <v>60</v>
      </c>
      <c r="J655" s="5"/>
      <c r="K655" s="5"/>
      <c r="L655" s="33">
        <f t="shared" si="217"/>
        <v>12285</v>
      </c>
      <c r="M655" s="33">
        <f t="shared" si="218"/>
        <v>12285</v>
      </c>
      <c r="N655" s="22">
        <f t="shared" si="219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216"/>
        <v>8</v>
      </c>
      <c r="J656" s="5"/>
      <c r="K656" s="5"/>
      <c r="L656" s="33">
        <f t="shared" si="217"/>
        <v>1074</v>
      </c>
      <c r="M656" s="33">
        <f t="shared" si="218"/>
        <v>1074</v>
      </c>
      <c r="N656" s="22">
        <f t="shared" si="219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216"/>
        <v>8</v>
      </c>
      <c r="J657" s="5"/>
      <c r="K657" s="5"/>
      <c r="L657" s="33">
        <f t="shared" si="217"/>
        <v>969</v>
      </c>
      <c r="M657" s="33">
        <f t="shared" si="218"/>
        <v>969</v>
      </c>
      <c r="N657" s="22">
        <f t="shared" si="219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216"/>
        <v>8</v>
      </c>
      <c r="J658" s="5"/>
      <c r="K658" s="5"/>
      <c r="L658" s="33">
        <f t="shared" si="217"/>
        <v>1638</v>
      </c>
      <c r="M658" s="33">
        <f t="shared" si="218"/>
        <v>1638</v>
      </c>
      <c r="N658" s="22">
        <f t="shared" si="219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216"/>
        <v>20</v>
      </c>
      <c r="J659" s="5"/>
      <c r="K659" s="5"/>
      <c r="L659" s="33">
        <f t="shared" si="217"/>
        <v>2684</v>
      </c>
      <c r="M659" s="33">
        <f t="shared" si="218"/>
        <v>2684</v>
      </c>
      <c r="N659" s="22">
        <f t="shared" si="219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216"/>
        <v>80</v>
      </c>
      <c r="J660" s="5"/>
      <c r="K660" s="5"/>
      <c r="L660" s="33">
        <f t="shared" si="217"/>
        <v>14607</v>
      </c>
      <c r="M660" s="33">
        <f t="shared" si="218"/>
        <v>14607</v>
      </c>
      <c r="N660" s="22">
        <f t="shared" si="219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216"/>
        <v>80</v>
      </c>
      <c r="J661" s="5"/>
      <c r="K661" s="5"/>
      <c r="L661" s="33">
        <f t="shared" si="217"/>
        <v>9686</v>
      </c>
      <c r="M661" s="33">
        <f t="shared" si="218"/>
        <v>9686</v>
      </c>
      <c r="N661" s="22">
        <f t="shared" si="219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216"/>
        <v>80</v>
      </c>
      <c r="J662" s="5"/>
      <c r="K662" s="5"/>
      <c r="L662" s="33">
        <f t="shared" si="217"/>
        <v>16380</v>
      </c>
      <c r="M662" s="33">
        <f t="shared" si="218"/>
        <v>16380</v>
      </c>
      <c r="N662" s="22">
        <f t="shared" si="219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216"/>
        <v>20</v>
      </c>
      <c r="J663" s="5"/>
      <c r="K663" s="5"/>
      <c r="L663" s="33">
        <f t="shared" si="217"/>
        <v>2684</v>
      </c>
      <c r="M663" s="33">
        <f t="shared" si="218"/>
        <v>2684</v>
      </c>
      <c r="N663" s="22">
        <f t="shared" si="219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216"/>
        <v>80</v>
      </c>
      <c r="J664" s="5"/>
      <c r="K664" s="5"/>
      <c r="L664" s="33">
        <f t="shared" si="217"/>
        <v>14607</v>
      </c>
      <c r="M664" s="33">
        <f t="shared" si="218"/>
        <v>14607</v>
      </c>
      <c r="N664" s="22">
        <f t="shared" si="219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216"/>
        <v>80</v>
      </c>
      <c r="J665" s="5"/>
      <c r="K665" s="5"/>
      <c r="L665" s="33">
        <f t="shared" si="217"/>
        <v>9686</v>
      </c>
      <c r="M665" s="33">
        <f t="shared" si="218"/>
        <v>9686</v>
      </c>
      <c r="N665" s="22">
        <f t="shared" si="219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216"/>
        <v>80</v>
      </c>
      <c r="J666" s="5"/>
      <c r="K666" s="5"/>
      <c r="L666" s="33">
        <f t="shared" si="217"/>
        <v>16380</v>
      </c>
      <c r="M666" s="33">
        <f t="shared" si="218"/>
        <v>16380</v>
      </c>
      <c r="N666" s="22">
        <f t="shared" si="219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220">D668*(1-H668)</f>
        <v>0</v>
      </c>
      <c r="J668" s="5"/>
      <c r="K668" s="5"/>
      <c r="L668" s="33">
        <f t="shared" ref="L668:L678" si="221">E668*(1-H668)</f>
        <v>0</v>
      </c>
      <c r="M668" s="33">
        <f t="shared" ref="M668:M678" si="222">IF(J668="",L668,(E668/D668)*J668)</f>
        <v>0</v>
      </c>
      <c r="N668" s="22">
        <f t="shared" ref="N668:N678" si="223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220"/>
        <v>0</v>
      </c>
      <c r="J669" s="5"/>
      <c r="K669" s="5"/>
      <c r="L669" s="33">
        <f t="shared" si="221"/>
        <v>0</v>
      </c>
      <c r="M669" s="33">
        <f t="shared" si="222"/>
        <v>0</v>
      </c>
      <c r="N669" s="22">
        <f t="shared" si="223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220"/>
        <v>400</v>
      </c>
      <c r="J670" s="5"/>
      <c r="K670" s="5"/>
      <c r="L670" s="33">
        <f t="shared" si="221"/>
        <v>48260</v>
      </c>
      <c r="M670" s="33">
        <f t="shared" si="222"/>
        <v>48260</v>
      </c>
      <c r="N670" s="22">
        <f t="shared" si="223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220"/>
        <v>40</v>
      </c>
      <c r="J671" s="5"/>
      <c r="K671" s="5"/>
      <c r="L671" s="33">
        <f t="shared" si="221"/>
        <v>6227</v>
      </c>
      <c r="M671" s="33">
        <f t="shared" si="222"/>
        <v>6227</v>
      </c>
      <c r="N671" s="22">
        <f t="shared" si="223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220"/>
        <v>160</v>
      </c>
      <c r="J672" s="5"/>
      <c r="K672" s="5"/>
      <c r="L672" s="33">
        <f t="shared" si="221"/>
        <v>19372</v>
      </c>
      <c r="M672" s="33">
        <f t="shared" si="222"/>
        <v>19372</v>
      </c>
      <c r="N672" s="22">
        <f t="shared" si="223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220"/>
        <v>16</v>
      </c>
      <c r="J673" s="5"/>
      <c r="K673" s="5"/>
      <c r="L673" s="33">
        <f t="shared" si="221"/>
        <v>2500</v>
      </c>
      <c r="M673" s="33">
        <f t="shared" si="222"/>
        <v>2500</v>
      </c>
      <c r="N673" s="22">
        <f t="shared" si="223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220"/>
        <v>0</v>
      </c>
      <c r="J674" s="5"/>
      <c r="K674" s="5"/>
      <c r="L674" s="33">
        <f t="shared" si="221"/>
        <v>0</v>
      </c>
      <c r="M674" s="33">
        <f t="shared" si="222"/>
        <v>0</v>
      </c>
      <c r="N674" s="22">
        <f t="shared" si="223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220"/>
        <v>0</v>
      </c>
      <c r="J675" s="5"/>
      <c r="K675" s="5"/>
      <c r="L675" s="33">
        <f t="shared" si="221"/>
        <v>0</v>
      </c>
      <c r="M675" s="33">
        <f t="shared" si="222"/>
        <v>0</v>
      </c>
      <c r="N675" s="22">
        <f t="shared" si="223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220"/>
        <v>0</v>
      </c>
      <c r="J676" s="5"/>
      <c r="K676" s="5"/>
      <c r="L676" s="33">
        <f t="shared" si="221"/>
        <v>0</v>
      </c>
      <c r="M676" s="33">
        <f t="shared" si="222"/>
        <v>0</v>
      </c>
      <c r="N676" s="22">
        <f t="shared" si="223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220"/>
        <v>0</v>
      </c>
      <c r="J677" s="5"/>
      <c r="K677" s="5"/>
      <c r="L677" s="33">
        <f t="shared" si="221"/>
        <v>0</v>
      </c>
      <c r="M677" s="33">
        <f t="shared" si="222"/>
        <v>0</v>
      </c>
      <c r="N677" s="22">
        <f t="shared" si="223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220"/>
        <v>0</v>
      </c>
      <c r="J678" s="5"/>
      <c r="K678" s="5"/>
      <c r="L678" s="33">
        <f t="shared" si="221"/>
        <v>0</v>
      </c>
      <c r="M678" s="33">
        <f t="shared" si="222"/>
        <v>0</v>
      </c>
      <c r="N678" s="22">
        <f t="shared" si="223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224">D680*(1-H680)</f>
        <v>0</v>
      </c>
      <c r="J680" s="5"/>
      <c r="K680" s="5"/>
      <c r="L680" s="33">
        <f t="shared" ref="L680:L685" si="225">E680*(1-H680)</f>
        <v>0</v>
      </c>
      <c r="M680" s="33">
        <f t="shared" ref="M680:M685" si="226">IF(J680="",L680,(E680/D680)*J680)</f>
        <v>0</v>
      </c>
      <c r="N680" s="22">
        <f t="shared" ref="N680:N685" si="227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224"/>
        <v>0</v>
      </c>
      <c r="J681" s="5"/>
      <c r="K681" s="5"/>
      <c r="L681" s="33">
        <f t="shared" si="225"/>
        <v>0</v>
      </c>
      <c r="M681" s="33">
        <f t="shared" si="226"/>
        <v>0</v>
      </c>
      <c r="N681" s="22">
        <f t="shared" si="227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224"/>
        <v>0</v>
      </c>
      <c r="J682" s="5"/>
      <c r="K682" s="5"/>
      <c r="L682" s="33">
        <f t="shared" si="225"/>
        <v>0</v>
      </c>
      <c r="M682" s="33">
        <f t="shared" si="226"/>
        <v>0</v>
      </c>
      <c r="N682" s="22">
        <f t="shared" si="227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224"/>
        <v>0</v>
      </c>
      <c r="J683" s="5"/>
      <c r="K683" s="5"/>
      <c r="L683" s="33">
        <f t="shared" si="225"/>
        <v>0</v>
      </c>
      <c r="M683" s="33">
        <f t="shared" si="226"/>
        <v>0</v>
      </c>
      <c r="N683" s="22">
        <f t="shared" si="227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224"/>
        <v>0</v>
      </c>
      <c r="J684" s="5"/>
      <c r="K684" s="5"/>
      <c r="L684" s="33">
        <f t="shared" si="225"/>
        <v>0</v>
      </c>
      <c r="M684" s="33">
        <f t="shared" si="226"/>
        <v>0</v>
      </c>
      <c r="N684" s="22">
        <f t="shared" si="227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224"/>
        <v>0</v>
      </c>
      <c r="J685" s="5"/>
      <c r="K685" s="5"/>
      <c r="L685" s="33">
        <f t="shared" si="225"/>
        <v>0</v>
      </c>
      <c r="M685" s="33">
        <f t="shared" si="226"/>
        <v>0</v>
      </c>
      <c r="N685" s="22">
        <f t="shared" si="227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 t="shared" ref="I690:I692" si="228">D690*(1-H690)</f>
        <v>0</v>
      </c>
      <c r="J690" s="5"/>
      <c r="K690" s="5"/>
      <c r="L690" s="33">
        <f t="shared" ref="L690:L692" si="229">E690*(1-H690)</f>
        <v>0</v>
      </c>
      <c r="M690" s="33">
        <f t="shared" ref="M690:M692" si="230">IF(J690="",L690,(E690/D690)*J690)</f>
        <v>0</v>
      </c>
      <c r="N690" s="22">
        <f t="shared" ref="N690:N692" si="231"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 t="shared" si="228"/>
        <v>0</v>
      </c>
      <c r="J691" s="5"/>
      <c r="K691" s="5"/>
      <c r="L691" s="33">
        <f t="shared" si="229"/>
        <v>0</v>
      </c>
      <c r="M691" s="33">
        <f t="shared" si="230"/>
        <v>0</v>
      </c>
      <c r="N691" s="22">
        <f t="shared" si="231"/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 t="shared" si="228"/>
        <v>0</v>
      </c>
      <c r="J692" s="5"/>
      <c r="K692" s="5"/>
      <c r="L692" s="33">
        <f t="shared" si="229"/>
        <v>0</v>
      </c>
      <c r="M692" s="33">
        <f t="shared" si="230"/>
        <v>0</v>
      </c>
      <c r="N692" s="22">
        <f t="shared" si="231"/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 t="shared" ref="I694:I697" si="232">D694*(1-H694)</f>
        <v>0</v>
      </c>
      <c r="J694" s="5"/>
      <c r="K694" s="5"/>
      <c r="L694" s="33">
        <f t="shared" ref="L694:L697" si="233">E694*(1-H694)</f>
        <v>0</v>
      </c>
      <c r="M694" s="33">
        <f t="shared" ref="M694:M697" si="234">IF(J694="",L694,(E694/D694)*J694)</f>
        <v>0</v>
      </c>
      <c r="N694" s="22">
        <f t="shared" ref="N694:N697" si="235"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 t="shared" si="232"/>
        <v>0</v>
      </c>
      <c r="J695" s="5"/>
      <c r="K695" s="5"/>
      <c r="L695" s="33">
        <f t="shared" si="233"/>
        <v>0</v>
      </c>
      <c r="M695" s="33">
        <f t="shared" si="234"/>
        <v>0</v>
      </c>
      <c r="N695" s="22">
        <f t="shared" si="235"/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 t="shared" si="232"/>
        <v>0</v>
      </c>
      <c r="J696" s="5"/>
      <c r="K696" s="5"/>
      <c r="L696" s="33">
        <f t="shared" si="233"/>
        <v>0</v>
      </c>
      <c r="M696" s="33">
        <f t="shared" si="234"/>
        <v>0</v>
      </c>
      <c r="N696" s="22">
        <f t="shared" si="235"/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 t="shared" si="232"/>
        <v>0</v>
      </c>
      <c r="J697" s="5"/>
      <c r="K697" s="5"/>
      <c r="L697" s="33">
        <f t="shared" si="233"/>
        <v>0</v>
      </c>
      <c r="M697" s="33">
        <f t="shared" si="234"/>
        <v>0</v>
      </c>
      <c r="N697" s="22">
        <f t="shared" si="235"/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 t="shared" ref="I699:I702" si="236">D699*(1-H699)</f>
        <v>0</v>
      </c>
      <c r="J699" s="5"/>
      <c r="K699" s="5"/>
      <c r="L699" s="33">
        <f t="shared" ref="L699:L702" si="237">E699*(1-H699)</f>
        <v>0</v>
      </c>
      <c r="M699" s="33">
        <f t="shared" ref="M699:M702" si="238">IF(J699="",L699,(E699/D699)*J699)</f>
        <v>0</v>
      </c>
      <c r="N699" s="22">
        <f t="shared" ref="N699:N702" si="239"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 t="shared" si="236"/>
        <v>0</v>
      </c>
      <c r="J700" s="5"/>
      <c r="K700" s="5"/>
      <c r="L700" s="33">
        <f t="shared" si="237"/>
        <v>0</v>
      </c>
      <c r="M700" s="33">
        <f t="shared" si="238"/>
        <v>0</v>
      </c>
      <c r="N700" s="22">
        <f t="shared" si="239"/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 t="shared" si="236"/>
        <v>0</v>
      </c>
      <c r="J701" s="5"/>
      <c r="K701" s="5"/>
      <c r="L701" s="33">
        <f t="shared" si="237"/>
        <v>0</v>
      </c>
      <c r="M701" s="33">
        <f t="shared" si="238"/>
        <v>0</v>
      </c>
      <c r="N701" s="22">
        <f t="shared" si="239"/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 t="shared" si="236"/>
        <v>0</v>
      </c>
      <c r="J702" s="5"/>
      <c r="K702" s="5"/>
      <c r="L702" s="33">
        <f t="shared" si="237"/>
        <v>0</v>
      </c>
      <c r="M702" s="33">
        <f t="shared" si="238"/>
        <v>0</v>
      </c>
      <c r="N702" s="22">
        <f t="shared" si="239"/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 t="shared" ref="I705:I707" si="240">D705*(1-H705)</f>
        <v>31313</v>
      </c>
      <c r="J705" s="5"/>
      <c r="K705" s="5"/>
      <c r="L705" s="33">
        <f t="shared" ref="L705:L707" si="241">E705*(1-H705)</f>
        <v>34933</v>
      </c>
      <c r="M705" s="33">
        <f t="shared" ref="M705:M707" si="242">IF(J705="",L705,(E705/D705)*J705)</f>
        <v>34933</v>
      </c>
      <c r="N705" s="22">
        <f t="shared" ref="N705:N707" si="243"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 t="shared" si="240"/>
        <v>125253</v>
      </c>
      <c r="J706" s="5"/>
      <c r="K706" s="5"/>
      <c r="L706" s="33">
        <f t="shared" si="241"/>
        <v>139734</v>
      </c>
      <c r="M706" s="33">
        <f t="shared" si="242"/>
        <v>139734</v>
      </c>
      <c r="N706" s="22">
        <f t="shared" si="243"/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 t="shared" si="240"/>
        <v>31313</v>
      </c>
      <c r="J707" s="5"/>
      <c r="K707" s="5"/>
      <c r="L707" s="33">
        <f t="shared" si="241"/>
        <v>34933</v>
      </c>
      <c r="M707" s="33">
        <f t="shared" si="242"/>
        <v>34933</v>
      </c>
      <c r="N707" s="22">
        <f t="shared" si="243"/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 t="shared" ref="I709:I711" si="244">D709*(1-H709)</f>
        <v>23485</v>
      </c>
      <c r="J709" s="5"/>
      <c r="K709" s="5"/>
      <c r="L709" s="33">
        <f t="shared" ref="L709:L711" si="245">E709*(1-H709)</f>
        <v>26200</v>
      </c>
      <c r="M709" s="33">
        <f t="shared" ref="M709:M711" si="246">IF(J709="",L709,(E709/D709)*J709)</f>
        <v>26200</v>
      </c>
      <c r="N709" s="22">
        <f t="shared" ref="N709:N711" si="247"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 t="shared" si="244"/>
        <v>93940</v>
      </c>
      <c r="J710" s="5"/>
      <c r="K710" s="5"/>
      <c r="L710" s="33">
        <f t="shared" si="245"/>
        <v>104800</v>
      </c>
      <c r="M710" s="33">
        <f t="shared" si="246"/>
        <v>104800</v>
      </c>
      <c r="N710" s="22">
        <f t="shared" si="247"/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 t="shared" si="244"/>
        <v>23485</v>
      </c>
      <c r="J711" s="5"/>
      <c r="K711" s="5"/>
      <c r="L711" s="33">
        <f t="shared" si="245"/>
        <v>26200</v>
      </c>
      <c r="M711" s="33">
        <f t="shared" si="246"/>
        <v>26200</v>
      </c>
      <c r="N711" s="22">
        <f t="shared" si="247"/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 t="shared" ref="I713:I717" si="248">D713*(1-H713)</f>
        <v>23485</v>
      </c>
      <c r="J713" s="5"/>
      <c r="K713" s="5"/>
      <c r="L713" s="33">
        <f t="shared" ref="L713:L717" si="249">E713*(1-H713)</f>
        <v>26200</v>
      </c>
      <c r="M713" s="33">
        <f t="shared" ref="M713:M717" si="250">IF(J713="",L713,(E713/D713)*J713)</f>
        <v>26200</v>
      </c>
      <c r="N713" s="22">
        <f t="shared" ref="N713:N717" si="251"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 t="shared" si="248"/>
        <v>93940</v>
      </c>
      <c r="J714" s="5"/>
      <c r="K714" s="5"/>
      <c r="L714" s="33">
        <f t="shared" si="249"/>
        <v>104800</v>
      </c>
      <c r="M714" s="33">
        <f t="shared" si="250"/>
        <v>104800</v>
      </c>
      <c r="N714" s="22">
        <f t="shared" si="251"/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 t="shared" si="248"/>
        <v>23485</v>
      </c>
      <c r="J715" s="5"/>
      <c r="K715" s="5"/>
      <c r="L715" s="33">
        <f t="shared" si="249"/>
        <v>26200</v>
      </c>
      <c r="M715" s="33">
        <f t="shared" si="250"/>
        <v>26200</v>
      </c>
      <c r="N715" s="22">
        <f t="shared" si="251"/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 t="shared" si="248"/>
        <v>203536</v>
      </c>
      <c r="J716" s="5"/>
      <c r="K716" s="5"/>
      <c r="L716" s="33">
        <f t="shared" si="249"/>
        <v>240966</v>
      </c>
      <c r="M716" s="33">
        <f t="shared" si="250"/>
        <v>240966</v>
      </c>
      <c r="N716" s="22">
        <f t="shared" si="251"/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 t="shared" si="248"/>
        <v>78283</v>
      </c>
      <c r="J717" s="5"/>
      <c r="K717" s="5"/>
      <c r="L717" s="33">
        <f t="shared" si="249"/>
        <v>87334</v>
      </c>
      <c r="M717" s="33">
        <f t="shared" si="250"/>
        <v>87334</v>
      </c>
      <c r="N717" s="22">
        <f t="shared" si="251"/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 t="shared" ref="I721:I725" si="252">D721*(1-H721)</f>
        <v>57.599999999999994</v>
      </c>
      <c r="J721" s="5"/>
      <c r="K721" s="5"/>
      <c r="L721" s="33">
        <f t="shared" ref="L721:L725" si="253">E721*(1-H721)</f>
        <v>7366.08</v>
      </c>
      <c r="M721" s="33">
        <f t="shared" ref="M721:M725" si="254">IF(J721="",L721,(E721/D721)*J721)</f>
        <v>7366.08</v>
      </c>
      <c r="N721" s="22">
        <f t="shared" ref="N721:N725" si="255"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 t="shared" si="252"/>
        <v>12.959999999999999</v>
      </c>
      <c r="J722" s="5"/>
      <c r="K722" s="5"/>
      <c r="L722" s="33">
        <f t="shared" si="253"/>
        <v>1495.2</v>
      </c>
      <c r="M722" s="33">
        <f t="shared" si="254"/>
        <v>1495.2</v>
      </c>
      <c r="N722" s="22">
        <f t="shared" si="255"/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 t="shared" si="252"/>
        <v>49.68</v>
      </c>
      <c r="J723" s="5"/>
      <c r="K723" s="5"/>
      <c r="L723" s="33">
        <f t="shared" si="253"/>
        <v>9692.16</v>
      </c>
      <c r="M723" s="33">
        <f t="shared" si="254"/>
        <v>9692.16</v>
      </c>
      <c r="N723" s="22">
        <f t="shared" si="255"/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 t="shared" si="252"/>
        <v>0</v>
      </c>
      <c r="J724" s="5"/>
      <c r="K724" s="5"/>
      <c r="L724" s="33">
        <f t="shared" si="253"/>
        <v>0</v>
      </c>
      <c r="M724" s="33">
        <f t="shared" si="254"/>
        <v>0</v>
      </c>
      <c r="N724" s="22">
        <f t="shared" si="255"/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 t="shared" si="252"/>
        <v>0</v>
      </c>
      <c r="J725" s="5"/>
      <c r="K725" s="5"/>
      <c r="L725" s="33">
        <f t="shared" si="253"/>
        <v>0</v>
      </c>
      <c r="M725" s="33">
        <f t="shared" si="254"/>
        <v>0</v>
      </c>
      <c r="N725" s="22">
        <f t="shared" si="255"/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256">D727*(1-H727)</f>
        <v>20</v>
      </c>
      <c r="J727" s="5"/>
      <c r="K727" s="5"/>
      <c r="L727" s="33">
        <f t="shared" ref="L727:L759" si="257">E727*(1-H727)</f>
        <v>2606</v>
      </c>
      <c r="M727" s="33">
        <f t="shared" ref="M727:M759" si="258">IF(J727="",L727,(E727/D727)*J727)</f>
        <v>2606</v>
      </c>
      <c r="N727" s="22">
        <f t="shared" ref="N727:N759" si="259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256"/>
        <v>20</v>
      </c>
      <c r="J728" s="5"/>
      <c r="K728" s="5"/>
      <c r="L728" s="33">
        <f t="shared" si="257"/>
        <v>2351</v>
      </c>
      <c r="M728" s="33">
        <f t="shared" si="258"/>
        <v>2351</v>
      </c>
      <c r="N728" s="22">
        <f t="shared" si="259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256"/>
        <v>40</v>
      </c>
      <c r="J729" s="5"/>
      <c r="K729" s="5"/>
      <c r="L729" s="33">
        <f t="shared" si="257"/>
        <v>5153</v>
      </c>
      <c r="M729" s="33">
        <f t="shared" si="258"/>
        <v>5153</v>
      </c>
      <c r="N729" s="22">
        <f t="shared" si="259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256"/>
        <v>8</v>
      </c>
      <c r="J730" s="5"/>
      <c r="K730" s="5"/>
      <c r="L730" s="33">
        <f t="shared" si="257"/>
        <v>1590</v>
      </c>
      <c r="M730" s="33">
        <f t="shared" si="258"/>
        <v>1590</v>
      </c>
      <c r="N730" s="22">
        <f t="shared" si="259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256"/>
        <v>24</v>
      </c>
      <c r="J731" s="5"/>
      <c r="K731" s="5"/>
      <c r="L731" s="33">
        <f t="shared" si="257"/>
        <v>3127</v>
      </c>
      <c r="M731" s="33">
        <f t="shared" si="258"/>
        <v>3127</v>
      </c>
      <c r="N731" s="22">
        <f t="shared" si="259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256"/>
        <v>360</v>
      </c>
      <c r="J732" s="5"/>
      <c r="K732" s="5"/>
      <c r="L732" s="33">
        <f t="shared" si="257"/>
        <v>42316</v>
      </c>
      <c r="M732" s="33">
        <f t="shared" si="258"/>
        <v>42316</v>
      </c>
      <c r="N732" s="22">
        <f t="shared" si="259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256"/>
        <v>180</v>
      </c>
      <c r="J733" s="5"/>
      <c r="K733" s="5"/>
      <c r="L733" s="33">
        <f t="shared" si="257"/>
        <v>23188</v>
      </c>
      <c r="M733" s="33">
        <f t="shared" si="258"/>
        <v>23188</v>
      </c>
      <c r="N733" s="22">
        <f t="shared" si="259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256"/>
        <v>40</v>
      </c>
      <c r="J734" s="5"/>
      <c r="K734" s="5"/>
      <c r="L734" s="33">
        <f t="shared" si="257"/>
        <v>4702</v>
      </c>
      <c r="M734" s="33">
        <f t="shared" si="258"/>
        <v>4702</v>
      </c>
      <c r="N734" s="22">
        <f t="shared" si="259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256"/>
        <v>24</v>
      </c>
      <c r="J735" s="5"/>
      <c r="K735" s="5"/>
      <c r="L735" s="33">
        <f t="shared" si="257"/>
        <v>4771</v>
      </c>
      <c r="M735" s="33">
        <f t="shared" si="258"/>
        <v>4771</v>
      </c>
      <c r="N735" s="22">
        <f t="shared" si="259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256"/>
        <v>12</v>
      </c>
      <c r="J736" s="5"/>
      <c r="K736" s="5"/>
      <c r="L736" s="33">
        <f t="shared" si="257"/>
        <v>1611</v>
      </c>
      <c r="M736" s="33">
        <f t="shared" si="258"/>
        <v>1611</v>
      </c>
      <c r="N736" s="22">
        <f t="shared" si="259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256"/>
        <v>40</v>
      </c>
      <c r="J737" s="5"/>
      <c r="K737" s="5"/>
      <c r="L737" s="33">
        <f t="shared" si="257"/>
        <v>4843</v>
      </c>
      <c r="M737" s="33">
        <f t="shared" si="258"/>
        <v>4843</v>
      </c>
      <c r="N737" s="22">
        <f t="shared" si="259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256"/>
        <v>12</v>
      </c>
      <c r="J738" s="5"/>
      <c r="K738" s="5"/>
      <c r="L738" s="33">
        <f t="shared" si="257"/>
        <v>2457</v>
      </c>
      <c r="M738" s="33">
        <f t="shared" si="258"/>
        <v>2457</v>
      </c>
      <c r="N738" s="22">
        <f t="shared" si="259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256"/>
        <v>80</v>
      </c>
      <c r="J739" s="5"/>
      <c r="K739" s="5"/>
      <c r="L739" s="33">
        <f t="shared" si="257"/>
        <v>10737</v>
      </c>
      <c r="M739" s="33">
        <f t="shared" si="258"/>
        <v>10737</v>
      </c>
      <c r="N739" s="22">
        <f t="shared" si="259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256"/>
        <v>120</v>
      </c>
      <c r="J740" s="5"/>
      <c r="K740" s="5"/>
      <c r="L740" s="33">
        <f t="shared" si="257"/>
        <v>14529</v>
      </c>
      <c r="M740" s="33">
        <f t="shared" si="258"/>
        <v>14529</v>
      </c>
      <c r="N740" s="22">
        <f t="shared" si="259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256"/>
        <v>80</v>
      </c>
      <c r="J741" s="5"/>
      <c r="K741" s="5"/>
      <c r="L741" s="33">
        <f t="shared" si="257"/>
        <v>16380</v>
      </c>
      <c r="M741" s="33">
        <f t="shared" si="258"/>
        <v>16380</v>
      </c>
      <c r="N741" s="22">
        <f t="shared" si="259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256"/>
        <v>24</v>
      </c>
      <c r="J742" s="5"/>
      <c r="K742" s="5"/>
      <c r="L742" s="33">
        <f t="shared" si="257"/>
        <v>3221</v>
      </c>
      <c r="M742" s="33">
        <f t="shared" si="258"/>
        <v>3221</v>
      </c>
      <c r="N742" s="22">
        <f t="shared" si="259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256"/>
        <v>120</v>
      </c>
      <c r="J743" s="5"/>
      <c r="K743" s="5"/>
      <c r="L743" s="33">
        <f t="shared" si="257"/>
        <v>14529</v>
      </c>
      <c r="M743" s="33">
        <f t="shared" si="258"/>
        <v>14529</v>
      </c>
      <c r="N743" s="22">
        <f t="shared" si="259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256"/>
        <v>4</v>
      </c>
      <c r="J744" s="5"/>
      <c r="K744" s="5"/>
      <c r="L744" s="33">
        <f t="shared" si="257"/>
        <v>819</v>
      </c>
      <c r="M744" s="33">
        <f t="shared" si="258"/>
        <v>819</v>
      </c>
      <c r="N744" s="22">
        <f t="shared" si="259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256"/>
        <v>0</v>
      </c>
      <c r="J745" s="5"/>
      <c r="K745" s="5"/>
      <c r="L745" s="33">
        <f t="shared" si="257"/>
        <v>0</v>
      </c>
      <c r="M745" s="33">
        <f t="shared" si="258"/>
        <v>0</v>
      </c>
      <c r="N745" s="22">
        <f t="shared" si="259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256"/>
        <v>0</v>
      </c>
      <c r="J746" s="5"/>
      <c r="K746" s="5"/>
      <c r="L746" s="33">
        <f t="shared" si="257"/>
        <v>0</v>
      </c>
      <c r="M746" s="33">
        <f t="shared" si="258"/>
        <v>0</v>
      </c>
      <c r="N746" s="22">
        <f t="shared" si="259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256"/>
        <v>0</v>
      </c>
      <c r="J747" s="5"/>
      <c r="K747" s="5"/>
      <c r="L747" s="33">
        <f t="shared" si="257"/>
        <v>0</v>
      </c>
      <c r="M747" s="33">
        <f t="shared" si="258"/>
        <v>0</v>
      </c>
      <c r="N747" s="22">
        <f t="shared" si="259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256"/>
        <v>0</v>
      </c>
      <c r="J748" s="5"/>
      <c r="K748" s="5"/>
      <c r="L748" s="33">
        <f t="shared" si="257"/>
        <v>0</v>
      </c>
      <c r="M748" s="33">
        <f t="shared" si="258"/>
        <v>0</v>
      </c>
      <c r="N748" s="22">
        <f t="shared" si="259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256"/>
        <v>0</v>
      </c>
      <c r="J749" s="5"/>
      <c r="K749" s="5"/>
      <c r="L749" s="33">
        <f t="shared" si="257"/>
        <v>0</v>
      </c>
      <c r="M749" s="33">
        <f t="shared" si="258"/>
        <v>0</v>
      </c>
      <c r="N749" s="22">
        <f t="shared" si="259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256"/>
        <v>0</v>
      </c>
      <c r="J750" s="5"/>
      <c r="K750" s="5"/>
      <c r="L750" s="33">
        <f t="shared" si="257"/>
        <v>0</v>
      </c>
      <c r="M750" s="33">
        <f t="shared" si="258"/>
        <v>0</v>
      </c>
      <c r="N750" s="22">
        <f t="shared" si="259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256"/>
        <v>0</v>
      </c>
      <c r="J751" s="5"/>
      <c r="K751" s="5"/>
      <c r="L751" s="33">
        <f t="shared" si="257"/>
        <v>0</v>
      </c>
      <c r="M751" s="33">
        <f t="shared" si="258"/>
        <v>0</v>
      </c>
      <c r="N751" s="22">
        <f t="shared" si="259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256"/>
        <v>0</v>
      </c>
      <c r="J752" s="5"/>
      <c r="K752" s="5"/>
      <c r="L752" s="33">
        <f t="shared" si="257"/>
        <v>0</v>
      </c>
      <c r="M752" s="33">
        <f t="shared" si="258"/>
        <v>0</v>
      </c>
      <c r="N752" s="22">
        <f t="shared" si="259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256"/>
        <v>0</v>
      </c>
      <c r="J753" s="5"/>
      <c r="K753" s="5"/>
      <c r="L753" s="33">
        <f t="shared" si="257"/>
        <v>0</v>
      </c>
      <c r="M753" s="33">
        <f t="shared" si="258"/>
        <v>0</v>
      </c>
      <c r="N753" s="22">
        <f t="shared" si="259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256"/>
        <v>0</v>
      </c>
      <c r="J754" s="5"/>
      <c r="K754" s="5"/>
      <c r="L754" s="33">
        <f t="shared" si="257"/>
        <v>0</v>
      </c>
      <c r="M754" s="33">
        <f t="shared" si="258"/>
        <v>0</v>
      </c>
      <c r="N754" s="22">
        <f t="shared" si="259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256"/>
        <v>0</v>
      </c>
      <c r="J755" s="5"/>
      <c r="K755" s="5"/>
      <c r="L755" s="33">
        <f t="shared" si="257"/>
        <v>0</v>
      </c>
      <c r="M755" s="33">
        <f t="shared" si="258"/>
        <v>0</v>
      </c>
      <c r="N755" s="22">
        <f t="shared" si="259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256"/>
        <v>0</v>
      </c>
      <c r="J756" s="5"/>
      <c r="K756" s="5"/>
      <c r="L756" s="33">
        <f t="shared" si="257"/>
        <v>0</v>
      </c>
      <c r="M756" s="33">
        <f t="shared" si="258"/>
        <v>0</v>
      </c>
      <c r="N756" s="22">
        <f t="shared" si="259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256"/>
        <v>0</v>
      </c>
      <c r="J757" s="5"/>
      <c r="K757" s="5"/>
      <c r="L757" s="33">
        <f t="shared" si="257"/>
        <v>0</v>
      </c>
      <c r="M757" s="33">
        <f t="shared" si="258"/>
        <v>0</v>
      </c>
      <c r="N757" s="22">
        <f t="shared" si="259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256"/>
        <v>0</v>
      </c>
      <c r="J758" s="5"/>
      <c r="K758" s="5"/>
      <c r="L758" s="33">
        <f t="shared" si="257"/>
        <v>0</v>
      </c>
      <c r="M758" s="33">
        <f t="shared" si="258"/>
        <v>0</v>
      </c>
      <c r="N758" s="22">
        <f t="shared" si="259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256"/>
        <v>0</v>
      </c>
      <c r="J759" s="5"/>
      <c r="K759" s="5"/>
      <c r="L759" s="33">
        <f t="shared" si="257"/>
        <v>0</v>
      </c>
      <c r="M759" s="33">
        <f t="shared" si="258"/>
        <v>0</v>
      </c>
      <c r="N759" s="22">
        <f t="shared" si="259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 t="shared" ref="I762:I765" si="260">D762*(1-H762)</f>
        <v>0</v>
      </c>
      <c r="J762" s="5"/>
      <c r="K762" s="5"/>
      <c r="L762" s="33">
        <f t="shared" ref="L762:L765" si="261">E762*(1-H762)</f>
        <v>0</v>
      </c>
      <c r="M762" s="33">
        <f t="shared" ref="M762:M765" si="262">IF(J762="",L762,(E762/D762)*J762)</f>
        <v>0</v>
      </c>
      <c r="N762" s="22">
        <f t="shared" ref="N762:N765" si="263"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 t="shared" si="260"/>
        <v>0</v>
      </c>
      <c r="J763" s="5"/>
      <c r="K763" s="5"/>
      <c r="L763" s="33">
        <f t="shared" si="261"/>
        <v>0</v>
      </c>
      <c r="M763" s="33">
        <f t="shared" si="262"/>
        <v>0</v>
      </c>
      <c r="N763" s="22">
        <f t="shared" si="263"/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 t="shared" si="260"/>
        <v>0</v>
      </c>
      <c r="J764" s="5"/>
      <c r="K764" s="5"/>
      <c r="L764" s="33">
        <f t="shared" si="261"/>
        <v>0</v>
      </c>
      <c r="M764" s="33">
        <f t="shared" si="262"/>
        <v>0</v>
      </c>
      <c r="N764" s="22">
        <f t="shared" si="263"/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 t="shared" si="260"/>
        <v>0</v>
      </c>
      <c r="J765" s="5"/>
      <c r="K765" s="5"/>
      <c r="L765" s="33">
        <f t="shared" si="261"/>
        <v>0</v>
      </c>
      <c r="M765" s="33">
        <f t="shared" si="262"/>
        <v>0</v>
      </c>
      <c r="N765" s="22">
        <f t="shared" si="263"/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 t="shared" ref="I767:I770" si="264">D767*(1-H767)</f>
        <v>0</v>
      </c>
      <c r="J767" s="5"/>
      <c r="K767" s="5"/>
      <c r="L767" s="33">
        <f t="shared" ref="L767:L770" si="265">E767*(1-H767)</f>
        <v>0</v>
      </c>
      <c r="M767" s="33">
        <f t="shared" ref="M767:M770" si="266">IF(J767="",L767,(E767/D767)*J767)</f>
        <v>0</v>
      </c>
      <c r="N767" s="22">
        <f t="shared" ref="N767:N770" si="267"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 t="shared" si="264"/>
        <v>0</v>
      </c>
      <c r="J768" s="5"/>
      <c r="K768" s="5"/>
      <c r="L768" s="33">
        <f t="shared" si="265"/>
        <v>0</v>
      </c>
      <c r="M768" s="33">
        <f t="shared" si="266"/>
        <v>0</v>
      </c>
      <c r="N768" s="22">
        <f t="shared" si="267"/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 t="shared" si="264"/>
        <v>0</v>
      </c>
      <c r="J769" s="5"/>
      <c r="K769" s="5"/>
      <c r="L769" s="33">
        <f t="shared" si="265"/>
        <v>0</v>
      </c>
      <c r="M769" s="33">
        <f t="shared" si="266"/>
        <v>0</v>
      </c>
      <c r="N769" s="22">
        <f t="shared" si="267"/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 t="shared" si="264"/>
        <v>0</v>
      </c>
      <c r="J770" s="5"/>
      <c r="K770" s="5"/>
      <c r="L770" s="33">
        <f t="shared" si="265"/>
        <v>0</v>
      </c>
      <c r="M770" s="33">
        <f t="shared" si="266"/>
        <v>0</v>
      </c>
      <c r="N770" s="22">
        <f t="shared" si="267"/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 t="shared" ref="I772:I773" si="268">D772*(1-H772)</f>
        <v>0</v>
      </c>
      <c r="J772" s="5"/>
      <c r="K772" s="5"/>
      <c r="L772" s="33">
        <f t="shared" ref="L772:L773" si="269">E772*(1-H772)</f>
        <v>0</v>
      </c>
      <c r="M772" s="33">
        <f t="shared" ref="M772:M773" si="270">IF(J772="",L772,(E772/D772)*J772)</f>
        <v>0</v>
      </c>
      <c r="N772" s="22">
        <f t="shared" ref="N772:N773" si="271"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 t="shared" si="268"/>
        <v>0</v>
      </c>
      <c r="J773" s="5"/>
      <c r="K773" s="5"/>
      <c r="L773" s="33">
        <f t="shared" si="269"/>
        <v>0</v>
      </c>
      <c r="M773" s="33">
        <f t="shared" si="270"/>
        <v>0</v>
      </c>
      <c r="N773" s="22">
        <f t="shared" si="271"/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272">D776*(1-H776)</f>
        <v>0</v>
      </c>
      <c r="J776" s="5"/>
      <c r="K776" s="5"/>
      <c r="L776" s="33">
        <f t="shared" ref="L776:L785" si="273">E776*(1-H776)</f>
        <v>0</v>
      </c>
      <c r="M776" s="33">
        <f t="shared" ref="M776:M785" si="274">IF(J776="",L776,(E776/D776)*J776)</f>
        <v>0</v>
      </c>
      <c r="N776" s="22">
        <f t="shared" ref="N776:N785" si="275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272"/>
        <v>4.32</v>
      </c>
      <c r="J777" s="5"/>
      <c r="K777" s="5"/>
      <c r="L777" s="33">
        <f t="shared" si="273"/>
        <v>833.76</v>
      </c>
      <c r="M777" s="33">
        <f t="shared" si="274"/>
        <v>833.76</v>
      </c>
      <c r="N777" s="22">
        <f t="shared" si="275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272"/>
        <v>0</v>
      </c>
      <c r="J778" s="5"/>
      <c r="K778" s="5"/>
      <c r="L778" s="33">
        <f t="shared" si="273"/>
        <v>0</v>
      </c>
      <c r="M778" s="33">
        <f t="shared" si="274"/>
        <v>0</v>
      </c>
      <c r="N778" s="22">
        <f t="shared" si="275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272"/>
        <v>0</v>
      </c>
      <c r="J779" s="5"/>
      <c r="K779" s="5"/>
      <c r="L779" s="33">
        <f t="shared" si="273"/>
        <v>0</v>
      </c>
      <c r="M779" s="33">
        <f t="shared" si="274"/>
        <v>0</v>
      </c>
      <c r="N779" s="22">
        <f t="shared" si="275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272"/>
        <v>0</v>
      </c>
      <c r="J780" s="5"/>
      <c r="K780" s="5"/>
      <c r="L780" s="33">
        <f t="shared" si="273"/>
        <v>0</v>
      </c>
      <c r="M780" s="33">
        <f t="shared" si="274"/>
        <v>0</v>
      </c>
      <c r="N780" s="22">
        <f t="shared" si="275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272"/>
        <v>0</v>
      </c>
      <c r="J781" s="5"/>
      <c r="K781" s="5"/>
      <c r="L781" s="33">
        <f t="shared" si="273"/>
        <v>0</v>
      </c>
      <c r="M781" s="33">
        <f t="shared" si="274"/>
        <v>0</v>
      </c>
      <c r="N781" s="22">
        <f t="shared" si="275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272"/>
        <v>0</v>
      </c>
      <c r="J782" s="5"/>
      <c r="K782" s="5"/>
      <c r="L782" s="33">
        <f t="shared" si="273"/>
        <v>0</v>
      </c>
      <c r="M782" s="33">
        <f t="shared" si="274"/>
        <v>0</v>
      </c>
      <c r="N782" s="22">
        <f t="shared" si="275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272"/>
        <v>0</v>
      </c>
      <c r="J783" s="5"/>
      <c r="K783" s="5"/>
      <c r="L783" s="33">
        <f t="shared" si="273"/>
        <v>0</v>
      </c>
      <c r="M783" s="33">
        <f t="shared" si="274"/>
        <v>0</v>
      </c>
      <c r="N783" s="22">
        <f t="shared" si="275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272"/>
        <v>0</v>
      </c>
      <c r="J784" s="5"/>
      <c r="K784" s="5"/>
      <c r="L784" s="33">
        <f t="shared" si="273"/>
        <v>0</v>
      </c>
      <c r="M784" s="33">
        <f t="shared" si="274"/>
        <v>0</v>
      </c>
      <c r="N784" s="22">
        <f t="shared" si="275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272"/>
        <v>0</v>
      </c>
      <c r="J785" s="5"/>
      <c r="K785" s="5"/>
      <c r="L785" s="33">
        <f t="shared" si="273"/>
        <v>0</v>
      </c>
      <c r="M785" s="33">
        <f t="shared" si="274"/>
        <v>0</v>
      </c>
      <c r="N785" s="22">
        <f t="shared" si="275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276">D787*(1-H787)</f>
        <v>0</v>
      </c>
      <c r="J787" s="5"/>
      <c r="K787" s="5"/>
      <c r="L787" s="33">
        <f t="shared" ref="L787:L794" si="277">E787*(1-H787)</f>
        <v>0</v>
      </c>
      <c r="M787" s="33">
        <f t="shared" ref="M787:M794" si="278">IF(J787="",L787,(E787/D787)*J787)</f>
        <v>0</v>
      </c>
      <c r="N787" s="22">
        <f t="shared" ref="N787:N794" si="279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276"/>
        <v>0</v>
      </c>
      <c r="J788" s="5"/>
      <c r="K788" s="5"/>
      <c r="L788" s="33">
        <f t="shared" si="277"/>
        <v>0</v>
      </c>
      <c r="M788" s="33">
        <f t="shared" si="278"/>
        <v>0</v>
      </c>
      <c r="N788" s="22">
        <f t="shared" si="279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276"/>
        <v>0</v>
      </c>
      <c r="J789" s="5"/>
      <c r="K789" s="5"/>
      <c r="L789" s="33">
        <f t="shared" si="277"/>
        <v>0</v>
      </c>
      <c r="M789" s="33">
        <f t="shared" si="278"/>
        <v>0</v>
      </c>
      <c r="N789" s="22">
        <f t="shared" si="279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276"/>
        <v>0</v>
      </c>
      <c r="J790" s="5"/>
      <c r="K790" s="5"/>
      <c r="L790" s="33">
        <f t="shared" si="277"/>
        <v>0</v>
      </c>
      <c r="M790" s="33">
        <f t="shared" si="278"/>
        <v>0</v>
      </c>
      <c r="N790" s="22">
        <f t="shared" si="279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276"/>
        <v>0</v>
      </c>
      <c r="J791" s="5"/>
      <c r="K791" s="5"/>
      <c r="L791" s="33">
        <f t="shared" si="277"/>
        <v>0</v>
      </c>
      <c r="M791" s="33">
        <f t="shared" si="278"/>
        <v>0</v>
      </c>
      <c r="N791" s="22">
        <f t="shared" si="279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276"/>
        <v>0</v>
      </c>
      <c r="J792" s="5"/>
      <c r="K792" s="5"/>
      <c r="L792" s="33">
        <f t="shared" si="277"/>
        <v>0</v>
      </c>
      <c r="M792" s="33">
        <f t="shared" si="278"/>
        <v>0</v>
      </c>
      <c r="N792" s="22">
        <f t="shared" si="279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276"/>
        <v>107261</v>
      </c>
      <c r="J793" s="5"/>
      <c r="K793" s="5"/>
      <c r="L793" s="33">
        <f t="shared" si="277"/>
        <v>119662</v>
      </c>
      <c r="M793" s="33">
        <f t="shared" si="278"/>
        <v>119662</v>
      </c>
      <c r="N793" s="22">
        <f t="shared" si="279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276"/>
        <v>0</v>
      </c>
      <c r="J794" s="5"/>
      <c r="K794" s="5"/>
      <c r="L794" s="33">
        <f t="shared" si="277"/>
        <v>0</v>
      </c>
      <c r="M794" s="33">
        <f t="shared" si="278"/>
        <v>0</v>
      </c>
      <c r="N794" s="22">
        <f t="shared" si="279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 t="shared" ref="I796:I798" si="280">D796*(1-H796)</f>
        <v>5</v>
      </c>
      <c r="J796" s="5"/>
      <c r="K796" s="5"/>
      <c r="L796" s="33">
        <f t="shared" ref="L796:L798" si="281">E796*(1-H796)</f>
        <v>652</v>
      </c>
      <c r="M796" s="33">
        <f t="shared" ref="M796:M798" si="282">IF(J796="",L796,(E796/D796)*J796)</f>
        <v>652</v>
      </c>
      <c r="N796" s="22">
        <f t="shared" ref="N796:N798" si="283"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 t="shared" si="280"/>
        <v>16</v>
      </c>
      <c r="J797" s="5"/>
      <c r="K797" s="5"/>
      <c r="L797" s="33">
        <f t="shared" si="281"/>
        <v>2061</v>
      </c>
      <c r="M797" s="33">
        <f t="shared" si="282"/>
        <v>2061</v>
      </c>
      <c r="N797" s="22">
        <f t="shared" si="283"/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 t="shared" si="280"/>
        <v>1</v>
      </c>
      <c r="J798" s="5"/>
      <c r="K798" s="5"/>
      <c r="L798" s="33">
        <f t="shared" si="281"/>
        <v>199</v>
      </c>
      <c r="M798" s="33">
        <f t="shared" si="282"/>
        <v>199</v>
      </c>
      <c r="N798" s="22">
        <f t="shared" si="283"/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284">D800*(1-H800)</f>
        <v>0</v>
      </c>
      <c r="J800" s="5"/>
      <c r="K800" s="5"/>
      <c r="L800" s="33">
        <f t="shared" ref="L800:L811" si="285">E800*(1-H800)</f>
        <v>0</v>
      </c>
      <c r="M800" s="33">
        <f t="shared" ref="M800:M811" si="286">IF(J800="",L800,(E800/D800)*J800)</f>
        <v>0</v>
      </c>
      <c r="N800" s="22">
        <f t="shared" ref="N800:N811" si="287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284"/>
        <v>46.56</v>
      </c>
      <c r="J801" s="5"/>
      <c r="K801" s="5"/>
      <c r="L801" s="33">
        <f t="shared" si="285"/>
        <v>5889.84</v>
      </c>
      <c r="M801" s="33">
        <f t="shared" si="286"/>
        <v>5889.84</v>
      </c>
      <c r="N801" s="22">
        <f t="shared" si="287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284"/>
        <v>38.799999999999997</v>
      </c>
      <c r="J802" s="5"/>
      <c r="K802" s="5"/>
      <c r="L802" s="33">
        <f t="shared" si="285"/>
        <v>4428.05</v>
      </c>
      <c r="M802" s="33">
        <f t="shared" si="286"/>
        <v>4428.05</v>
      </c>
      <c r="N802" s="22">
        <f t="shared" si="287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284"/>
        <v>16</v>
      </c>
      <c r="J803" s="5"/>
      <c r="K803" s="5"/>
      <c r="L803" s="33">
        <f t="shared" si="285"/>
        <v>2085</v>
      </c>
      <c r="M803" s="33">
        <f t="shared" si="286"/>
        <v>2085</v>
      </c>
      <c r="N803" s="22">
        <f t="shared" si="287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284"/>
        <v>240</v>
      </c>
      <c r="J804" s="5"/>
      <c r="K804" s="5"/>
      <c r="L804" s="33">
        <f t="shared" si="285"/>
        <v>28211</v>
      </c>
      <c r="M804" s="33">
        <f t="shared" si="286"/>
        <v>28211</v>
      </c>
      <c r="N804" s="22">
        <f t="shared" si="287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284"/>
        <v>16</v>
      </c>
      <c r="J805" s="5"/>
      <c r="K805" s="5"/>
      <c r="L805" s="33">
        <f t="shared" si="285"/>
        <v>2061</v>
      </c>
      <c r="M805" s="33">
        <f t="shared" si="286"/>
        <v>2061</v>
      </c>
      <c r="N805" s="22">
        <f t="shared" si="287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284"/>
        <v>24</v>
      </c>
      <c r="J806" s="5"/>
      <c r="K806" s="5"/>
      <c r="L806" s="33">
        <f t="shared" si="285"/>
        <v>3127</v>
      </c>
      <c r="M806" s="33">
        <f t="shared" si="286"/>
        <v>3127</v>
      </c>
      <c r="N806" s="22">
        <f t="shared" si="287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284"/>
        <v>96</v>
      </c>
      <c r="J807" s="5"/>
      <c r="K807" s="5"/>
      <c r="L807" s="33">
        <f t="shared" si="285"/>
        <v>11284</v>
      </c>
      <c r="M807" s="33">
        <f t="shared" si="286"/>
        <v>11284</v>
      </c>
      <c r="N807" s="22">
        <f t="shared" si="287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284"/>
        <v>20</v>
      </c>
      <c r="J808" s="5"/>
      <c r="K808" s="5"/>
      <c r="L808" s="33">
        <f t="shared" si="285"/>
        <v>2606</v>
      </c>
      <c r="M808" s="33">
        <f t="shared" si="286"/>
        <v>2606</v>
      </c>
      <c r="N808" s="22">
        <f t="shared" si="287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284"/>
        <v>64</v>
      </c>
      <c r="J809" s="5"/>
      <c r="K809" s="5"/>
      <c r="L809" s="33">
        <f t="shared" si="285"/>
        <v>7523</v>
      </c>
      <c r="M809" s="33">
        <f t="shared" si="286"/>
        <v>7523</v>
      </c>
      <c r="N809" s="22">
        <f t="shared" si="287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284"/>
        <v>0</v>
      </c>
      <c r="J810" s="5"/>
      <c r="K810" s="5"/>
      <c r="L810" s="33">
        <f t="shared" si="285"/>
        <v>0</v>
      </c>
      <c r="M810" s="33">
        <f t="shared" si="286"/>
        <v>0</v>
      </c>
      <c r="N810" s="22">
        <f t="shared" si="287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284"/>
        <v>80</v>
      </c>
      <c r="J811" s="5"/>
      <c r="K811" s="5"/>
      <c r="L811" s="33">
        <f t="shared" si="285"/>
        <v>10306</v>
      </c>
      <c r="M811" s="33">
        <f t="shared" si="286"/>
        <v>10306</v>
      </c>
      <c r="N811" s="22">
        <f t="shared" si="287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 t="shared" ref="I814:I817" si="288">D814*(1-H814)</f>
        <v>0</v>
      </c>
      <c r="J814" s="5"/>
      <c r="K814" s="5"/>
      <c r="L814" s="33">
        <f t="shared" ref="L814:L817" si="289">E814*(1-H814)</f>
        <v>0</v>
      </c>
      <c r="M814" s="33">
        <f t="shared" ref="M814:M817" si="290">IF(J814="",L814,(E814/D814)*J814)</f>
        <v>0</v>
      </c>
      <c r="N814" s="22">
        <f t="shared" ref="N814:N817" si="291"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 t="shared" si="288"/>
        <v>0</v>
      </c>
      <c r="J815" s="5"/>
      <c r="K815" s="5"/>
      <c r="L815" s="33">
        <f t="shared" si="289"/>
        <v>0</v>
      </c>
      <c r="M815" s="33">
        <f t="shared" si="290"/>
        <v>0</v>
      </c>
      <c r="N815" s="22">
        <f t="shared" si="291"/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 t="shared" si="288"/>
        <v>2.8500000000000005</v>
      </c>
      <c r="J816" s="5"/>
      <c r="K816" s="5"/>
      <c r="L816" s="33">
        <f t="shared" si="289"/>
        <v>360.60000000000008</v>
      </c>
      <c r="M816" s="33">
        <f t="shared" si="290"/>
        <v>360.60000000000008</v>
      </c>
      <c r="N816" s="22">
        <f t="shared" si="291"/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 t="shared" si="288"/>
        <v>5.7000000000000011</v>
      </c>
      <c r="J817" s="5"/>
      <c r="K817" s="5"/>
      <c r="L817" s="33">
        <f t="shared" si="289"/>
        <v>1100.1000000000001</v>
      </c>
      <c r="M817" s="33">
        <f t="shared" si="290"/>
        <v>1100.1000000000001</v>
      </c>
      <c r="N817" s="22">
        <f t="shared" si="291"/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 t="shared" ref="I820:I823" si="292">D820*(1-H820)</f>
        <v>0.60000000000000053</v>
      </c>
      <c r="J820" s="5"/>
      <c r="K820" s="5"/>
      <c r="L820" s="33">
        <f t="shared" ref="L820:L823" si="293">E820*(1-H820)</f>
        <v>75.900000000000063</v>
      </c>
      <c r="M820" s="33">
        <f t="shared" ref="M820:M823" si="294">IF(J820="",L820,(E820/D820)*J820)</f>
        <v>75.900000000000063</v>
      </c>
      <c r="N820" s="22">
        <f t="shared" ref="N820:N823" si="295"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 t="shared" si="292"/>
        <v>2.4000000000000021</v>
      </c>
      <c r="J821" s="5"/>
      <c r="K821" s="5"/>
      <c r="L821" s="33">
        <f t="shared" si="293"/>
        <v>463.17000000000041</v>
      </c>
      <c r="M821" s="33">
        <f t="shared" si="294"/>
        <v>463.17000000000041</v>
      </c>
      <c r="N821" s="22">
        <f t="shared" si="295"/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 t="shared" si="292"/>
        <v>2.8800000000000008</v>
      </c>
      <c r="J822" s="5"/>
      <c r="K822" s="5"/>
      <c r="L822" s="33">
        <f t="shared" si="293"/>
        <v>364.32000000000011</v>
      </c>
      <c r="M822" s="33">
        <f t="shared" si="294"/>
        <v>364.32000000000011</v>
      </c>
      <c r="N822" s="22">
        <f t="shared" si="295"/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 t="shared" si="292"/>
        <v>2.8800000000000008</v>
      </c>
      <c r="J823" s="5"/>
      <c r="K823" s="5"/>
      <c r="L823" s="33">
        <f t="shared" si="293"/>
        <v>555.84000000000015</v>
      </c>
      <c r="M823" s="33">
        <f t="shared" si="294"/>
        <v>555.84000000000015</v>
      </c>
      <c r="N823" s="22">
        <f t="shared" si="295"/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 t="shared" ref="I825:I828" si="296">D825*(1-H825)</f>
        <v>0</v>
      </c>
      <c r="J825" s="5"/>
      <c r="K825" s="5"/>
      <c r="L825" s="33">
        <f t="shared" ref="L825:L828" si="297">E825*(1-H825)</f>
        <v>0</v>
      </c>
      <c r="M825" s="33">
        <f t="shared" ref="M825:M828" si="298">IF(J825="",L825,(E825/D825)*J825)</f>
        <v>0</v>
      </c>
      <c r="N825" s="22">
        <f t="shared" ref="N825:N828" si="299"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 t="shared" si="296"/>
        <v>0</v>
      </c>
      <c r="J826" s="5"/>
      <c r="K826" s="5"/>
      <c r="L826" s="33">
        <f t="shared" si="297"/>
        <v>0</v>
      </c>
      <c r="M826" s="33">
        <f t="shared" si="298"/>
        <v>0</v>
      </c>
      <c r="N826" s="22">
        <f t="shared" si="299"/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 t="shared" si="296"/>
        <v>0</v>
      </c>
      <c r="J827" s="5"/>
      <c r="K827" s="5"/>
      <c r="L827" s="33">
        <f t="shared" si="297"/>
        <v>0</v>
      </c>
      <c r="M827" s="33">
        <f t="shared" si="298"/>
        <v>0</v>
      </c>
      <c r="N827" s="22">
        <f t="shared" si="299"/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 t="shared" si="296"/>
        <v>0</v>
      </c>
      <c r="J828" s="5"/>
      <c r="K828" s="5"/>
      <c r="L828" s="33">
        <f t="shared" si="297"/>
        <v>0</v>
      </c>
      <c r="M828" s="33">
        <f t="shared" si="298"/>
        <v>0</v>
      </c>
      <c r="N828" s="22">
        <f t="shared" si="299"/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 t="shared" ref="I830:I831" si="300">D830*(1-H830)</f>
        <v>0</v>
      </c>
      <c r="J830" s="5"/>
      <c r="K830" s="5"/>
      <c r="L830" s="33">
        <f t="shared" ref="L830:L831" si="301">E830*(1-H830)</f>
        <v>0</v>
      </c>
      <c r="M830" s="33">
        <f t="shared" ref="M830:M831" si="302">IF(J830="",L830,(E830/D830)*J830)</f>
        <v>0</v>
      </c>
      <c r="N830" s="22">
        <f t="shared" ref="N830:N831" si="303"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 t="shared" si="300"/>
        <v>0</v>
      </c>
      <c r="J831" s="5"/>
      <c r="K831" s="5"/>
      <c r="L831" s="33">
        <f t="shared" si="301"/>
        <v>0</v>
      </c>
      <c r="M831" s="33">
        <f t="shared" si="302"/>
        <v>0</v>
      </c>
      <c r="N831" s="22">
        <f t="shared" si="303"/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 t="shared" ref="I833:I834" si="304">D833*(1-H833)</f>
        <v>3.9000000000000004</v>
      </c>
      <c r="J833" s="5"/>
      <c r="K833" s="5"/>
      <c r="L833" s="33">
        <f t="shared" ref="L833:L834" si="305">E833*(1-H833)</f>
        <v>493.35000000000008</v>
      </c>
      <c r="M833" s="33">
        <f t="shared" ref="M833:M834" si="306">IF(J833="",L833,(E833/D833)*J833)</f>
        <v>493.35000000000008</v>
      </c>
      <c r="N833" s="22">
        <f t="shared" ref="N833:N834" si="307"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 t="shared" si="304"/>
        <v>19.200000000000003</v>
      </c>
      <c r="J834" s="5"/>
      <c r="K834" s="5"/>
      <c r="L834" s="33">
        <f t="shared" si="305"/>
        <v>3705.4500000000007</v>
      </c>
      <c r="M834" s="33">
        <f t="shared" si="306"/>
        <v>3705.4500000000007</v>
      </c>
      <c r="N834" s="22">
        <f t="shared" si="307"/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308">D836*(1-H836)</f>
        <v>0</v>
      </c>
      <c r="J836" s="5"/>
      <c r="K836" s="5"/>
      <c r="L836" s="33">
        <f t="shared" ref="L836:L844" si="309">E836*(1-H836)</f>
        <v>0</v>
      </c>
      <c r="M836" s="33">
        <f t="shared" ref="M836:M844" si="310">IF(J836="",L836,(E836/D836)*J836)</f>
        <v>0</v>
      </c>
      <c r="N836" s="22">
        <f t="shared" ref="N836:N844" si="311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308"/>
        <v>0</v>
      </c>
      <c r="J837" s="5"/>
      <c r="K837" s="5"/>
      <c r="L837" s="33">
        <f t="shared" si="309"/>
        <v>0</v>
      </c>
      <c r="M837" s="33">
        <f t="shared" si="310"/>
        <v>0</v>
      </c>
      <c r="N837" s="22">
        <f t="shared" si="311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308"/>
        <v>0</v>
      </c>
      <c r="J838" s="5"/>
      <c r="K838" s="5"/>
      <c r="L838" s="33">
        <f t="shared" si="309"/>
        <v>0</v>
      </c>
      <c r="M838" s="33">
        <f t="shared" si="310"/>
        <v>0</v>
      </c>
      <c r="N838" s="22">
        <f t="shared" si="311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308"/>
        <v>0</v>
      </c>
      <c r="J839" s="5"/>
      <c r="K839" s="5"/>
      <c r="L839" s="33">
        <f t="shared" si="309"/>
        <v>0</v>
      </c>
      <c r="M839" s="33">
        <f t="shared" si="310"/>
        <v>0</v>
      </c>
      <c r="N839" s="22">
        <f t="shared" si="311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308"/>
        <v>0</v>
      </c>
      <c r="J840" s="5"/>
      <c r="K840" s="5"/>
      <c r="L840" s="33">
        <f t="shared" si="309"/>
        <v>0</v>
      </c>
      <c r="M840" s="33">
        <f t="shared" si="310"/>
        <v>0</v>
      </c>
      <c r="N840" s="22">
        <f t="shared" si="311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308"/>
        <v>0</v>
      </c>
      <c r="J841" s="5"/>
      <c r="K841" s="5"/>
      <c r="L841" s="33">
        <f t="shared" si="309"/>
        <v>0</v>
      </c>
      <c r="M841" s="33">
        <f t="shared" si="310"/>
        <v>0</v>
      </c>
      <c r="N841" s="22">
        <f t="shared" si="311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308"/>
        <v>0</v>
      </c>
      <c r="J842" s="5"/>
      <c r="K842" s="5"/>
      <c r="L842" s="33">
        <f t="shared" si="309"/>
        <v>0</v>
      </c>
      <c r="M842" s="33">
        <f t="shared" si="310"/>
        <v>0</v>
      </c>
      <c r="N842" s="22">
        <f t="shared" si="311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308"/>
        <v>0</v>
      </c>
      <c r="J843" s="5"/>
      <c r="K843" s="5"/>
      <c r="L843" s="33">
        <f t="shared" si="309"/>
        <v>0</v>
      </c>
      <c r="M843" s="33">
        <f t="shared" si="310"/>
        <v>0</v>
      </c>
      <c r="N843" s="22">
        <f t="shared" si="311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308"/>
        <v>16000</v>
      </c>
      <c r="J844" s="5"/>
      <c r="K844" s="5"/>
      <c r="L844" s="33">
        <f t="shared" si="309"/>
        <v>18571</v>
      </c>
      <c r="M844" s="33">
        <f t="shared" si="310"/>
        <v>18571</v>
      </c>
      <c r="N844" s="22">
        <f t="shared" si="311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312">D846*(1-H846)</f>
        <v>144</v>
      </c>
      <c r="J846" s="5"/>
      <c r="K846" s="5"/>
      <c r="L846" s="33">
        <f t="shared" ref="L846:L865" si="313">E846*(1-H846)</f>
        <v>18764</v>
      </c>
      <c r="M846" s="33">
        <f t="shared" ref="M846:M865" si="314">IF(J846="",L846,(E846/D846)*J846)</f>
        <v>18764</v>
      </c>
      <c r="N846" s="22">
        <f t="shared" ref="N846:N865" si="315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312"/>
        <v>360</v>
      </c>
      <c r="J847" s="5"/>
      <c r="K847" s="5"/>
      <c r="L847" s="33">
        <f t="shared" si="313"/>
        <v>42316</v>
      </c>
      <c r="M847" s="33">
        <f t="shared" si="314"/>
        <v>42316</v>
      </c>
      <c r="N847" s="22">
        <f t="shared" si="315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312"/>
        <v>240</v>
      </c>
      <c r="J848" s="5"/>
      <c r="K848" s="5"/>
      <c r="L848" s="33">
        <f t="shared" si="313"/>
        <v>30918</v>
      </c>
      <c r="M848" s="33">
        <f t="shared" si="314"/>
        <v>30918</v>
      </c>
      <c r="N848" s="22">
        <f t="shared" si="315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312"/>
        <v>36</v>
      </c>
      <c r="J849" s="5"/>
      <c r="K849" s="5"/>
      <c r="L849" s="33">
        <f t="shared" si="313"/>
        <v>4691</v>
      </c>
      <c r="M849" s="33">
        <f t="shared" si="314"/>
        <v>4691</v>
      </c>
      <c r="N849" s="22">
        <f t="shared" si="315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312"/>
        <v>180</v>
      </c>
      <c r="J850" s="5"/>
      <c r="K850" s="5"/>
      <c r="L850" s="33">
        <f t="shared" si="313"/>
        <v>21158</v>
      </c>
      <c r="M850" s="33">
        <f t="shared" si="314"/>
        <v>21158</v>
      </c>
      <c r="N850" s="22">
        <f t="shared" si="315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312"/>
        <v>40</v>
      </c>
      <c r="J851" s="5"/>
      <c r="K851" s="5"/>
      <c r="L851" s="33">
        <f t="shared" si="313"/>
        <v>5153</v>
      </c>
      <c r="M851" s="33">
        <f t="shared" si="314"/>
        <v>5153</v>
      </c>
      <c r="N851" s="22">
        <f t="shared" si="315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312"/>
        <v>32</v>
      </c>
      <c r="J852" s="5"/>
      <c r="K852" s="5"/>
      <c r="L852" s="33">
        <f t="shared" si="313"/>
        <v>4295</v>
      </c>
      <c r="M852" s="33">
        <f t="shared" si="314"/>
        <v>4295</v>
      </c>
      <c r="N852" s="22">
        <f t="shared" si="315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312"/>
        <v>32</v>
      </c>
      <c r="J853" s="5"/>
      <c r="K853" s="5"/>
      <c r="L853" s="33">
        <f t="shared" si="313"/>
        <v>3874</v>
      </c>
      <c r="M853" s="33">
        <f t="shared" si="314"/>
        <v>3874</v>
      </c>
      <c r="N853" s="22">
        <f t="shared" si="315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312"/>
        <v>20</v>
      </c>
      <c r="J854" s="5"/>
      <c r="K854" s="5"/>
      <c r="L854" s="33">
        <f t="shared" si="313"/>
        <v>2684</v>
      </c>
      <c r="M854" s="33">
        <f t="shared" si="314"/>
        <v>2684</v>
      </c>
      <c r="N854" s="22">
        <f t="shared" si="315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312"/>
        <v>64</v>
      </c>
      <c r="J855" s="5"/>
      <c r="K855" s="5"/>
      <c r="L855" s="33">
        <f t="shared" si="313"/>
        <v>7749</v>
      </c>
      <c r="M855" s="33">
        <f t="shared" si="314"/>
        <v>7749</v>
      </c>
      <c r="N855" s="22">
        <f t="shared" si="315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312"/>
        <v>32</v>
      </c>
      <c r="J856" s="5"/>
      <c r="K856" s="5"/>
      <c r="L856" s="33">
        <f t="shared" si="313"/>
        <v>4295</v>
      </c>
      <c r="M856" s="33">
        <f t="shared" si="314"/>
        <v>4295</v>
      </c>
      <c r="N856" s="22">
        <f t="shared" si="315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312"/>
        <v>32</v>
      </c>
      <c r="J857" s="5"/>
      <c r="K857" s="5"/>
      <c r="L857" s="33">
        <f t="shared" si="313"/>
        <v>3874</v>
      </c>
      <c r="M857" s="33">
        <f t="shared" si="314"/>
        <v>3874</v>
      </c>
      <c r="N857" s="22">
        <f t="shared" si="315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312"/>
        <v>8</v>
      </c>
      <c r="J858" s="5"/>
      <c r="K858" s="5"/>
      <c r="L858" s="33">
        <f t="shared" si="313"/>
        <v>1074</v>
      </c>
      <c r="M858" s="33">
        <f t="shared" si="314"/>
        <v>1074</v>
      </c>
      <c r="N858" s="22">
        <f t="shared" si="315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312"/>
        <v>38</v>
      </c>
      <c r="J859" s="5"/>
      <c r="K859" s="5"/>
      <c r="L859" s="33">
        <f t="shared" si="313"/>
        <v>4601</v>
      </c>
      <c r="M859" s="33">
        <f t="shared" si="314"/>
        <v>4601</v>
      </c>
      <c r="N859" s="22">
        <f t="shared" si="315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312"/>
        <v>18</v>
      </c>
      <c r="J860" s="5"/>
      <c r="K860" s="5"/>
      <c r="L860" s="33">
        <f t="shared" si="313"/>
        <v>2416</v>
      </c>
      <c r="M860" s="33">
        <f t="shared" si="314"/>
        <v>2416</v>
      </c>
      <c r="N860" s="22">
        <f t="shared" si="315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312"/>
        <v>90</v>
      </c>
      <c r="J861" s="5"/>
      <c r="K861" s="5"/>
      <c r="L861" s="33">
        <f t="shared" si="313"/>
        <v>10896</v>
      </c>
      <c r="M861" s="33">
        <f t="shared" si="314"/>
        <v>10896</v>
      </c>
      <c r="N861" s="22">
        <f t="shared" si="315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312"/>
        <v>20</v>
      </c>
      <c r="J862" s="5"/>
      <c r="K862" s="5"/>
      <c r="L862" s="33">
        <f t="shared" si="313"/>
        <v>2654</v>
      </c>
      <c r="M862" s="33">
        <f t="shared" si="314"/>
        <v>2654</v>
      </c>
      <c r="N862" s="22">
        <f t="shared" si="315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312"/>
        <v>18</v>
      </c>
      <c r="J863" s="5"/>
      <c r="K863" s="5"/>
      <c r="L863" s="33">
        <f t="shared" si="313"/>
        <v>2416</v>
      </c>
      <c r="M863" s="33">
        <f t="shared" si="314"/>
        <v>2416</v>
      </c>
      <c r="N863" s="22">
        <f t="shared" si="315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312"/>
        <v>90</v>
      </c>
      <c r="J864" s="5"/>
      <c r="K864" s="5"/>
      <c r="L864" s="33">
        <f t="shared" si="313"/>
        <v>10896</v>
      </c>
      <c r="M864" s="33">
        <f t="shared" si="314"/>
        <v>10896</v>
      </c>
      <c r="N864" s="22">
        <f t="shared" si="315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312"/>
        <v>20</v>
      </c>
      <c r="J865" s="5"/>
      <c r="K865" s="5"/>
      <c r="L865" s="33">
        <f t="shared" si="313"/>
        <v>2654</v>
      </c>
      <c r="M865" s="33">
        <f t="shared" si="314"/>
        <v>2654</v>
      </c>
      <c r="N865" s="22">
        <f t="shared" si="315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316">D868*(1-H868)</f>
        <v>96</v>
      </c>
      <c r="J868" s="5"/>
      <c r="K868" s="5"/>
      <c r="L868" s="33">
        <f t="shared" ref="L868:L873" si="317">E868*(1-H868)</f>
        <v>10956</v>
      </c>
      <c r="M868" s="33">
        <f t="shared" ref="M868:M873" si="318">IF(J868="",L868,(E868/D868)*J868)</f>
        <v>10956</v>
      </c>
      <c r="N868" s="22">
        <f t="shared" ref="N868:N873" si="319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316"/>
        <v>30</v>
      </c>
      <c r="J869" s="5"/>
      <c r="K869" s="5"/>
      <c r="L869" s="33">
        <f t="shared" si="317"/>
        <v>3423.75</v>
      </c>
      <c r="M869" s="33">
        <f t="shared" si="318"/>
        <v>3423.75</v>
      </c>
      <c r="N869" s="22">
        <f t="shared" si="319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316"/>
        <v>4.7999999999999989</v>
      </c>
      <c r="J870" s="5"/>
      <c r="K870" s="5"/>
      <c r="L870" s="33">
        <f t="shared" si="317"/>
        <v>607.19999999999982</v>
      </c>
      <c r="M870" s="33">
        <f t="shared" si="318"/>
        <v>607.19999999999982</v>
      </c>
      <c r="N870" s="22">
        <f t="shared" si="319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316"/>
        <v>4.7999999999999989</v>
      </c>
      <c r="J871" s="5"/>
      <c r="K871" s="5"/>
      <c r="L871" s="33">
        <f t="shared" si="317"/>
        <v>547.79999999999984</v>
      </c>
      <c r="M871" s="33">
        <f t="shared" si="318"/>
        <v>547.79999999999984</v>
      </c>
      <c r="N871" s="22">
        <f t="shared" si="319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316"/>
        <v>7.5599999999999969</v>
      </c>
      <c r="J872" s="5"/>
      <c r="K872" s="5"/>
      <c r="L872" s="33">
        <f t="shared" si="317"/>
        <v>956.42999999999972</v>
      </c>
      <c r="M872" s="33">
        <f t="shared" si="318"/>
        <v>956.42999999999972</v>
      </c>
      <c r="N872" s="22">
        <f t="shared" si="319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316"/>
        <v>7.5599999999999969</v>
      </c>
      <c r="J873" s="5"/>
      <c r="K873" s="5"/>
      <c r="L873" s="33">
        <f t="shared" si="317"/>
        <v>1113.2999999999997</v>
      </c>
      <c r="M873" s="33">
        <f t="shared" si="318"/>
        <v>1113.2999999999997</v>
      </c>
      <c r="N873" s="22">
        <f t="shared" si="319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320">D875*(1-H875)</f>
        <v>0</v>
      </c>
      <c r="J875" s="5"/>
      <c r="K875" s="5"/>
      <c r="L875" s="33">
        <f t="shared" ref="L875:L911" si="321">E875*(1-H875)</f>
        <v>0</v>
      </c>
      <c r="M875" s="33">
        <f t="shared" ref="M875:M911" si="322">IF(J875="",L875,(E875/D875)*J875)</f>
        <v>0</v>
      </c>
      <c r="N875" s="22">
        <f t="shared" ref="N875:N911" si="323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320"/>
        <v>0</v>
      </c>
      <c r="J876" s="5"/>
      <c r="K876" s="5"/>
      <c r="L876" s="33">
        <f t="shared" si="321"/>
        <v>0</v>
      </c>
      <c r="M876" s="33">
        <f t="shared" si="322"/>
        <v>0</v>
      </c>
      <c r="N876" s="22">
        <f t="shared" si="323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320"/>
        <v>0</v>
      </c>
      <c r="J877" s="5"/>
      <c r="K877" s="5"/>
      <c r="L877" s="33">
        <f t="shared" si="321"/>
        <v>0</v>
      </c>
      <c r="M877" s="33">
        <f t="shared" si="322"/>
        <v>0</v>
      </c>
      <c r="N877" s="22">
        <f t="shared" si="323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320"/>
        <v>0</v>
      </c>
      <c r="J878" s="5"/>
      <c r="K878" s="5"/>
      <c r="L878" s="33">
        <f t="shared" si="321"/>
        <v>0</v>
      </c>
      <c r="M878" s="33">
        <f t="shared" si="322"/>
        <v>0</v>
      </c>
      <c r="N878" s="22">
        <f t="shared" si="323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320"/>
        <v>6</v>
      </c>
      <c r="J879" s="5"/>
      <c r="K879" s="5"/>
      <c r="L879" s="33">
        <f t="shared" si="321"/>
        <v>759</v>
      </c>
      <c r="M879" s="33">
        <f t="shared" si="322"/>
        <v>759</v>
      </c>
      <c r="N879" s="22">
        <f t="shared" si="323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320"/>
        <v>0</v>
      </c>
      <c r="J880" s="5"/>
      <c r="K880" s="5"/>
      <c r="L880" s="33">
        <f t="shared" si="321"/>
        <v>0</v>
      </c>
      <c r="M880" s="33">
        <f t="shared" si="322"/>
        <v>0</v>
      </c>
      <c r="N880" s="22">
        <f t="shared" si="323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320"/>
        <v>0</v>
      </c>
      <c r="J881" s="5"/>
      <c r="K881" s="5"/>
      <c r="L881" s="33">
        <f t="shared" si="321"/>
        <v>0</v>
      </c>
      <c r="M881" s="33">
        <f t="shared" si="322"/>
        <v>0</v>
      </c>
      <c r="N881" s="22">
        <f t="shared" si="323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320"/>
        <v>0</v>
      </c>
      <c r="J882" s="5"/>
      <c r="K882" s="5"/>
      <c r="L882" s="33">
        <f t="shared" si="321"/>
        <v>0</v>
      </c>
      <c r="M882" s="33">
        <f t="shared" si="322"/>
        <v>0</v>
      </c>
      <c r="N882" s="22">
        <f t="shared" si="323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320"/>
        <v>0</v>
      </c>
      <c r="J883" s="5"/>
      <c r="K883" s="5"/>
      <c r="L883" s="33">
        <f t="shared" si="321"/>
        <v>0</v>
      </c>
      <c r="M883" s="33">
        <f t="shared" si="322"/>
        <v>0</v>
      </c>
      <c r="N883" s="22">
        <f t="shared" si="323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320"/>
        <v>0</v>
      </c>
      <c r="J884" s="5"/>
      <c r="K884" s="5"/>
      <c r="L884" s="33">
        <f t="shared" si="321"/>
        <v>0</v>
      </c>
      <c r="M884" s="33">
        <f t="shared" si="322"/>
        <v>0</v>
      </c>
      <c r="N884" s="22">
        <f t="shared" si="323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320"/>
        <v>0</v>
      </c>
      <c r="J885" s="5"/>
      <c r="K885" s="5"/>
      <c r="L885" s="33">
        <f t="shared" si="321"/>
        <v>0</v>
      </c>
      <c r="M885" s="33">
        <f t="shared" si="322"/>
        <v>0</v>
      </c>
      <c r="N885" s="22">
        <f t="shared" si="323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320"/>
        <v>0</v>
      </c>
      <c r="J886" s="5"/>
      <c r="K886" s="5"/>
      <c r="L886" s="33">
        <f t="shared" si="321"/>
        <v>0</v>
      </c>
      <c r="M886" s="33">
        <f t="shared" si="322"/>
        <v>0</v>
      </c>
      <c r="N886" s="22">
        <f t="shared" si="323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320"/>
        <v>5</v>
      </c>
      <c r="J887" s="5"/>
      <c r="K887" s="5"/>
      <c r="L887" s="33">
        <f t="shared" si="321"/>
        <v>633</v>
      </c>
      <c r="M887" s="33">
        <f t="shared" si="322"/>
        <v>633</v>
      </c>
      <c r="N887" s="22">
        <f t="shared" si="323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320"/>
        <v>0</v>
      </c>
      <c r="J888" s="5"/>
      <c r="K888" s="5"/>
      <c r="L888" s="33">
        <f t="shared" si="321"/>
        <v>0</v>
      </c>
      <c r="M888" s="33">
        <f t="shared" si="322"/>
        <v>0</v>
      </c>
      <c r="N888" s="22">
        <f t="shared" si="323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320"/>
        <v>0</v>
      </c>
      <c r="J889" s="5"/>
      <c r="K889" s="5"/>
      <c r="L889" s="33">
        <f t="shared" si="321"/>
        <v>0</v>
      </c>
      <c r="M889" s="33">
        <f t="shared" si="322"/>
        <v>0</v>
      </c>
      <c r="N889" s="22">
        <f t="shared" si="323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320"/>
        <v>0</v>
      </c>
      <c r="J890" s="5"/>
      <c r="K890" s="5"/>
      <c r="L890" s="33">
        <f t="shared" si="321"/>
        <v>0</v>
      </c>
      <c r="M890" s="33">
        <f t="shared" si="322"/>
        <v>0</v>
      </c>
      <c r="N890" s="22">
        <f t="shared" si="323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320"/>
        <v>0</v>
      </c>
      <c r="J891" s="5"/>
      <c r="K891" s="5"/>
      <c r="L891" s="33">
        <f t="shared" si="321"/>
        <v>0</v>
      </c>
      <c r="M891" s="33">
        <f t="shared" si="322"/>
        <v>0</v>
      </c>
      <c r="N891" s="22">
        <f t="shared" si="323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320"/>
        <v>0</v>
      </c>
      <c r="J892" s="5"/>
      <c r="K892" s="5"/>
      <c r="L892" s="33">
        <f t="shared" si="321"/>
        <v>0</v>
      </c>
      <c r="M892" s="33">
        <f t="shared" si="322"/>
        <v>0</v>
      </c>
      <c r="N892" s="22">
        <f t="shared" si="323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320"/>
        <v>0</v>
      </c>
      <c r="J893" s="5"/>
      <c r="K893" s="5"/>
      <c r="L893" s="33">
        <f t="shared" si="321"/>
        <v>0</v>
      </c>
      <c r="M893" s="33">
        <f t="shared" si="322"/>
        <v>0</v>
      </c>
      <c r="N893" s="22">
        <f t="shared" si="323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320"/>
        <v>1500</v>
      </c>
      <c r="J894" s="5"/>
      <c r="K894" s="5"/>
      <c r="L894" s="33">
        <f t="shared" si="321"/>
        <v>1707</v>
      </c>
      <c r="M894" s="33">
        <f t="shared" si="322"/>
        <v>1707</v>
      </c>
      <c r="N894" s="22">
        <f t="shared" si="323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320"/>
        <v>0</v>
      </c>
      <c r="J895" s="5"/>
      <c r="K895" s="5"/>
      <c r="L895" s="33">
        <f t="shared" si="321"/>
        <v>0</v>
      </c>
      <c r="M895" s="33">
        <f t="shared" si="322"/>
        <v>0</v>
      </c>
      <c r="N895" s="22">
        <f t="shared" si="323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320"/>
        <v>0</v>
      </c>
      <c r="J896" s="5"/>
      <c r="K896" s="5"/>
      <c r="L896" s="33">
        <f t="shared" si="321"/>
        <v>0</v>
      </c>
      <c r="M896" s="33">
        <f t="shared" si="322"/>
        <v>0</v>
      </c>
      <c r="N896" s="22">
        <f t="shared" si="323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320"/>
        <v>0</v>
      </c>
      <c r="J897" s="5"/>
      <c r="K897" s="5"/>
      <c r="L897" s="33">
        <f t="shared" si="321"/>
        <v>0</v>
      </c>
      <c r="M897" s="33">
        <f t="shared" si="322"/>
        <v>0</v>
      </c>
      <c r="N897" s="22">
        <f t="shared" si="323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320"/>
        <v>0</v>
      </c>
      <c r="J898" s="5"/>
      <c r="K898" s="5"/>
      <c r="L898" s="33">
        <f t="shared" si="321"/>
        <v>0</v>
      </c>
      <c r="M898" s="33">
        <f t="shared" si="322"/>
        <v>0</v>
      </c>
      <c r="N898" s="22">
        <f t="shared" si="323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320"/>
        <v>0</v>
      </c>
      <c r="J899" s="5"/>
      <c r="K899" s="5"/>
      <c r="L899" s="33">
        <f t="shared" si="321"/>
        <v>0</v>
      </c>
      <c r="M899" s="33">
        <f t="shared" si="322"/>
        <v>0</v>
      </c>
      <c r="N899" s="22">
        <f t="shared" si="323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320"/>
        <v>0</v>
      </c>
      <c r="J900" s="5"/>
      <c r="K900" s="5"/>
      <c r="L900" s="33">
        <f t="shared" si="321"/>
        <v>0</v>
      </c>
      <c r="M900" s="33">
        <f t="shared" si="322"/>
        <v>0</v>
      </c>
      <c r="N900" s="22">
        <f t="shared" si="323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320"/>
        <v>0</v>
      </c>
      <c r="J901" s="5"/>
      <c r="K901" s="5"/>
      <c r="L901" s="33">
        <f t="shared" si="321"/>
        <v>0</v>
      </c>
      <c r="M901" s="33">
        <f t="shared" si="322"/>
        <v>0</v>
      </c>
      <c r="N901" s="22">
        <f t="shared" si="323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320"/>
        <v>1220</v>
      </c>
      <c r="J902" s="5"/>
      <c r="K902" s="5"/>
      <c r="L902" s="33">
        <f t="shared" si="321"/>
        <v>1388</v>
      </c>
      <c r="M902" s="33">
        <f t="shared" si="322"/>
        <v>1388</v>
      </c>
      <c r="N902" s="22">
        <f t="shared" si="323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320"/>
        <v>0</v>
      </c>
      <c r="J903" s="5"/>
      <c r="K903" s="5"/>
      <c r="L903" s="33">
        <f t="shared" si="321"/>
        <v>0</v>
      </c>
      <c r="M903" s="33">
        <f t="shared" si="322"/>
        <v>0</v>
      </c>
      <c r="N903" s="22">
        <f t="shared" si="323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320"/>
        <v>0</v>
      </c>
      <c r="J904" s="5"/>
      <c r="K904" s="5"/>
      <c r="L904" s="33">
        <f t="shared" si="321"/>
        <v>0</v>
      </c>
      <c r="M904" s="33">
        <f t="shared" si="322"/>
        <v>0</v>
      </c>
      <c r="N904" s="22">
        <f t="shared" si="323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320"/>
        <v>0</v>
      </c>
      <c r="J905" s="5"/>
      <c r="K905" s="5"/>
      <c r="L905" s="33">
        <f t="shared" si="321"/>
        <v>0</v>
      </c>
      <c r="M905" s="33">
        <f t="shared" si="322"/>
        <v>0</v>
      </c>
      <c r="N905" s="22">
        <f t="shared" si="323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320"/>
        <v>0</v>
      </c>
      <c r="J906" s="5"/>
      <c r="K906" s="5"/>
      <c r="L906" s="33">
        <f t="shared" si="321"/>
        <v>0</v>
      </c>
      <c r="M906" s="33">
        <f t="shared" si="322"/>
        <v>0</v>
      </c>
      <c r="N906" s="22">
        <f t="shared" si="323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320"/>
        <v>0</v>
      </c>
      <c r="J907" s="5"/>
      <c r="K907" s="5"/>
      <c r="L907" s="33">
        <f t="shared" si="321"/>
        <v>0</v>
      </c>
      <c r="M907" s="33">
        <f t="shared" si="322"/>
        <v>0</v>
      </c>
      <c r="N907" s="22">
        <f t="shared" si="323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320"/>
        <v>0</v>
      </c>
      <c r="J908" s="5"/>
      <c r="K908" s="5"/>
      <c r="L908" s="33">
        <f t="shared" si="321"/>
        <v>0</v>
      </c>
      <c r="M908" s="33">
        <f t="shared" si="322"/>
        <v>0</v>
      </c>
      <c r="N908" s="22">
        <f t="shared" si="323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320"/>
        <v>0</v>
      </c>
      <c r="J909" s="5"/>
      <c r="K909" s="5"/>
      <c r="L909" s="33">
        <f t="shared" si="321"/>
        <v>0</v>
      </c>
      <c r="M909" s="33">
        <f t="shared" si="322"/>
        <v>0</v>
      </c>
      <c r="N909" s="22">
        <f t="shared" si="323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320"/>
        <v>0</v>
      </c>
      <c r="J910" s="5"/>
      <c r="K910" s="5"/>
      <c r="L910" s="33">
        <f t="shared" si="321"/>
        <v>0</v>
      </c>
      <c r="M910" s="33">
        <f t="shared" si="322"/>
        <v>0</v>
      </c>
      <c r="N910" s="22">
        <f t="shared" si="323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320"/>
        <v>0</v>
      </c>
      <c r="J911" s="5"/>
      <c r="K911" s="5"/>
      <c r="L911" s="33">
        <f t="shared" si="321"/>
        <v>0</v>
      </c>
      <c r="M911" s="33">
        <f t="shared" si="322"/>
        <v>0</v>
      </c>
      <c r="N911" s="22">
        <f t="shared" si="323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324">D913*(1-H913)</f>
        <v>48</v>
      </c>
      <c r="J913" s="5"/>
      <c r="K913" s="5"/>
      <c r="L913" s="33">
        <f t="shared" ref="L913:L925" si="325">E913*(1-H913)</f>
        <v>6072</v>
      </c>
      <c r="M913" s="33">
        <f t="shared" ref="M913:M925" si="326">IF(J913="",L913,(E913/D913)*J913)</f>
        <v>6072</v>
      </c>
      <c r="N913" s="22">
        <f t="shared" ref="N913:N925" si="327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324"/>
        <v>280</v>
      </c>
      <c r="J914" s="5"/>
      <c r="K914" s="5"/>
      <c r="L914" s="33">
        <f t="shared" si="325"/>
        <v>31954</v>
      </c>
      <c r="M914" s="33">
        <f t="shared" si="326"/>
        <v>31954</v>
      </c>
      <c r="N914" s="22">
        <f t="shared" si="327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324"/>
        <v>4</v>
      </c>
      <c r="J915" s="5"/>
      <c r="K915" s="5"/>
      <c r="L915" s="33">
        <f t="shared" si="325"/>
        <v>506</v>
      </c>
      <c r="M915" s="33">
        <f t="shared" si="326"/>
        <v>506</v>
      </c>
      <c r="N915" s="22">
        <f t="shared" si="327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324"/>
        <v>13</v>
      </c>
      <c r="J916" s="5"/>
      <c r="K916" s="5"/>
      <c r="L916" s="33">
        <f t="shared" si="325"/>
        <v>1484</v>
      </c>
      <c r="M916" s="33">
        <f t="shared" si="326"/>
        <v>1484</v>
      </c>
      <c r="N916" s="22">
        <f t="shared" si="327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324"/>
        <v>52</v>
      </c>
      <c r="J917" s="5"/>
      <c r="K917" s="5"/>
      <c r="L917" s="33">
        <f t="shared" si="325"/>
        <v>6087</v>
      </c>
      <c r="M917" s="33">
        <f t="shared" si="326"/>
        <v>6087</v>
      </c>
      <c r="N917" s="22">
        <f t="shared" si="327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324"/>
        <v>150</v>
      </c>
      <c r="J918" s="5"/>
      <c r="K918" s="5"/>
      <c r="L918" s="33">
        <f t="shared" si="325"/>
        <v>19245</v>
      </c>
      <c r="M918" s="33">
        <f t="shared" si="326"/>
        <v>19245</v>
      </c>
      <c r="N918" s="22">
        <f t="shared" si="327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324"/>
        <v>160</v>
      </c>
      <c r="J919" s="5"/>
      <c r="K919" s="5"/>
      <c r="L919" s="33">
        <f t="shared" si="325"/>
        <v>19372</v>
      </c>
      <c r="M919" s="33">
        <f t="shared" si="326"/>
        <v>19372</v>
      </c>
      <c r="N919" s="22">
        <f t="shared" si="327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324"/>
        <v>40</v>
      </c>
      <c r="J920" s="5"/>
      <c r="K920" s="5"/>
      <c r="L920" s="33">
        <f t="shared" si="325"/>
        <v>4843</v>
      </c>
      <c r="M920" s="33">
        <f t="shared" si="326"/>
        <v>4843</v>
      </c>
      <c r="N920" s="22">
        <f t="shared" si="327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324"/>
        <v>16</v>
      </c>
      <c r="J921" s="5"/>
      <c r="K921" s="5"/>
      <c r="L921" s="33">
        <f t="shared" si="325"/>
        <v>2061</v>
      </c>
      <c r="M921" s="33">
        <f t="shared" si="326"/>
        <v>2061</v>
      </c>
      <c r="N921" s="22">
        <f t="shared" si="327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324"/>
        <v>480</v>
      </c>
      <c r="J922" s="5"/>
      <c r="K922" s="5"/>
      <c r="L922" s="33">
        <f t="shared" si="325"/>
        <v>63690</v>
      </c>
      <c r="M922" s="33">
        <f t="shared" si="326"/>
        <v>63690</v>
      </c>
      <c r="N922" s="22">
        <f t="shared" si="327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324"/>
        <v>16</v>
      </c>
      <c r="J923" s="5"/>
      <c r="K923" s="5"/>
      <c r="L923" s="33">
        <f t="shared" si="325"/>
        <v>1937</v>
      </c>
      <c r="M923" s="33">
        <f t="shared" si="326"/>
        <v>1937</v>
      </c>
      <c r="N923" s="22">
        <f t="shared" si="327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324"/>
        <v>96</v>
      </c>
      <c r="J924" s="5"/>
      <c r="K924" s="5"/>
      <c r="L924" s="33">
        <f t="shared" si="325"/>
        <v>11623</v>
      </c>
      <c r="M924" s="33">
        <f t="shared" si="326"/>
        <v>11623</v>
      </c>
      <c r="N924" s="22">
        <f t="shared" si="327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324"/>
        <v>4</v>
      </c>
      <c r="J925" s="5"/>
      <c r="K925" s="5"/>
      <c r="L925" s="33">
        <f t="shared" si="325"/>
        <v>531</v>
      </c>
      <c r="M925" s="33">
        <f t="shared" si="326"/>
        <v>531</v>
      </c>
      <c r="N925" s="22">
        <f t="shared" si="327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328">D927*(1-H927)</f>
        <v>0</v>
      </c>
      <c r="J927" s="5"/>
      <c r="K927" s="5"/>
      <c r="L927" s="33">
        <f t="shared" ref="L927:L937" si="329">E927*(1-H927)</f>
        <v>0</v>
      </c>
      <c r="M927" s="33">
        <f t="shared" ref="M927:M937" si="330">IF(J927="",L927,(E927/D927)*J927)</f>
        <v>0</v>
      </c>
      <c r="N927" s="22">
        <f t="shared" ref="N927:N937" si="331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328"/>
        <v>0</v>
      </c>
      <c r="J928" s="5"/>
      <c r="K928" s="5"/>
      <c r="L928" s="33">
        <f t="shared" si="329"/>
        <v>0</v>
      </c>
      <c r="M928" s="33">
        <f t="shared" si="330"/>
        <v>0</v>
      </c>
      <c r="N928" s="22">
        <f t="shared" si="331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328"/>
        <v>3.2</v>
      </c>
      <c r="J929" s="5"/>
      <c r="K929" s="5"/>
      <c r="L929" s="33">
        <f t="shared" si="329"/>
        <v>404.8</v>
      </c>
      <c r="M929" s="33">
        <f t="shared" si="330"/>
        <v>404.8</v>
      </c>
      <c r="N929" s="22">
        <f t="shared" si="331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328"/>
        <v>3.2</v>
      </c>
      <c r="J930" s="5"/>
      <c r="K930" s="5"/>
      <c r="L930" s="33">
        <f t="shared" si="329"/>
        <v>471.20000000000005</v>
      </c>
      <c r="M930" s="33">
        <f t="shared" si="330"/>
        <v>471.20000000000005</v>
      </c>
      <c r="N930" s="22">
        <f t="shared" si="331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328"/>
        <v>316.8</v>
      </c>
      <c r="J931" s="5"/>
      <c r="K931" s="5"/>
      <c r="L931" s="33">
        <f t="shared" si="329"/>
        <v>41280.800000000003</v>
      </c>
      <c r="M931" s="33">
        <f t="shared" si="330"/>
        <v>41280.800000000003</v>
      </c>
      <c r="N931" s="22">
        <f t="shared" si="331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328"/>
        <v>39.6</v>
      </c>
      <c r="J932" s="5"/>
      <c r="K932" s="5"/>
      <c r="L932" s="33">
        <f t="shared" si="329"/>
        <v>6006.55</v>
      </c>
      <c r="M932" s="33">
        <f t="shared" si="330"/>
        <v>6006.55</v>
      </c>
      <c r="N932" s="22">
        <f t="shared" si="331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328"/>
        <v>46.079999999999977</v>
      </c>
      <c r="J933" s="5"/>
      <c r="K933" s="5"/>
      <c r="L933" s="33">
        <f t="shared" si="329"/>
        <v>6170.5599999999968</v>
      </c>
      <c r="M933" s="33">
        <f t="shared" si="330"/>
        <v>6170.5599999999968</v>
      </c>
      <c r="N933" s="22">
        <f t="shared" si="331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328"/>
        <v>5.7599999999999971</v>
      </c>
      <c r="J934" s="5"/>
      <c r="K934" s="5"/>
      <c r="L934" s="33">
        <f t="shared" si="329"/>
        <v>897.83999999999958</v>
      </c>
      <c r="M934" s="33">
        <f t="shared" si="330"/>
        <v>897.83999999999958</v>
      </c>
      <c r="N934" s="22">
        <f t="shared" si="331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328"/>
        <v>120</v>
      </c>
      <c r="J935" s="5"/>
      <c r="K935" s="5"/>
      <c r="L935" s="33">
        <f t="shared" si="329"/>
        <v>16106</v>
      </c>
      <c r="M935" s="33">
        <f t="shared" si="330"/>
        <v>16106</v>
      </c>
      <c r="N935" s="22">
        <f t="shared" si="331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328"/>
        <v>120</v>
      </c>
      <c r="J936" s="5"/>
      <c r="K936" s="5"/>
      <c r="L936" s="33">
        <f t="shared" si="329"/>
        <v>14529</v>
      </c>
      <c r="M936" s="33">
        <f t="shared" si="330"/>
        <v>14529</v>
      </c>
      <c r="N936" s="22">
        <f t="shared" si="331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328"/>
        <v>24</v>
      </c>
      <c r="J937" s="5"/>
      <c r="K937" s="5"/>
      <c r="L937" s="33">
        <f t="shared" si="329"/>
        <v>3750</v>
      </c>
      <c r="M937" s="33">
        <f t="shared" si="330"/>
        <v>3750</v>
      </c>
      <c r="N937" s="22">
        <f t="shared" si="331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 t="shared" ref="I939:I943" si="332">D939*(1-H939)</f>
        <v>0</v>
      </c>
      <c r="J939" s="5"/>
      <c r="K939" s="5"/>
      <c r="L939" s="33">
        <f t="shared" ref="L939:L943" si="333">E939*(1-H939)</f>
        <v>0</v>
      </c>
      <c r="M939" s="33">
        <f t="shared" ref="M939:M943" si="334">IF(J939="",L939,(E939/D939)*J939)</f>
        <v>0</v>
      </c>
      <c r="N939" s="22">
        <f t="shared" ref="N939:N943" si="335"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 t="shared" si="332"/>
        <v>0</v>
      </c>
      <c r="J940" s="5"/>
      <c r="K940" s="5"/>
      <c r="L940" s="33">
        <f t="shared" si="333"/>
        <v>0</v>
      </c>
      <c r="M940" s="33">
        <f t="shared" si="334"/>
        <v>0</v>
      </c>
      <c r="N940" s="22">
        <f t="shared" si="335"/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 t="shared" si="332"/>
        <v>0</v>
      </c>
      <c r="J941" s="5"/>
      <c r="K941" s="5"/>
      <c r="L941" s="33">
        <f t="shared" si="333"/>
        <v>0</v>
      </c>
      <c r="M941" s="33">
        <f t="shared" si="334"/>
        <v>0</v>
      </c>
      <c r="N941" s="22">
        <f t="shared" si="335"/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 t="shared" si="332"/>
        <v>0</v>
      </c>
      <c r="J942" s="5"/>
      <c r="K942" s="5"/>
      <c r="L942" s="33">
        <f t="shared" si="333"/>
        <v>0</v>
      </c>
      <c r="M942" s="33">
        <f t="shared" si="334"/>
        <v>0</v>
      </c>
      <c r="N942" s="22">
        <f t="shared" si="335"/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 t="shared" si="332"/>
        <v>0</v>
      </c>
      <c r="J943" s="5"/>
      <c r="K943" s="5"/>
      <c r="L943" s="33">
        <f t="shared" si="333"/>
        <v>0</v>
      </c>
      <c r="M943" s="33">
        <f t="shared" si="334"/>
        <v>0</v>
      </c>
      <c r="N943" s="22">
        <f t="shared" si="335"/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336">D946*(1-H946)</f>
        <v>0</v>
      </c>
      <c r="J946" s="5"/>
      <c r="K946" s="5"/>
      <c r="L946" s="33">
        <f t="shared" ref="L946:L951" si="337">E946*(1-H946)</f>
        <v>0</v>
      </c>
      <c r="M946" s="33">
        <f t="shared" ref="M946:M951" si="338">IF(J946="",L946,(E946/D946)*J946)</f>
        <v>0</v>
      </c>
      <c r="N946" s="22">
        <f t="shared" ref="N946:N951" si="339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336"/>
        <v>0</v>
      </c>
      <c r="J947" s="5"/>
      <c r="K947" s="5"/>
      <c r="L947" s="33">
        <f t="shared" si="337"/>
        <v>0</v>
      </c>
      <c r="M947" s="33">
        <f t="shared" si="338"/>
        <v>0</v>
      </c>
      <c r="N947" s="22">
        <f t="shared" si="339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336"/>
        <v>0</v>
      </c>
      <c r="J948" s="5"/>
      <c r="K948" s="5"/>
      <c r="L948" s="33">
        <f t="shared" si="337"/>
        <v>0</v>
      </c>
      <c r="M948" s="33">
        <f t="shared" si="338"/>
        <v>0</v>
      </c>
      <c r="N948" s="22">
        <f t="shared" si="339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336"/>
        <v>0</v>
      </c>
      <c r="J949" s="5"/>
      <c r="K949" s="5"/>
      <c r="L949" s="33">
        <f t="shared" si="337"/>
        <v>0</v>
      </c>
      <c r="M949" s="33">
        <f t="shared" si="338"/>
        <v>0</v>
      </c>
      <c r="N949" s="22">
        <f t="shared" si="339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336"/>
        <v>0</v>
      </c>
      <c r="J950" s="5"/>
      <c r="K950" s="5"/>
      <c r="L950" s="33">
        <f t="shared" si="337"/>
        <v>0</v>
      </c>
      <c r="M950" s="33">
        <f t="shared" si="338"/>
        <v>0</v>
      </c>
      <c r="N950" s="22">
        <f t="shared" si="339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336"/>
        <v>5</v>
      </c>
      <c r="J951" s="5"/>
      <c r="K951" s="5"/>
      <c r="L951" s="33">
        <f t="shared" si="337"/>
        <v>736</v>
      </c>
      <c r="M951" s="33">
        <f t="shared" si="338"/>
        <v>736</v>
      </c>
      <c r="N951" s="22">
        <f t="shared" si="339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340">D953*(1-H953)</f>
        <v>0</v>
      </c>
      <c r="J953" s="5"/>
      <c r="K953" s="5"/>
      <c r="L953" s="33">
        <f t="shared" ref="L953:L961" si="341">E953*(1-H953)</f>
        <v>0</v>
      </c>
      <c r="M953" s="33">
        <f t="shared" ref="M953:M961" si="342">IF(J953="",L953,(E953/D953)*J953)</f>
        <v>0</v>
      </c>
      <c r="N953" s="22">
        <f t="shared" ref="N953:N961" si="343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340"/>
        <v>0</v>
      </c>
      <c r="J954" s="5"/>
      <c r="K954" s="5"/>
      <c r="L954" s="33">
        <f t="shared" si="341"/>
        <v>0</v>
      </c>
      <c r="M954" s="33">
        <f t="shared" si="342"/>
        <v>0</v>
      </c>
      <c r="N954" s="22">
        <f t="shared" si="343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340"/>
        <v>0</v>
      </c>
      <c r="J955" s="5"/>
      <c r="K955" s="5"/>
      <c r="L955" s="33">
        <f t="shared" si="341"/>
        <v>0</v>
      </c>
      <c r="M955" s="33">
        <f t="shared" si="342"/>
        <v>0</v>
      </c>
      <c r="N955" s="22">
        <f t="shared" si="343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340"/>
        <v>0</v>
      </c>
      <c r="J956" s="5"/>
      <c r="K956" s="5"/>
      <c r="L956" s="33">
        <f t="shared" si="341"/>
        <v>0</v>
      </c>
      <c r="M956" s="33">
        <f t="shared" si="342"/>
        <v>0</v>
      </c>
      <c r="N956" s="22">
        <f t="shared" si="343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340"/>
        <v>0</v>
      </c>
      <c r="J957" s="5"/>
      <c r="K957" s="5"/>
      <c r="L957" s="33">
        <f t="shared" si="341"/>
        <v>0</v>
      </c>
      <c r="M957" s="33">
        <f t="shared" si="342"/>
        <v>0</v>
      </c>
      <c r="N957" s="22">
        <f t="shared" si="343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340"/>
        <v>0</v>
      </c>
      <c r="J958" s="5"/>
      <c r="K958" s="5"/>
      <c r="L958" s="33">
        <f t="shared" si="341"/>
        <v>0</v>
      </c>
      <c r="M958" s="33">
        <f t="shared" si="342"/>
        <v>0</v>
      </c>
      <c r="N958" s="22">
        <f t="shared" si="343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340"/>
        <v>0</v>
      </c>
      <c r="J959" s="5"/>
      <c r="K959" s="5"/>
      <c r="L959" s="33">
        <f t="shared" si="341"/>
        <v>0</v>
      </c>
      <c r="M959" s="33">
        <f t="shared" si="342"/>
        <v>0</v>
      </c>
      <c r="N959" s="22">
        <f t="shared" si="343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340"/>
        <v>0</v>
      </c>
      <c r="J960" s="5"/>
      <c r="K960" s="5"/>
      <c r="L960" s="33">
        <f t="shared" si="341"/>
        <v>0</v>
      </c>
      <c r="M960" s="33">
        <f t="shared" si="342"/>
        <v>0</v>
      </c>
      <c r="N960" s="22">
        <f t="shared" si="343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340"/>
        <v>0</v>
      </c>
      <c r="J961" s="5"/>
      <c r="K961" s="5"/>
      <c r="L961" s="33">
        <f t="shared" si="341"/>
        <v>0</v>
      </c>
      <c r="M961" s="33">
        <f t="shared" si="342"/>
        <v>0</v>
      </c>
      <c r="N961" s="22">
        <f t="shared" si="343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344">D963*(1-H963)</f>
        <v>0</v>
      </c>
      <c r="J963" s="5"/>
      <c r="K963" s="5"/>
      <c r="L963" s="33">
        <f t="shared" ref="L963:L977" si="345">E963*(1-H963)</f>
        <v>0</v>
      </c>
      <c r="M963" s="33">
        <f t="shared" ref="M963:M977" si="346">IF(J963="",L963,(E963/D963)*J963)</f>
        <v>0</v>
      </c>
      <c r="N963" s="22">
        <f t="shared" ref="N963:N977" si="347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344"/>
        <v>0</v>
      </c>
      <c r="J964" s="5"/>
      <c r="K964" s="5"/>
      <c r="L964" s="33">
        <f t="shared" si="345"/>
        <v>0</v>
      </c>
      <c r="M964" s="33">
        <f t="shared" si="346"/>
        <v>0</v>
      </c>
      <c r="N964" s="22">
        <f t="shared" si="347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344"/>
        <v>0</v>
      </c>
      <c r="J965" s="5"/>
      <c r="K965" s="5"/>
      <c r="L965" s="33">
        <f t="shared" si="345"/>
        <v>0</v>
      </c>
      <c r="M965" s="33">
        <f t="shared" si="346"/>
        <v>0</v>
      </c>
      <c r="N965" s="22">
        <f t="shared" si="347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344"/>
        <v>0</v>
      </c>
      <c r="J966" s="5"/>
      <c r="K966" s="5"/>
      <c r="L966" s="33">
        <f t="shared" si="345"/>
        <v>0</v>
      </c>
      <c r="M966" s="33">
        <f t="shared" si="346"/>
        <v>0</v>
      </c>
      <c r="N966" s="22">
        <f t="shared" si="347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344"/>
        <v>0</v>
      </c>
      <c r="J967" s="5"/>
      <c r="K967" s="5"/>
      <c r="L967" s="33">
        <f t="shared" si="345"/>
        <v>0</v>
      </c>
      <c r="M967" s="33">
        <f t="shared" si="346"/>
        <v>0</v>
      </c>
      <c r="N967" s="22">
        <f t="shared" si="347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344"/>
        <v>42</v>
      </c>
      <c r="J968" s="5"/>
      <c r="K968" s="5"/>
      <c r="L968" s="33">
        <f t="shared" si="345"/>
        <v>6185.2</v>
      </c>
      <c r="M968" s="33">
        <f t="shared" si="346"/>
        <v>6185.2</v>
      </c>
      <c r="N968" s="22">
        <f t="shared" si="347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344"/>
        <v>168</v>
      </c>
      <c r="J969" s="5"/>
      <c r="K969" s="5"/>
      <c r="L969" s="33">
        <f t="shared" si="345"/>
        <v>21011.899999999998</v>
      </c>
      <c r="M969" s="33">
        <f t="shared" si="346"/>
        <v>21011.899999999998</v>
      </c>
      <c r="N969" s="22">
        <f t="shared" si="347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344"/>
        <v>60</v>
      </c>
      <c r="J970" s="5"/>
      <c r="K970" s="5"/>
      <c r="L970" s="33">
        <f t="shared" si="345"/>
        <v>8836</v>
      </c>
      <c r="M970" s="33">
        <f t="shared" si="346"/>
        <v>8836</v>
      </c>
      <c r="N970" s="22">
        <f t="shared" si="347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344"/>
        <v>240</v>
      </c>
      <c r="J971" s="5"/>
      <c r="K971" s="5"/>
      <c r="L971" s="33">
        <f t="shared" si="345"/>
        <v>27389</v>
      </c>
      <c r="M971" s="33">
        <f t="shared" si="346"/>
        <v>27389</v>
      </c>
      <c r="N971" s="22">
        <f t="shared" si="347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344"/>
        <v>300</v>
      </c>
      <c r="J972" s="5"/>
      <c r="K972" s="5"/>
      <c r="L972" s="33">
        <f t="shared" si="345"/>
        <v>37521</v>
      </c>
      <c r="M972" s="33">
        <f t="shared" si="346"/>
        <v>37521</v>
      </c>
      <c r="N972" s="22">
        <f t="shared" si="347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344"/>
        <v>240</v>
      </c>
      <c r="J973" s="5"/>
      <c r="K973" s="5"/>
      <c r="L973" s="33">
        <f t="shared" si="345"/>
        <v>30017</v>
      </c>
      <c r="M973" s="33">
        <f t="shared" si="346"/>
        <v>30017</v>
      </c>
      <c r="N973" s="22">
        <f t="shared" si="347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344"/>
        <v>60</v>
      </c>
      <c r="J974" s="5"/>
      <c r="K974" s="5"/>
      <c r="L974" s="33">
        <f t="shared" si="345"/>
        <v>8836</v>
      </c>
      <c r="M974" s="33">
        <f t="shared" si="346"/>
        <v>8836</v>
      </c>
      <c r="N974" s="22">
        <f t="shared" si="347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344"/>
        <v>40</v>
      </c>
      <c r="J975" s="5"/>
      <c r="K975" s="5"/>
      <c r="L975" s="33">
        <f t="shared" si="345"/>
        <v>6249</v>
      </c>
      <c r="M975" s="33">
        <f t="shared" si="346"/>
        <v>6249</v>
      </c>
      <c r="N975" s="22">
        <f t="shared" si="347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344"/>
        <v>160</v>
      </c>
      <c r="J976" s="5"/>
      <c r="K976" s="5"/>
      <c r="L976" s="33">
        <f t="shared" si="345"/>
        <v>19372</v>
      </c>
      <c r="M976" s="33">
        <f t="shared" si="346"/>
        <v>19372</v>
      </c>
      <c r="N976" s="22">
        <f t="shared" si="347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344"/>
        <v>220</v>
      </c>
      <c r="J977" s="5"/>
      <c r="K977" s="5"/>
      <c r="L977" s="33">
        <f t="shared" si="345"/>
        <v>29191</v>
      </c>
      <c r="M977" s="33">
        <f t="shared" si="346"/>
        <v>29191</v>
      </c>
      <c r="N977" s="22">
        <f t="shared" si="347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348">D980*(1-H980)</f>
        <v>0</v>
      </c>
      <c r="J980" s="5"/>
      <c r="K980" s="5"/>
      <c r="L980" s="33">
        <f t="shared" ref="L980:L998" si="349">E980*(1-H980)</f>
        <v>0</v>
      </c>
      <c r="M980" s="33">
        <f t="shared" ref="M980:M998" si="350">IF(J980="",L980,(E980/D980)*J980)</f>
        <v>0</v>
      </c>
      <c r="N980" s="22">
        <f t="shared" ref="N980:N998" si="351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348"/>
        <v>0</v>
      </c>
      <c r="J981" s="5"/>
      <c r="K981" s="5"/>
      <c r="L981" s="33">
        <f t="shared" si="349"/>
        <v>0</v>
      </c>
      <c r="M981" s="33">
        <f t="shared" si="350"/>
        <v>0</v>
      </c>
      <c r="N981" s="22">
        <f t="shared" si="351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348"/>
        <v>0</v>
      </c>
      <c r="J982" s="5"/>
      <c r="K982" s="5"/>
      <c r="L982" s="33">
        <f t="shared" si="349"/>
        <v>0</v>
      </c>
      <c r="M982" s="33">
        <f t="shared" si="350"/>
        <v>0</v>
      </c>
      <c r="N982" s="22">
        <f t="shared" si="351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348"/>
        <v>0</v>
      </c>
      <c r="J983" s="5"/>
      <c r="K983" s="5"/>
      <c r="L983" s="33">
        <f t="shared" si="349"/>
        <v>0</v>
      </c>
      <c r="M983" s="33">
        <f t="shared" si="350"/>
        <v>0</v>
      </c>
      <c r="N983" s="22">
        <f t="shared" si="351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348"/>
        <v>0</v>
      </c>
      <c r="J984" s="5"/>
      <c r="K984" s="5"/>
      <c r="L984" s="33">
        <f t="shared" si="349"/>
        <v>0</v>
      </c>
      <c r="M984" s="33">
        <f t="shared" si="350"/>
        <v>0</v>
      </c>
      <c r="N984" s="22">
        <f t="shared" si="351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348"/>
        <v>6.3</v>
      </c>
      <c r="J985" s="5"/>
      <c r="K985" s="5"/>
      <c r="L985" s="33">
        <f t="shared" si="349"/>
        <v>927.9</v>
      </c>
      <c r="M985" s="33">
        <f t="shared" si="350"/>
        <v>927.9</v>
      </c>
      <c r="N985" s="22">
        <f t="shared" si="351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348"/>
        <v>28.8</v>
      </c>
      <c r="J986" s="5"/>
      <c r="K986" s="5"/>
      <c r="L986" s="33">
        <f t="shared" si="349"/>
        <v>3286.8</v>
      </c>
      <c r="M986" s="33">
        <f t="shared" si="350"/>
        <v>3286.8</v>
      </c>
      <c r="N986" s="22">
        <f t="shared" si="351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348"/>
        <v>80</v>
      </c>
      <c r="J987" s="5"/>
      <c r="K987" s="5"/>
      <c r="L987" s="33">
        <f t="shared" si="349"/>
        <v>12499</v>
      </c>
      <c r="M987" s="33">
        <f t="shared" si="350"/>
        <v>12499</v>
      </c>
      <c r="N987" s="22">
        <f t="shared" si="351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348"/>
        <v>80</v>
      </c>
      <c r="J988" s="5"/>
      <c r="K988" s="5"/>
      <c r="L988" s="33">
        <f t="shared" si="349"/>
        <v>9686</v>
      </c>
      <c r="M988" s="33">
        <f t="shared" si="350"/>
        <v>9686</v>
      </c>
      <c r="N988" s="22">
        <f t="shared" si="351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348"/>
        <v>0</v>
      </c>
      <c r="J989" s="5"/>
      <c r="K989" s="5"/>
      <c r="L989" s="33">
        <f t="shared" si="349"/>
        <v>0</v>
      </c>
      <c r="M989" s="33">
        <f t="shared" si="350"/>
        <v>0</v>
      </c>
      <c r="N989" s="22">
        <f t="shared" si="351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348"/>
        <v>0</v>
      </c>
      <c r="J990" s="5"/>
      <c r="K990" s="5"/>
      <c r="L990" s="33">
        <f t="shared" si="349"/>
        <v>0</v>
      </c>
      <c r="M990" s="33">
        <f t="shared" si="350"/>
        <v>0</v>
      </c>
      <c r="N990" s="22">
        <f t="shared" si="351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348"/>
        <v>70</v>
      </c>
      <c r="J991" s="5"/>
      <c r="K991" s="5"/>
      <c r="L991" s="33">
        <f t="shared" si="349"/>
        <v>8475</v>
      </c>
      <c r="M991" s="33">
        <f t="shared" si="350"/>
        <v>8475</v>
      </c>
      <c r="N991" s="22">
        <f t="shared" si="351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348"/>
        <v>0</v>
      </c>
      <c r="J992" s="5"/>
      <c r="K992" s="5"/>
      <c r="L992" s="33">
        <f t="shared" si="349"/>
        <v>0</v>
      </c>
      <c r="M992" s="33">
        <f t="shared" si="350"/>
        <v>0</v>
      </c>
      <c r="N992" s="22">
        <f t="shared" si="351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348"/>
        <v>3137</v>
      </c>
      <c r="J993" s="5"/>
      <c r="K993" s="5"/>
      <c r="L993" s="33">
        <f t="shared" si="349"/>
        <v>3500</v>
      </c>
      <c r="M993" s="33">
        <f t="shared" si="350"/>
        <v>3500</v>
      </c>
      <c r="N993" s="22">
        <f t="shared" si="351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348"/>
        <v>0</v>
      </c>
      <c r="J994" s="5"/>
      <c r="K994" s="5"/>
      <c r="L994" s="33">
        <f t="shared" si="349"/>
        <v>0</v>
      </c>
      <c r="M994" s="33">
        <f t="shared" si="350"/>
        <v>0</v>
      </c>
      <c r="N994" s="22">
        <f t="shared" si="351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348"/>
        <v>0</v>
      </c>
      <c r="J995" s="5"/>
      <c r="K995" s="5"/>
      <c r="L995" s="33">
        <f t="shared" si="349"/>
        <v>0</v>
      </c>
      <c r="M995" s="33">
        <f t="shared" si="350"/>
        <v>0</v>
      </c>
      <c r="N995" s="22">
        <f t="shared" si="351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348"/>
        <v>0</v>
      </c>
      <c r="J996" s="5"/>
      <c r="K996" s="5"/>
      <c r="L996" s="33">
        <f t="shared" si="349"/>
        <v>0</v>
      </c>
      <c r="M996" s="33">
        <f t="shared" si="350"/>
        <v>0</v>
      </c>
      <c r="N996" s="22">
        <f t="shared" si="351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348"/>
        <v>0</v>
      </c>
      <c r="J997" s="5"/>
      <c r="K997" s="5"/>
      <c r="L997" s="33">
        <f t="shared" si="349"/>
        <v>0</v>
      </c>
      <c r="M997" s="33">
        <f t="shared" si="350"/>
        <v>0</v>
      </c>
      <c r="N997" s="22">
        <f t="shared" si="351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348"/>
        <v>0</v>
      </c>
      <c r="J998" s="5"/>
      <c r="K998" s="5"/>
      <c r="L998" s="33">
        <f t="shared" si="349"/>
        <v>0</v>
      </c>
      <c r="M998" s="33">
        <f t="shared" si="350"/>
        <v>0</v>
      </c>
      <c r="N998" s="22">
        <f t="shared" si="351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352">D1003*(1-H1003)</f>
        <v>0</v>
      </c>
      <c r="J1003" s="5"/>
      <c r="K1003" s="5"/>
      <c r="L1003" s="33">
        <f t="shared" ref="L1003:L1010" si="353">E1003*(1-H1003)</f>
        <v>0</v>
      </c>
      <c r="M1003" s="33">
        <f t="shared" ref="M1003:M1010" si="354">IF(J1003="",L1003,(E1003/D1003)*J1003)</f>
        <v>0</v>
      </c>
      <c r="N1003" s="22">
        <f t="shared" ref="N1003:N1010" si="355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352"/>
        <v>0</v>
      </c>
      <c r="J1004" s="5"/>
      <c r="K1004" s="5"/>
      <c r="L1004" s="33">
        <f t="shared" si="353"/>
        <v>0</v>
      </c>
      <c r="M1004" s="33">
        <f t="shared" si="354"/>
        <v>0</v>
      </c>
      <c r="N1004" s="22">
        <f t="shared" si="355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352"/>
        <v>56</v>
      </c>
      <c r="J1005" s="5"/>
      <c r="K1005" s="5"/>
      <c r="L1005" s="33">
        <f t="shared" si="353"/>
        <v>6391</v>
      </c>
      <c r="M1005" s="33">
        <f t="shared" si="354"/>
        <v>6391</v>
      </c>
      <c r="N1005" s="22">
        <f t="shared" si="355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352"/>
        <v>80</v>
      </c>
      <c r="J1006" s="5"/>
      <c r="K1006" s="5"/>
      <c r="L1006" s="33">
        <f t="shared" si="353"/>
        <v>9404</v>
      </c>
      <c r="M1006" s="33">
        <f t="shared" si="354"/>
        <v>9404</v>
      </c>
      <c r="N1006" s="22">
        <f t="shared" si="355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352"/>
        <v>80</v>
      </c>
      <c r="J1007" s="5"/>
      <c r="K1007" s="5"/>
      <c r="L1007" s="33">
        <f t="shared" si="353"/>
        <v>14013</v>
      </c>
      <c r="M1007" s="33">
        <f t="shared" si="354"/>
        <v>14013</v>
      </c>
      <c r="N1007" s="22">
        <f t="shared" si="355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352"/>
        <v>0</v>
      </c>
      <c r="J1008" s="5"/>
      <c r="K1008" s="5"/>
      <c r="L1008" s="33">
        <f t="shared" si="353"/>
        <v>0</v>
      </c>
      <c r="M1008" s="33">
        <f t="shared" si="354"/>
        <v>0</v>
      </c>
      <c r="N1008" s="22">
        <f t="shared" si="355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352"/>
        <v>5.3999999999999986</v>
      </c>
      <c r="J1009" s="5"/>
      <c r="K1009" s="5"/>
      <c r="L1009" s="33">
        <f t="shared" si="353"/>
        <v>622.59999999999991</v>
      </c>
      <c r="M1009" s="33">
        <f t="shared" si="354"/>
        <v>622.59999999999991</v>
      </c>
      <c r="N1009" s="22">
        <f t="shared" si="355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352"/>
        <v>2.6999999999999993</v>
      </c>
      <c r="J1010" s="5"/>
      <c r="K1010" s="5"/>
      <c r="L1010" s="33">
        <f t="shared" si="353"/>
        <v>463.89999999999992</v>
      </c>
      <c r="M1010" s="33">
        <f t="shared" si="354"/>
        <v>463.89999999999992</v>
      </c>
      <c r="N1010" s="22">
        <f t="shared" si="355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 t="shared" ref="I1012:I1015" si="356">D1012*(1-H1012)</f>
        <v>0</v>
      </c>
      <c r="J1012" s="5"/>
      <c r="K1012" s="5"/>
      <c r="L1012" s="33">
        <f t="shared" ref="L1012:L1015" si="357">E1012*(1-H1012)</f>
        <v>0</v>
      </c>
      <c r="M1012" s="33">
        <f t="shared" ref="M1012:M1015" si="358">IF(J1012="",L1012,(E1012/D1012)*J1012)</f>
        <v>0</v>
      </c>
      <c r="N1012" s="22">
        <f t="shared" ref="N1012:N1015" si="359"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 t="shared" si="356"/>
        <v>0</v>
      </c>
      <c r="J1013" s="5"/>
      <c r="K1013" s="5"/>
      <c r="L1013" s="33">
        <f t="shared" si="357"/>
        <v>0</v>
      </c>
      <c r="M1013" s="33">
        <f t="shared" si="358"/>
        <v>0</v>
      </c>
      <c r="N1013" s="22">
        <f t="shared" si="359"/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 t="shared" si="356"/>
        <v>0</v>
      </c>
      <c r="J1014" s="5"/>
      <c r="K1014" s="5"/>
      <c r="L1014" s="33">
        <f t="shared" si="357"/>
        <v>0</v>
      </c>
      <c r="M1014" s="33">
        <f t="shared" si="358"/>
        <v>0</v>
      </c>
      <c r="N1014" s="22">
        <f t="shared" si="359"/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 t="shared" si="356"/>
        <v>0</v>
      </c>
      <c r="J1015" s="5"/>
      <c r="K1015" s="5"/>
      <c r="L1015" s="33">
        <f t="shared" si="357"/>
        <v>0</v>
      </c>
      <c r="M1015" s="33">
        <f t="shared" si="358"/>
        <v>0</v>
      </c>
      <c r="N1015" s="22">
        <f t="shared" si="359"/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360">D1017*(1-H1017)</f>
        <v>0</v>
      </c>
      <c r="J1017" s="5"/>
      <c r="K1017" s="5"/>
      <c r="L1017" s="33">
        <f t="shared" ref="L1017:L1025" si="361">E1017*(1-H1017)</f>
        <v>0</v>
      </c>
      <c r="M1017" s="33">
        <f t="shared" ref="M1017:M1025" si="362">IF(J1017="",L1017,(E1017/D1017)*J1017)</f>
        <v>0</v>
      </c>
      <c r="N1017" s="22">
        <f t="shared" ref="N1017:N1025" si="363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360"/>
        <v>0</v>
      </c>
      <c r="J1018" s="5"/>
      <c r="K1018" s="5"/>
      <c r="L1018" s="33">
        <f t="shared" si="361"/>
        <v>0</v>
      </c>
      <c r="M1018" s="33">
        <f t="shared" si="362"/>
        <v>0</v>
      </c>
      <c r="N1018" s="22">
        <f t="shared" si="363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360"/>
        <v>0</v>
      </c>
      <c r="J1019" s="5"/>
      <c r="K1019" s="5"/>
      <c r="L1019" s="33">
        <f t="shared" si="361"/>
        <v>0</v>
      </c>
      <c r="M1019" s="33">
        <f t="shared" si="362"/>
        <v>0</v>
      </c>
      <c r="N1019" s="22">
        <f t="shared" si="363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360"/>
        <v>0</v>
      </c>
      <c r="J1020" s="5"/>
      <c r="K1020" s="5"/>
      <c r="L1020" s="33">
        <f t="shared" si="361"/>
        <v>0</v>
      </c>
      <c r="M1020" s="33">
        <f t="shared" si="362"/>
        <v>0</v>
      </c>
      <c r="N1020" s="22">
        <f t="shared" si="363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360"/>
        <v>0</v>
      </c>
      <c r="J1021" s="5"/>
      <c r="K1021" s="5"/>
      <c r="L1021" s="33">
        <f t="shared" si="361"/>
        <v>0</v>
      </c>
      <c r="M1021" s="33">
        <f t="shared" si="362"/>
        <v>0</v>
      </c>
      <c r="N1021" s="22">
        <f t="shared" si="363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360"/>
        <v>0</v>
      </c>
      <c r="J1022" s="5"/>
      <c r="K1022" s="5"/>
      <c r="L1022" s="33">
        <f t="shared" si="361"/>
        <v>0</v>
      </c>
      <c r="M1022" s="33">
        <f t="shared" si="362"/>
        <v>0</v>
      </c>
      <c r="N1022" s="22">
        <f t="shared" si="363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360"/>
        <v>0</v>
      </c>
      <c r="J1023" s="5"/>
      <c r="K1023" s="5"/>
      <c r="L1023" s="33">
        <f t="shared" si="361"/>
        <v>0</v>
      </c>
      <c r="M1023" s="33">
        <f t="shared" si="362"/>
        <v>0</v>
      </c>
      <c r="N1023" s="22">
        <f t="shared" si="363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360"/>
        <v>0</v>
      </c>
      <c r="J1024" s="5"/>
      <c r="K1024" s="5"/>
      <c r="L1024" s="33">
        <f t="shared" si="361"/>
        <v>0</v>
      </c>
      <c r="M1024" s="33">
        <f t="shared" si="362"/>
        <v>0</v>
      </c>
      <c r="N1024" s="22">
        <f t="shared" si="363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360"/>
        <v>0</v>
      </c>
      <c r="J1025" s="5"/>
      <c r="K1025" s="5"/>
      <c r="L1025" s="33">
        <f t="shared" si="361"/>
        <v>0</v>
      </c>
      <c r="M1025" s="33">
        <f t="shared" si="362"/>
        <v>0</v>
      </c>
      <c r="N1025" s="22">
        <f t="shared" si="363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364">D1027*(1-H1027)</f>
        <v>0</v>
      </c>
      <c r="J1027" s="5"/>
      <c r="K1027" s="5"/>
      <c r="L1027" s="33">
        <f t="shared" ref="L1027:L1045" si="365">E1027*(1-H1027)</f>
        <v>0</v>
      </c>
      <c r="M1027" s="33">
        <f t="shared" ref="M1027:M1045" si="366">IF(J1027="",L1027,(E1027/D1027)*J1027)</f>
        <v>0</v>
      </c>
      <c r="N1027" s="22">
        <f t="shared" ref="N1027:N1045" si="367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364"/>
        <v>0</v>
      </c>
      <c r="J1028" s="5"/>
      <c r="K1028" s="5"/>
      <c r="L1028" s="33">
        <f t="shared" si="365"/>
        <v>0</v>
      </c>
      <c r="M1028" s="33">
        <f t="shared" si="366"/>
        <v>0</v>
      </c>
      <c r="N1028" s="22">
        <f t="shared" si="367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364"/>
        <v>0</v>
      </c>
      <c r="J1029" s="5"/>
      <c r="K1029" s="5"/>
      <c r="L1029" s="33">
        <f t="shared" si="365"/>
        <v>0</v>
      </c>
      <c r="M1029" s="33">
        <f t="shared" si="366"/>
        <v>0</v>
      </c>
      <c r="N1029" s="22">
        <f t="shared" si="367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364"/>
        <v>0</v>
      </c>
      <c r="J1030" s="5"/>
      <c r="K1030" s="5"/>
      <c r="L1030" s="33">
        <f t="shared" si="365"/>
        <v>0</v>
      </c>
      <c r="M1030" s="33">
        <f t="shared" si="366"/>
        <v>0</v>
      </c>
      <c r="N1030" s="22">
        <f t="shared" si="367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364"/>
        <v>8.9999999999999982</v>
      </c>
      <c r="J1031" s="5"/>
      <c r="K1031" s="5"/>
      <c r="L1031" s="33">
        <f t="shared" si="365"/>
        <v>1365.0999999999997</v>
      </c>
      <c r="M1031" s="33">
        <f t="shared" si="366"/>
        <v>1365.0999999999997</v>
      </c>
      <c r="N1031" s="22">
        <f t="shared" si="367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364"/>
        <v>24</v>
      </c>
      <c r="J1032" s="5"/>
      <c r="K1032" s="5"/>
      <c r="L1032" s="33">
        <f t="shared" si="365"/>
        <v>5090</v>
      </c>
      <c r="M1032" s="33">
        <f t="shared" si="366"/>
        <v>5090</v>
      </c>
      <c r="N1032" s="22">
        <f t="shared" si="367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364"/>
        <v>24</v>
      </c>
      <c r="J1033" s="5"/>
      <c r="K1033" s="5"/>
      <c r="L1033" s="33">
        <f t="shared" si="365"/>
        <v>3640</v>
      </c>
      <c r="M1033" s="33">
        <f t="shared" si="366"/>
        <v>3640</v>
      </c>
      <c r="N1033" s="22">
        <f t="shared" si="367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364"/>
        <v>24</v>
      </c>
      <c r="J1034" s="5"/>
      <c r="K1034" s="5"/>
      <c r="L1034" s="33">
        <f t="shared" si="365"/>
        <v>2821</v>
      </c>
      <c r="M1034" s="33">
        <f t="shared" si="366"/>
        <v>2821</v>
      </c>
      <c r="N1034" s="22">
        <f t="shared" si="367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364"/>
        <v>40</v>
      </c>
      <c r="J1035" s="5"/>
      <c r="K1035" s="5"/>
      <c r="L1035" s="33">
        <f t="shared" si="365"/>
        <v>4843</v>
      </c>
      <c r="M1035" s="33">
        <f t="shared" si="366"/>
        <v>4843</v>
      </c>
      <c r="N1035" s="22">
        <f t="shared" si="367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364"/>
        <v>0</v>
      </c>
      <c r="J1036" s="5"/>
      <c r="K1036" s="5"/>
      <c r="L1036" s="33">
        <f t="shared" si="365"/>
        <v>0</v>
      </c>
      <c r="M1036" s="33">
        <f t="shared" si="366"/>
        <v>0</v>
      </c>
      <c r="N1036" s="22">
        <f t="shared" si="367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364"/>
        <v>0</v>
      </c>
      <c r="J1037" s="5"/>
      <c r="K1037" s="5"/>
      <c r="L1037" s="33">
        <f t="shared" si="365"/>
        <v>0</v>
      </c>
      <c r="M1037" s="33">
        <f t="shared" si="366"/>
        <v>0</v>
      </c>
      <c r="N1037" s="22">
        <f t="shared" si="367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364"/>
        <v>0</v>
      </c>
      <c r="J1038" s="5"/>
      <c r="K1038" s="5"/>
      <c r="L1038" s="33">
        <f t="shared" si="365"/>
        <v>0</v>
      </c>
      <c r="M1038" s="33">
        <f t="shared" si="366"/>
        <v>0</v>
      </c>
      <c r="N1038" s="22">
        <f t="shared" si="367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364"/>
        <v>0</v>
      </c>
      <c r="J1039" s="5"/>
      <c r="K1039" s="5"/>
      <c r="L1039" s="33">
        <f t="shared" si="365"/>
        <v>0</v>
      </c>
      <c r="M1039" s="33">
        <f t="shared" si="366"/>
        <v>0</v>
      </c>
      <c r="N1039" s="22">
        <f t="shared" si="367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364"/>
        <v>0</v>
      </c>
      <c r="J1040" s="5"/>
      <c r="K1040" s="5"/>
      <c r="L1040" s="33">
        <f t="shared" si="365"/>
        <v>0</v>
      </c>
      <c r="M1040" s="33">
        <f t="shared" si="366"/>
        <v>0</v>
      </c>
      <c r="N1040" s="22">
        <f t="shared" si="367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364"/>
        <v>0</v>
      </c>
      <c r="J1041" s="5"/>
      <c r="K1041" s="5"/>
      <c r="L1041" s="33">
        <f t="shared" si="365"/>
        <v>0</v>
      </c>
      <c r="M1041" s="33">
        <f t="shared" si="366"/>
        <v>0</v>
      </c>
      <c r="N1041" s="22">
        <f t="shared" si="367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364"/>
        <v>0</v>
      </c>
      <c r="J1042" s="5"/>
      <c r="K1042" s="5"/>
      <c r="L1042" s="33">
        <f t="shared" si="365"/>
        <v>0</v>
      </c>
      <c r="M1042" s="33">
        <f t="shared" si="366"/>
        <v>0</v>
      </c>
      <c r="N1042" s="22">
        <f t="shared" si="367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364"/>
        <v>0</v>
      </c>
      <c r="J1043" s="5"/>
      <c r="K1043" s="5"/>
      <c r="L1043" s="33">
        <f t="shared" si="365"/>
        <v>0</v>
      </c>
      <c r="M1043" s="33">
        <f t="shared" si="366"/>
        <v>0</v>
      </c>
      <c r="N1043" s="22">
        <f t="shared" si="367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364"/>
        <v>0</v>
      </c>
      <c r="J1044" s="5"/>
      <c r="K1044" s="5"/>
      <c r="L1044" s="33">
        <f t="shared" si="365"/>
        <v>0</v>
      </c>
      <c r="M1044" s="33">
        <f t="shared" si="366"/>
        <v>0</v>
      </c>
      <c r="N1044" s="22">
        <f t="shared" si="367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364"/>
        <v>0</v>
      </c>
      <c r="J1045" s="5"/>
      <c r="K1045" s="5"/>
      <c r="L1045" s="33">
        <f t="shared" si="365"/>
        <v>0</v>
      </c>
      <c r="M1045" s="33">
        <f t="shared" si="366"/>
        <v>0</v>
      </c>
      <c r="N1045" s="22">
        <f t="shared" si="367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368">D1047*(1-H1047)</f>
        <v>80</v>
      </c>
      <c r="J1047" s="5"/>
      <c r="K1047" s="5"/>
      <c r="L1047" s="33">
        <f t="shared" ref="L1047:L1073" si="369">E1047*(1-H1047)</f>
        <v>9686</v>
      </c>
      <c r="M1047" s="33">
        <f t="shared" ref="M1047:M1073" si="370">IF(J1047="",L1047,(E1047/D1047)*J1047)</f>
        <v>9686</v>
      </c>
      <c r="N1047" s="22">
        <f t="shared" ref="N1047:N1073" si="371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368"/>
        <v>160</v>
      </c>
      <c r="J1048" s="5"/>
      <c r="K1048" s="5"/>
      <c r="L1048" s="33">
        <f t="shared" si="369"/>
        <v>19372</v>
      </c>
      <c r="M1048" s="33">
        <f t="shared" si="370"/>
        <v>19372</v>
      </c>
      <c r="N1048" s="22">
        <f t="shared" si="371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368"/>
        <v>80</v>
      </c>
      <c r="J1049" s="5"/>
      <c r="K1049" s="5"/>
      <c r="L1049" s="33">
        <f t="shared" si="369"/>
        <v>10737</v>
      </c>
      <c r="M1049" s="33">
        <f t="shared" si="370"/>
        <v>10737</v>
      </c>
      <c r="N1049" s="22">
        <f t="shared" si="371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368"/>
        <v>160</v>
      </c>
      <c r="J1050" s="5"/>
      <c r="K1050" s="5"/>
      <c r="L1050" s="33">
        <f t="shared" si="369"/>
        <v>34952</v>
      </c>
      <c r="M1050" s="33">
        <f t="shared" si="370"/>
        <v>34952</v>
      </c>
      <c r="N1050" s="22">
        <f t="shared" si="371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368"/>
        <v>80</v>
      </c>
      <c r="J1051" s="5"/>
      <c r="K1051" s="5"/>
      <c r="L1051" s="33">
        <f t="shared" si="369"/>
        <v>9686</v>
      </c>
      <c r="M1051" s="33">
        <f t="shared" si="370"/>
        <v>9686</v>
      </c>
      <c r="N1051" s="22">
        <f t="shared" si="371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368"/>
        <v>160</v>
      </c>
      <c r="J1052" s="5"/>
      <c r="K1052" s="5"/>
      <c r="L1052" s="33">
        <f t="shared" si="369"/>
        <v>34952</v>
      </c>
      <c r="M1052" s="33">
        <f t="shared" si="370"/>
        <v>34952</v>
      </c>
      <c r="N1052" s="22">
        <f t="shared" si="371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368"/>
        <v>80</v>
      </c>
      <c r="J1053" s="5"/>
      <c r="K1053" s="5"/>
      <c r="L1053" s="33">
        <f t="shared" si="369"/>
        <v>10737</v>
      </c>
      <c r="M1053" s="33">
        <f t="shared" si="370"/>
        <v>10737</v>
      </c>
      <c r="N1053" s="22">
        <f t="shared" si="371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368"/>
        <v>160</v>
      </c>
      <c r="J1054" s="5"/>
      <c r="K1054" s="5"/>
      <c r="L1054" s="33">
        <f t="shared" si="369"/>
        <v>19372</v>
      </c>
      <c r="M1054" s="33">
        <f t="shared" si="370"/>
        <v>19372</v>
      </c>
      <c r="N1054" s="22">
        <f t="shared" si="371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368"/>
        <v>40</v>
      </c>
      <c r="J1055" s="5"/>
      <c r="K1055" s="5"/>
      <c r="L1055" s="33">
        <f t="shared" si="369"/>
        <v>4843</v>
      </c>
      <c r="M1055" s="33">
        <f t="shared" si="370"/>
        <v>4843</v>
      </c>
      <c r="N1055" s="22">
        <f t="shared" si="371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368"/>
        <v>80</v>
      </c>
      <c r="J1056" s="5"/>
      <c r="K1056" s="5"/>
      <c r="L1056" s="33">
        <f t="shared" si="369"/>
        <v>9686</v>
      </c>
      <c r="M1056" s="33">
        <f t="shared" si="370"/>
        <v>9686</v>
      </c>
      <c r="N1056" s="22">
        <f t="shared" si="371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368"/>
        <v>80</v>
      </c>
      <c r="J1057" s="5"/>
      <c r="K1057" s="5"/>
      <c r="L1057" s="33">
        <f t="shared" si="369"/>
        <v>9686</v>
      </c>
      <c r="M1057" s="33">
        <f t="shared" si="370"/>
        <v>9686</v>
      </c>
      <c r="N1057" s="22">
        <f t="shared" si="371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368"/>
        <v>160</v>
      </c>
      <c r="J1058" s="5"/>
      <c r="K1058" s="5"/>
      <c r="L1058" s="33">
        <f t="shared" si="369"/>
        <v>34952</v>
      </c>
      <c r="M1058" s="33">
        <f t="shared" si="370"/>
        <v>34952</v>
      </c>
      <c r="N1058" s="22">
        <f t="shared" si="371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368"/>
        <v>80</v>
      </c>
      <c r="J1059" s="5"/>
      <c r="K1059" s="5"/>
      <c r="L1059" s="33">
        <f t="shared" si="369"/>
        <v>10737</v>
      </c>
      <c r="M1059" s="33">
        <f t="shared" si="370"/>
        <v>10737</v>
      </c>
      <c r="N1059" s="22">
        <f t="shared" si="371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368"/>
        <v>160</v>
      </c>
      <c r="J1060" s="5"/>
      <c r="K1060" s="5"/>
      <c r="L1060" s="33">
        <f t="shared" si="369"/>
        <v>19372</v>
      </c>
      <c r="M1060" s="33">
        <f t="shared" si="370"/>
        <v>19372</v>
      </c>
      <c r="N1060" s="22">
        <f t="shared" si="371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368"/>
        <v>6.4</v>
      </c>
      <c r="J1061" s="5"/>
      <c r="K1061" s="5"/>
      <c r="L1061" s="33">
        <f t="shared" si="369"/>
        <v>1357.6000000000001</v>
      </c>
      <c r="M1061" s="33">
        <f t="shared" si="370"/>
        <v>1357.6000000000001</v>
      </c>
      <c r="N1061" s="22">
        <f t="shared" si="371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368"/>
        <v>12.8</v>
      </c>
      <c r="J1062" s="5"/>
      <c r="K1062" s="5"/>
      <c r="L1062" s="33">
        <f t="shared" si="369"/>
        <v>2714.8</v>
      </c>
      <c r="M1062" s="33">
        <f t="shared" si="370"/>
        <v>2714.8</v>
      </c>
      <c r="N1062" s="22">
        <f t="shared" si="371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368"/>
        <v>50</v>
      </c>
      <c r="J1063" s="5"/>
      <c r="K1063" s="5"/>
      <c r="L1063" s="33">
        <f t="shared" si="369"/>
        <v>10604</v>
      </c>
      <c r="M1063" s="33">
        <f t="shared" si="370"/>
        <v>10604</v>
      </c>
      <c r="N1063" s="22">
        <f t="shared" si="371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368"/>
        <v>63000</v>
      </c>
      <c r="J1064" s="5"/>
      <c r="K1064" s="5"/>
      <c r="L1064" s="33">
        <f t="shared" si="369"/>
        <v>73123</v>
      </c>
      <c r="M1064" s="33">
        <f t="shared" si="370"/>
        <v>73123</v>
      </c>
      <c r="N1064" s="22">
        <f t="shared" si="371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368"/>
        <v>39</v>
      </c>
      <c r="J1065" s="5"/>
      <c r="K1065" s="5"/>
      <c r="L1065" s="33">
        <f t="shared" si="369"/>
        <v>5915.6500000000005</v>
      </c>
      <c r="M1065" s="33">
        <f t="shared" si="370"/>
        <v>5915.6500000000005</v>
      </c>
      <c r="N1065" s="22">
        <f t="shared" si="371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368"/>
        <v>19.5</v>
      </c>
      <c r="J1066" s="5"/>
      <c r="K1066" s="5"/>
      <c r="L1066" s="33">
        <f t="shared" si="369"/>
        <v>2291.9</v>
      </c>
      <c r="M1066" s="33">
        <f t="shared" si="370"/>
        <v>2291.9</v>
      </c>
      <c r="N1066" s="22">
        <f t="shared" si="371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368"/>
        <v>16</v>
      </c>
      <c r="J1067" s="5"/>
      <c r="K1067" s="5"/>
      <c r="L1067" s="33">
        <f t="shared" si="369"/>
        <v>2427</v>
      </c>
      <c r="M1067" s="33">
        <f t="shared" si="370"/>
        <v>2427</v>
      </c>
      <c r="N1067" s="22">
        <f t="shared" si="371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368"/>
        <v>16</v>
      </c>
      <c r="J1068" s="5"/>
      <c r="K1068" s="5"/>
      <c r="L1068" s="33">
        <f t="shared" si="369"/>
        <v>1881</v>
      </c>
      <c r="M1068" s="33">
        <f t="shared" si="370"/>
        <v>1881</v>
      </c>
      <c r="N1068" s="22">
        <f t="shared" si="371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368"/>
        <v>10</v>
      </c>
      <c r="J1069" s="5"/>
      <c r="K1069" s="5"/>
      <c r="L1069" s="33">
        <f t="shared" si="369"/>
        <v>2121</v>
      </c>
      <c r="M1069" s="33">
        <f t="shared" si="370"/>
        <v>2121</v>
      </c>
      <c r="N1069" s="22">
        <f t="shared" si="371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368"/>
        <v>30.4</v>
      </c>
      <c r="J1070" s="5"/>
      <c r="K1070" s="5"/>
      <c r="L1070" s="33">
        <f t="shared" si="369"/>
        <v>3572.95</v>
      </c>
      <c r="M1070" s="33">
        <f t="shared" si="370"/>
        <v>3572.95</v>
      </c>
      <c r="N1070" s="22">
        <f t="shared" si="371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368"/>
        <v>16</v>
      </c>
      <c r="J1071" s="5"/>
      <c r="K1071" s="5"/>
      <c r="L1071" s="33">
        <f t="shared" si="369"/>
        <v>3495</v>
      </c>
      <c r="M1071" s="33">
        <f t="shared" si="370"/>
        <v>3495</v>
      </c>
      <c r="N1071" s="22">
        <f t="shared" si="371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368"/>
        <v>0</v>
      </c>
      <c r="J1072" s="5"/>
      <c r="K1072" s="5"/>
      <c r="L1072" s="33">
        <f t="shared" si="369"/>
        <v>0</v>
      </c>
      <c r="M1072" s="33">
        <f t="shared" si="370"/>
        <v>0</v>
      </c>
      <c r="N1072" s="22">
        <f t="shared" si="371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368"/>
        <v>0</v>
      </c>
      <c r="J1073" s="5"/>
      <c r="K1073" s="5"/>
      <c r="L1073" s="33">
        <f t="shared" si="369"/>
        <v>0</v>
      </c>
      <c r="M1073" s="33">
        <f t="shared" si="370"/>
        <v>0</v>
      </c>
      <c r="N1073" s="22">
        <f t="shared" si="371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372">D1076*(1-H1076)</f>
        <v>0</v>
      </c>
      <c r="J1076" s="5"/>
      <c r="K1076" s="5"/>
      <c r="L1076" s="33">
        <f t="shared" ref="L1076:L1139" si="373">E1076*(1-H1076)</f>
        <v>0</v>
      </c>
      <c r="M1076" s="33">
        <f t="shared" ref="M1076:M1139" si="374">IF(J1076="",L1076,(E1076/D1076)*J1076)</f>
        <v>0</v>
      </c>
      <c r="N1076" s="22">
        <f t="shared" ref="N1076:N1139" si="375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372"/>
        <v>0</v>
      </c>
      <c r="J1077" s="5"/>
      <c r="K1077" s="5"/>
      <c r="L1077" s="33">
        <f t="shared" si="373"/>
        <v>0</v>
      </c>
      <c r="M1077" s="33">
        <f t="shared" si="374"/>
        <v>0</v>
      </c>
      <c r="N1077" s="22">
        <f t="shared" si="375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372"/>
        <v>0</v>
      </c>
      <c r="J1078" s="5"/>
      <c r="K1078" s="5"/>
      <c r="L1078" s="33">
        <f t="shared" si="373"/>
        <v>0</v>
      </c>
      <c r="M1078" s="33">
        <f t="shared" si="374"/>
        <v>0</v>
      </c>
      <c r="N1078" s="22">
        <f t="shared" si="375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372"/>
        <v>0</v>
      </c>
      <c r="J1079" s="5"/>
      <c r="K1079" s="5"/>
      <c r="L1079" s="33">
        <f t="shared" si="373"/>
        <v>0</v>
      </c>
      <c r="M1079" s="33">
        <f t="shared" si="374"/>
        <v>0</v>
      </c>
      <c r="N1079" s="22">
        <f t="shared" si="375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372"/>
        <v>0</v>
      </c>
      <c r="J1080" s="5"/>
      <c r="K1080" s="5"/>
      <c r="L1080" s="33">
        <f t="shared" si="373"/>
        <v>0</v>
      </c>
      <c r="M1080" s="33">
        <f t="shared" si="374"/>
        <v>0</v>
      </c>
      <c r="N1080" s="22">
        <f t="shared" si="375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372"/>
        <v>0</v>
      </c>
      <c r="J1081" s="5"/>
      <c r="K1081" s="5"/>
      <c r="L1081" s="33">
        <f t="shared" si="373"/>
        <v>0</v>
      </c>
      <c r="M1081" s="33">
        <f t="shared" si="374"/>
        <v>0</v>
      </c>
      <c r="N1081" s="22">
        <f t="shared" si="375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372"/>
        <v>0</v>
      </c>
      <c r="J1082" s="5"/>
      <c r="K1082" s="5"/>
      <c r="L1082" s="33">
        <f t="shared" si="373"/>
        <v>0</v>
      </c>
      <c r="M1082" s="33">
        <f t="shared" si="374"/>
        <v>0</v>
      </c>
      <c r="N1082" s="22">
        <f t="shared" si="375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372"/>
        <v>0</v>
      </c>
      <c r="J1083" s="5"/>
      <c r="K1083" s="5"/>
      <c r="L1083" s="33">
        <f t="shared" si="373"/>
        <v>0</v>
      </c>
      <c r="M1083" s="33">
        <f t="shared" si="374"/>
        <v>0</v>
      </c>
      <c r="N1083" s="22">
        <f t="shared" si="375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372"/>
        <v>0</v>
      </c>
      <c r="J1084" s="5"/>
      <c r="K1084" s="5"/>
      <c r="L1084" s="33">
        <f t="shared" si="373"/>
        <v>0</v>
      </c>
      <c r="M1084" s="33">
        <f t="shared" si="374"/>
        <v>0</v>
      </c>
      <c r="N1084" s="22">
        <f t="shared" si="375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372"/>
        <v>0</v>
      </c>
      <c r="J1085" s="5"/>
      <c r="K1085" s="5"/>
      <c r="L1085" s="33">
        <f t="shared" si="373"/>
        <v>0</v>
      </c>
      <c r="M1085" s="33">
        <f t="shared" si="374"/>
        <v>0</v>
      </c>
      <c r="N1085" s="22">
        <f t="shared" si="375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372"/>
        <v>0</v>
      </c>
      <c r="J1086" s="5"/>
      <c r="K1086" s="5"/>
      <c r="L1086" s="33">
        <f t="shared" si="373"/>
        <v>0</v>
      </c>
      <c r="M1086" s="33">
        <f t="shared" si="374"/>
        <v>0</v>
      </c>
      <c r="N1086" s="22">
        <f t="shared" si="375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372"/>
        <v>0</v>
      </c>
      <c r="J1087" s="5"/>
      <c r="K1087" s="5"/>
      <c r="L1087" s="33">
        <f t="shared" si="373"/>
        <v>0</v>
      </c>
      <c r="M1087" s="33">
        <f t="shared" si="374"/>
        <v>0</v>
      </c>
      <c r="N1087" s="22">
        <f t="shared" si="375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372"/>
        <v>0</v>
      </c>
      <c r="J1088" s="5"/>
      <c r="K1088" s="5"/>
      <c r="L1088" s="33">
        <f t="shared" si="373"/>
        <v>0</v>
      </c>
      <c r="M1088" s="33">
        <f t="shared" si="374"/>
        <v>0</v>
      </c>
      <c r="N1088" s="22">
        <f t="shared" si="375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372"/>
        <v>0</v>
      </c>
      <c r="J1089" s="5"/>
      <c r="K1089" s="5"/>
      <c r="L1089" s="33">
        <f t="shared" si="373"/>
        <v>0</v>
      </c>
      <c r="M1089" s="33">
        <f t="shared" si="374"/>
        <v>0</v>
      </c>
      <c r="N1089" s="22">
        <f t="shared" si="375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372"/>
        <v>0</v>
      </c>
      <c r="J1090" s="5"/>
      <c r="K1090" s="5"/>
      <c r="L1090" s="33">
        <f t="shared" si="373"/>
        <v>0</v>
      </c>
      <c r="M1090" s="33">
        <f t="shared" si="374"/>
        <v>0</v>
      </c>
      <c r="N1090" s="22">
        <f t="shared" si="375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372"/>
        <v>0</v>
      </c>
      <c r="J1091" s="5"/>
      <c r="K1091" s="5"/>
      <c r="L1091" s="33">
        <f t="shared" si="373"/>
        <v>0</v>
      </c>
      <c r="M1091" s="33">
        <f t="shared" si="374"/>
        <v>0</v>
      </c>
      <c r="N1091" s="22">
        <f t="shared" si="375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372"/>
        <v>0</v>
      </c>
      <c r="J1092" s="5"/>
      <c r="K1092" s="5"/>
      <c r="L1092" s="33">
        <f t="shared" si="373"/>
        <v>0</v>
      </c>
      <c r="M1092" s="33">
        <f t="shared" si="374"/>
        <v>0</v>
      </c>
      <c r="N1092" s="22">
        <f t="shared" si="375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372"/>
        <v>6.0000000000000053</v>
      </c>
      <c r="J1093" s="5"/>
      <c r="K1093" s="5"/>
      <c r="L1093" s="33">
        <f t="shared" si="373"/>
        <v>684.75000000000057</v>
      </c>
      <c r="M1093" s="33">
        <f t="shared" si="374"/>
        <v>684.75000000000057</v>
      </c>
      <c r="N1093" s="22">
        <f t="shared" si="375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372"/>
        <v>20</v>
      </c>
      <c r="J1094" s="5"/>
      <c r="K1094" s="5"/>
      <c r="L1094" s="33">
        <f t="shared" si="373"/>
        <v>2282</v>
      </c>
      <c r="M1094" s="33">
        <f t="shared" si="374"/>
        <v>2282</v>
      </c>
      <c r="N1094" s="22">
        <f t="shared" si="375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372"/>
        <v>20</v>
      </c>
      <c r="J1095" s="5"/>
      <c r="K1095" s="5"/>
      <c r="L1095" s="33">
        <f t="shared" si="373"/>
        <v>2282</v>
      </c>
      <c r="M1095" s="33">
        <f t="shared" si="374"/>
        <v>2282</v>
      </c>
      <c r="N1095" s="22">
        <f t="shared" si="375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372"/>
        <v>20</v>
      </c>
      <c r="J1096" s="5"/>
      <c r="K1096" s="5"/>
      <c r="L1096" s="33">
        <f t="shared" si="373"/>
        <v>2282</v>
      </c>
      <c r="M1096" s="33">
        <f t="shared" si="374"/>
        <v>2282</v>
      </c>
      <c r="N1096" s="22">
        <f t="shared" si="375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372"/>
        <v>20</v>
      </c>
      <c r="J1097" s="5"/>
      <c r="K1097" s="5"/>
      <c r="L1097" s="33">
        <f t="shared" si="373"/>
        <v>2282</v>
      </c>
      <c r="M1097" s="33">
        <f t="shared" si="374"/>
        <v>2282</v>
      </c>
      <c r="N1097" s="22">
        <f t="shared" si="375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372"/>
        <v>0</v>
      </c>
      <c r="J1098" s="5"/>
      <c r="K1098" s="5"/>
      <c r="L1098" s="33">
        <f t="shared" si="373"/>
        <v>0</v>
      </c>
      <c r="M1098" s="33">
        <f t="shared" si="374"/>
        <v>0</v>
      </c>
      <c r="N1098" s="22">
        <f t="shared" si="375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372"/>
        <v>0</v>
      </c>
      <c r="J1099" s="5"/>
      <c r="K1099" s="5"/>
      <c r="L1099" s="33">
        <f t="shared" si="373"/>
        <v>0</v>
      </c>
      <c r="M1099" s="33">
        <f t="shared" si="374"/>
        <v>0</v>
      </c>
      <c r="N1099" s="22">
        <f t="shared" si="375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372"/>
        <v>0</v>
      </c>
      <c r="J1100" s="5"/>
      <c r="K1100" s="5"/>
      <c r="L1100" s="33">
        <f t="shared" si="373"/>
        <v>0</v>
      </c>
      <c r="M1100" s="33">
        <f t="shared" si="374"/>
        <v>0</v>
      </c>
      <c r="N1100" s="22">
        <f t="shared" si="375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372"/>
        <v>0</v>
      </c>
      <c r="J1101" s="5"/>
      <c r="K1101" s="5"/>
      <c r="L1101" s="33">
        <f t="shared" si="373"/>
        <v>0</v>
      </c>
      <c r="M1101" s="33">
        <f t="shared" si="374"/>
        <v>0</v>
      </c>
      <c r="N1101" s="22">
        <f t="shared" si="375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372"/>
        <v>0</v>
      </c>
      <c r="J1102" s="5"/>
      <c r="K1102" s="5"/>
      <c r="L1102" s="33">
        <f t="shared" si="373"/>
        <v>0</v>
      </c>
      <c r="M1102" s="33">
        <f t="shared" si="374"/>
        <v>0</v>
      </c>
      <c r="N1102" s="22">
        <f t="shared" si="375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372"/>
        <v>0</v>
      </c>
      <c r="J1103" s="5"/>
      <c r="K1103" s="5"/>
      <c r="L1103" s="33">
        <f t="shared" si="373"/>
        <v>0</v>
      </c>
      <c r="M1103" s="33">
        <f t="shared" si="374"/>
        <v>0</v>
      </c>
      <c r="N1103" s="22">
        <f t="shared" si="375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372"/>
        <v>0</v>
      </c>
      <c r="J1104" s="5"/>
      <c r="K1104" s="5"/>
      <c r="L1104" s="33">
        <f t="shared" si="373"/>
        <v>0</v>
      </c>
      <c r="M1104" s="33">
        <f t="shared" si="374"/>
        <v>0</v>
      </c>
      <c r="N1104" s="22">
        <f t="shared" si="375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372"/>
        <v>0</v>
      </c>
      <c r="J1105" s="5"/>
      <c r="K1105" s="5"/>
      <c r="L1105" s="33">
        <f t="shared" si="373"/>
        <v>0</v>
      </c>
      <c r="M1105" s="33">
        <f t="shared" si="374"/>
        <v>0</v>
      </c>
      <c r="N1105" s="22">
        <f t="shared" si="375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372"/>
        <v>0</v>
      </c>
      <c r="J1106" s="5"/>
      <c r="K1106" s="5"/>
      <c r="L1106" s="33">
        <f t="shared" si="373"/>
        <v>0</v>
      </c>
      <c r="M1106" s="33">
        <f t="shared" si="374"/>
        <v>0</v>
      </c>
      <c r="N1106" s="22">
        <f t="shared" si="375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372"/>
        <v>0</v>
      </c>
      <c r="J1107" s="5"/>
      <c r="K1107" s="5"/>
      <c r="L1107" s="33">
        <f t="shared" si="373"/>
        <v>0</v>
      </c>
      <c r="M1107" s="33">
        <f t="shared" si="374"/>
        <v>0</v>
      </c>
      <c r="N1107" s="22">
        <f t="shared" si="375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372"/>
        <v>0</v>
      </c>
      <c r="J1108" s="5"/>
      <c r="K1108" s="5"/>
      <c r="L1108" s="33">
        <f t="shared" si="373"/>
        <v>0</v>
      </c>
      <c r="M1108" s="33">
        <f t="shared" si="374"/>
        <v>0</v>
      </c>
      <c r="N1108" s="22">
        <f t="shared" si="375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372"/>
        <v>0</v>
      </c>
      <c r="J1109" s="5"/>
      <c r="K1109" s="5"/>
      <c r="L1109" s="33">
        <f t="shared" si="373"/>
        <v>0</v>
      </c>
      <c r="M1109" s="33">
        <f t="shared" si="374"/>
        <v>0</v>
      </c>
      <c r="N1109" s="22">
        <f t="shared" si="375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372"/>
        <v>0</v>
      </c>
      <c r="J1110" s="5"/>
      <c r="K1110" s="5"/>
      <c r="L1110" s="33">
        <f t="shared" si="373"/>
        <v>0</v>
      </c>
      <c r="M1110" s="33">
        <f t="shared" si="374"/>
        <v>0</v>
      </c>
      <c r="N1110" s="22">
        <f t="shared" si="375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372"/>
        <v>0</v>
      </c>
      <c r="J1111" s="5"/>
      <c r="K1111" s="5"/>
      <c r="L1111" s="33">
        <f t="shared" si="373"/>
        <v>0</v>
      </c>
      <c r="M1111" s="33">
        <f t="shared" si="374"/>
        <v>0</v>
      </c>
      <c r="N1111" s="22">
        <f t="shared" si="375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372"/>
        <v>18</v>
      </c>
      <c r="J1112" s="5"/>
      <c r="K1112" s="5"/>
      <c r="L1112" s="33">
        <f t="shared" si="373"/>
        <v>2054</v>
      </c>
      <c r="M1112" s="33">
        <f t="shared" si="374"/>
        <v>2054</v>
      </c>
      <c r="N1112" s="22">
        <f t="shared" si="375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372"/>
        <v>36</v>
      </c>
      <c r="J1113" s="5"/>
      <c r="K1113" s="5"/>
      <c r="L1113" s="33">
        <f t="shared" si="373"/>
        <v>4108</v>
      </c>
      <c r="M1113" s="33">
        <f t="shared" si="374"/>
        <v>4108</v>
      </c>
      <c r="N1113" s="22">
        <f t="shared" si="375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372"/>
        <v>10</v>
      </c>
      <c r="J1114" s="5"/>
      <c r="K1114" s="5"/>
      <c r="L1114" s="33">
        <f t="shared" si="373"/>
        <v>1160</v>
      </c>
      <c r="M1114" s="33">
        <f t="shared" si="374"/>
        <v>1160</v>
      </c>
      <c r="N1114" s="22">
        <f t="shared" si="375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372"/>
        <v>40</v>
      </c>
      <c r="J1115" s="5"/>
      <c r="K1115" s="5"/>
      <c r="L1115" s="33">
        <f t="shared" si="373"/>
        <v>4642</v>
      </c>
      <c r="M1115" s="33">
        <f t="shared" si="374"/>
        <v>4642</v>
      </c>
      <c r="N1115" s="22">
        <f t="shared" si="375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372"/>
        <v>4</v>
      </c>
      <c r="J1116" s="5"/>
      <c r="K1116" s="5"/>
      <c r="L1116" s="33">
        <f t="shared" si="373"/>
        <v>470</v>
      </c>
      <c r="M1116" s="33">
        <f t="shared" si="374"/>
        <v>470</v>
      </c>
      <c r="N1116" s="22">
        <f t="shared" si="375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372"/>
        <v>20</v>
      </c>
      <c r="J1117" s="5"/>
      <c r="K1117" s="5"/>
      <c r="L1117" s="33">
        <f t="shared" si="373"/>
        <v>2351</v>
      </c>
      <c r="M1117" s="33">
        <f t="shared" si="374"/>
        <v>2351</v>
      </c>
      <c r="N1117" s="22">
        <f t="shared" si="375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372"/>
        <v>8</v>
      </c>
      <c r="J1118" s="5"/>
      <c r="K1118" s="5"/>
      <c r="L1118" s="33">
        <f t="shared" si="373"/>
        <v>1361</v>
      </c>
      <c r="M1118" s="33">
        <f t="shared" si="374"/>
        <v>1361</v>
      </c>
      <c r="N1118" s="22">
        <f t="shared" si="375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372"/>
        <v>18</v>
      </c>
      <c r="J1119" s="5"/>
      <c r="K1119" s="5"/>
      <c r="L1119" s="33">
        <f t="shared" si="373"/>
        <v>2054</v>
      </c>
      <c r="M1119" s="33">
        <f t="shared" si="374"/>
        <v>2054</v>
      </c>
      <c r="N1119" s="22">
        <f t="shared" si="375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372"/>
        <v>0</v>
      </c>
      <c r="J1120" s="5"/>
      <c r="K1120" s="5"/>
      <c r="L1120" s="33">
        <f t="shared" si="373"/>
        <v>0</v>
      </c>
      <c r="M1120" s="33">
        <f t="shared" si="374"/>
        <v>0</v>
      </c>
      <c r="N1120" s="22">
        <f t="shared" si="375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372"/>
        <v>1000.0000000000009</v>
      </c>
      <c r="J1121" s="5"/>
      <c r="K1121" s="5"/>
      <c r="L1121" s="33">
        <f t="shared" si="373"/>
        <v>1160.700000000001</v>
      </c>
      <c r="M1121" s="33">
        <f t="shared" si="374"/>
        <v>1160.700000000001</v>
      </c>
      <c r="N1121" s="22">
        <f t="shared" si="375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372"/>
        <v>0</v>
      </c>
      <c r="J1122" s="5"/>
      <c r="K1122" s="5"/>
      <c r="L1122" s="33">
        <f t="shared" si="373"/>
        <v>0</v>
      </c>
      <c r="M1122" s="33">
        <f t="shared" si="374"/>
        <v>0</v>
      </c>
      <c r="N1122" s="22">
        <f t="shared" si="375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372"/>
        <v>0</v>
      </c>
      <c r="J1123" s="5"/>
      <c r="K1123" s="5"/>
      <c r="L1123" s="33">
        <f t="shared" si="373"/>
        <v>0</v>
      </c>
      <c r="M1123" s="33">
        <f t="shared" si="374"/>
        <v>0</v>
      </c>
      <c r="N1123" s="22">
        <f t="shared" si="375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372"/>
        <v>0</v>
      </c>
      <c r="J1124" s="5"/>
      <c r="K1124" s="5"/>
      <c r="L1124" s="33">
        <f t="shared" si="373"/>
        <v>0</v>
      </c>
      <c r="M1124" s="33">
        <f t="shared" si="374"/>
        <v>0</v>
      </c>
      <c r="N1124" s="22">
        <f t="shared" si="375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372"/>
        <v>0</v>
      </c>
      <c r="J1125" s="5"/>
      <c r="K1125" s="5"/>
      <c r="L1125" s="33">
        <f t="shared" si="373"/>
        <v>0</v>
      </c>
      <c r="M1125" s="33">
        <f t="shared" si="374"/>
        <v>0</v>
      </c>
      <c r="N1125" s="22">
        <f t="shared" si="375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372"/>
        <v>0</v>
      </c>
      <c r="J1126" s="5"/>
      <c r="K1126" s="5"/>
      <c r="L1126" s="33">
        <f t="shared" si="373"/>
        <v>0</v>
      </c>
      <c r="M1126" s="33">
        <f t="shared" si="374"/>
        <v>0</v>
      </c>
      <c r="N1126" s="22">
        <f t="shared" si="375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372"/>
        <v>0</v>
      </c>
      <c r="J1127" s="5"/>
      <c r="K1127" s="5"/>
      <c r="L1127" s="33">
        <f t="shared" si="373"/>
        <v>0</v>
      </c>
      <c r="M1127" s="33">
        <f t="shared" si="374"/>
        <v>0</v>
      </c>
      <c r="N1127" s="22">
        <f t="shared" si="375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372"/>
        <v>0</v>
      </c>
      <c r="J1128" s="5"/>
      <c r="K1128" s="5"/>
      <c r="L1128" s="33">
        <f t="shared" si="373"/>
        <v>0</v>
      </c>
      <c r="M1128" s="33">
        <f t="shared" si="374"/>
        <v>0</v>
      </c>
      <c r="N1128" s="22">
        <f t="shared" si="375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372"/>
        <v>0</v>
      </c>
      <c r="J1129" s="5"/>
      <c r="K1129" s="5"/>
      <c r="L1129" s="33">
        <f t="shared" si="373"/>
        <v>0</v>
      </c>
      <c r="M1129" s="33">
        <f t="shared" si="374"/>
        <v>0</v>
      </c>
      <c r="N1129" s="22">
        <f t="shared" si="375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372"/>
        <v>0</v>
      </c>
      <c r="J1130" s="5"/>
      <c r="K1130" s="5"/>
      <c r="L1130" s="33">
        <f t="shared" si="373"/>
        <v>0</v>
      </c>
      <c r="M1130" s="33">
        <f t="shared" si="374"/>
        <v>0</v>
      </c>
      <c r="N1130" s="22">
        <f t="shared" si="375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372"/>
        <v>0</v>
      </c>
      <c r="J1131" s="5"/>
      <c r="K1131" s="5"/>
      <c r="L1131" s="33">
        <f t="shared" si="373"/>
        <v>0</v>
      </c>
      <c r="M1131" s="33">
        <f t="shared" si="374"/>
        <v>0</v>
      </c>
      <c r="N1131" s="22">
        <f t="shared" si="375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372"/>
        <v>0</v>
      </c>
      <c r="J1132" s="5"/>
      <c r="K1132" s="5"/>
      <c r="L1132" s="33">
        <f t="shared" si="373"/>
        <v>0</v>
      </c>
      <c r="M1132" s="33">
        <f t="shared" si="374"/>
        <v>0</v>
      </c>
      <c r="N1132" s="22">
        <f t="shared" si="375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372"/>
        <v>0</v>
      </c>
      <c r="J1133" s="5"/>
      <c r="K1133" s="5"/>
      <c r="L1133" s="33">
        <f t="shared" si="373"/>
        <v>0</v>
      </c>
      <c r="M1133" s="33">
        <f t="shared" si="374"/>
        <v>0</v>
      </c>
      <c r="N1133" s="22">
        <f t="shared" si="375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372"/>
        <v>0</v>
      </c>
      <c r="J1134" s="5"/>
      <c r="K1134" s="5"/>
      <c r="L1134" s="33">
        <f t="shared" si="373"/>
        <v>0</v>
      </c>
      <c r="M1134" s="33">
        <f t="shared" si="374"/>
        <v>0</v>
      </c>
      <c r="N1134" s="22">
        <f t="shared" si="375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372"/>
        <v>0</v>
      </c>
      <c r="J1135" s="5"/>
      <c r="K1135" s="5"/>
      <c r="L1135" s="33">
        <f t="shared" si="373"/>
        <v>0</v>
      </c>
      <c r="M1135" s="33">
        <f t="shared" si="374"/>
        <v>0</v>
      </c>
      <c r="N1135" s="22">
        <f t="shared" si="375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372"/>
        <v>0</v>
      </c>
      <c r="J1136" s="5"/>
      <c r="K1136" s="5"/>
      <c r="L1136" s="33">
        <f t="shared" si="373"/>
        <v>0</v>
      </c>
      <c r="M1136" s="33">
        <f t="shared" si="374"/>
        <v>0</v>
      </c>
      <c r="N1136" s="22">
        <f t="shared" si="375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372"/>
        <v>0</v>
      </c>
      <c r="J1137" s="5"/>
      <c r="K1137" s="5"/>
      <c r="L1137" s="33">
        <f t="shared" si="373"/>
        <v>0</v>
      </c>
      <c r="M1137" s="33">
        <f t="shared" si="374"/>
        <v>0</v>
      </c>
      <c r="N1137" s="22">
        <f t="shared" si="375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372"/>
        <v>0</v>
      </c>
      <c r="J1138" s="5"/>
      <c r="K1138" s="5"/>
      <c r="L1138" s="33">
        <f t="shared" si="373"/>
        <v>0</v>
      </c>
      <c r="M1138" s="33">
        <f t="shared" si="374"/>
        <v>0</v>
      </c>
      <c r="N1138" s="22">
        <f t="shared" si="375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372"/>
        <v>0</v>
      </c>
      <c r="J1139" s="5"/>
      <c r="K1139" s="5"/>
      <c r="L1139" s="33">
        <f t="shared" si="373"/>
        <v>0</v>
      </c>
      <c r="M1139" s="33">
        <f t="shared" si="374"/>
        <v>0</v>
      </c>
      <c r="N1139" s="22">
        <f t="shared" si="375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376">D1140*(1-H1140)</f>
        <v>0</v>
      </c>
      <c r="J1140" s="5"/>
      <c r="K1140" s="5"/>
      <c r="L1140" s="33">
        <f t="shared" ref="L1140:L1203" si="377">E1140*(1-H1140)</f>
        <v>0</v>
      </c>
      <c r="M1140" s="33">
        <f t="shared" ref="M1140:M1203" si="378">IF(J1140="",L1140,(E1140/D1140)*J1140)</f>
        <v>0</v>
      </c>
      <c r="N1140" s="22">
        <f t="shared" ref="N1140:N1203" si="379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376"/>
        <v>0</v>
      </c>
      <c r="J1141" s="5"/>
      <c r="K1141" s="5"/>
      <c r="L1141" s="33">
        <f t="shared" si="377"/>
        <v>0</v>
      </c>
      <c r="M1141" s="33">
        <f t="shared" si="378"/>
        <v>0</v>
      </c>
      <c r="N1141" s="22">
        <f t="shared" si="379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376"/>
        <v>0</v>
      </c>
      <c r="J1142" s="5"/>
      <c r="K1142" s="5"/>
      <c r="L1142" s="33">
        <f t="shared" si="377"/>
        <v>0</v>
      </c>
      <c r="M1142" s="33">
        <f t="shared" si="378"/>
        <v>0</v>
      </c>
      <c r="N1142" s="22">
        <f t="shared" si="379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376"/>
        <v>0</v>
      </c>
      <c r="J1143" s="5"/>
      <c r="K1143" s="5"/>
      <c r="L1143" s="33">
        <f t="shared" si="377"/>
        <v>0</v>
      </c>
      <c r="M1143" s="33">
        <f t="shared" si="378"/>
        <v>0</v>
      </c>
      <c r="N1143" s="22">
        <f t="shared" si="379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376"/>
        <v>0</v>
      </c>
      <c r="J1144" s="5"/>
      <c r="K1144" s="5"/>
      <c r="L1144" s="33">
        <f t="shared" si="377"/>
        <v>0</v>
      </c>
      <c r="M1144" s="33">
        <f t="shared" si="378"/>
        <v>0</v>
      </c>
      <c r="N1144" s="22">
        <f t="shared" si="379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376"/>
        <v>0</v>
      </c>
      <c r="J1145" s="5"/>
      <c r="K1145" s="5"/>
      <c r="L1145" s="33">
        <f t="shared" si="377"/>
        <v>0</v>
      </c>
      <c r="M1145" s="33">
        <f t="shared" si="378"/>
        <v>0</v>
      </c>
      <c r="N1145" s="22">
        <f t="shared" si="379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376"/>
        <v>0</v>
      </c>
      <c r="J1146" s="5"/>
      <c r="K1146" s="5"/>
      <c r="L1146" s="33">
        <f t="shared" si="377"/>
        <v>0</v>
      </c>
      <c r="M1146" s="33">
        <f t="shared" si="378"/>
        <v>0</v>
      </c>
      <c r="N1146" s="22">
        <f t="shared" si="379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376"/>
        <v>0</v>
      </c>
      <c r="J1147" s="5"/>
      <c r="K1147" s="5"/>
      <c r="L1147" s="33">
        <f t="shared" si="377"/>
        <v>0</v>
      </c>
      <c r="M1147" s="33">
        <f t="shared" si="378"/>
        <v>0</v>
      </c>
      <c r="N1147" s="22">
        <f t="shared" si="379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376"/>
        <v>0</v>
      </c>
      <c r="J1148" s="5"/>
      <c r="K1148" s="5"/>
      <c r="L1148" s="33">
        <f t="shared" si="377"/>
        <v>0</v>
      </c>
      <c r="M1148" s="33">
        <f t="shared" si="378"/>
        <v>0</v>
      </c>
      <c r="N1148" s="22">
        <f t="shared" si="379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376"/>
        <v>0</v>
      </c>
      <c r="J1149" s="5"/>
      <c r="K1149" s="5"/>
      <c r="L1149" s="33">
        <f t="shared" si="377"/>
        <v>0</v>
      </c>
      <c r="M1149" s="33">
        <f t="shared" si="378"/>
        <v>0</v>
      </c>
      <c r="N1149" s="22">
        <f t="shared" si="379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376"/>
        <v>4.0000000000000036</v>
      </c>
      <c r="J1150" s="5"/>
      <c r="K1150" s="5"/>
      <c r="L1150" s="33">
        <f t="shared" si="377"/>
        <v>589.05000000000052</v>
      </c>
      <c r="M1150" s="33">
        <f t="shared" si="378"/>
        <v>589.05000000000052</v>
      </c>
      <c r="N1150" s="22">
        <f t="shared" si="379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376"/>
        <v>2.0000000000000018</v>
      </c>
      <c r="J1151" s="5"/>
      <c r="K1151" s="5"/>
      <c r="L1151" s="33">
        <f t="shared" si="377"/>
        <v>340.15000000000032</v>
      </c>
      <c r="M1151" s="33">
        <f t="shared" si="378"/>
        <v>340.15000000000032</v>
      </c>
      <c r="N1151" s="22">
        <f t="shared" si="379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376"/>
        <v>6.0000000000000053</v>
      </c>
      <c r="J1152" s="5"/>
      <c r="K1152" s="5"/>
      <c r="L1152" s="33">
        <f t="shared" si="377"/>
        <v>684.75000000000057</v>
      </c>
      <c r="M1152" s="33">
        <f t="shared" si="378"/>
        <v>684.75000000000057</v>
      </c>
      <c r="N1152" s="22">
        <f t="shared" si="379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376"/>
        <v>40</v>
      </c>
      <c r="J1153" s="5"/>
      <c r="K1153" s="5"/>
      <c r="L1153" s="33">
        <f t="shared" si="377"/>
        <v>5891</v>
      </c>
      <c r="M1153" s="33">
        <f t="shared" si="378"/>
        <v>5891</v>
      </c>
      <c r="N1153" s="22">
        <f t="shared" si="379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376"/>
        <v>20</v>
      </c>
      <c r="J1154" s="5"/>
      <c r="K1154" s="5"/>
      <c r="L1154" s="33">
        <f t="shared" si="377"/>
        <v>2282</v>
      </c>
      <c r="M1154" s="33">
        <f t="shared" si="378"/>
        <v>2282</v>
      </c>
      <c r="N1154" s="22">
        <f t="shared" si="379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376"/>
        <v>40</v>
      </c>
      <c r="J1155" s="5"/>
      <c r="K1155" s="5"/>
      <c r="L1155" s="33">
        <f t="shared" si="377"/>
        <v>5891</v>
      </c>
      <c r="M1155" s="33">
        <f t="shared" si="378"/>
        <v>5891</v>
      </c>
      <c r="N1155" s="22">
        <f t="shared" si="379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376"/>
        <v>20</v>
      </c>
      <c r="J1156" s="5"/>
      <c r="K1156" s="5"/>
      <c r="L1156" s="33">
        <f t="shared" si="377"/>
        <v>3401</v>
      </c>
      <c r="M1156" s="33">
        <f t="shared" si="378"/>
        <v>3401</v>
      </c>
      <c r="N1156" s="22">
        <f t="shared" si="379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376"/>
        <v>20</v>
      </c>
      <c r="J1157" s="5"/>
      <c r="K1157" s="5"/>
      <c r="L1157" s="33">
        <f t="shared" si="377"/>
        <v>2282</v>
      </c>
      <c r="M1157" s="33">
        <f t="shared" si="378"/>
        <v>2282</v>
      </c>
      <c r="N1157" s="22">
        <f t="shared" si="379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376"/>
        <v>20</v>
      </c>
      <c r="J1158" s="5"/>
      <c r="K1158" s="5"/>
      <c r="L1158" s="33">
        <f t="shared" si="377"/>
        <v>2945</v>
      </c>
      <c r="M1158" s="33">
        <f t="shared" si="378"/>
        <v>2945</v>
      </c>
      <c r="N1158" s="22">
        <f t="shared" si="379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376"/>
        <v>8</v>
      </c>
      <c r="J1159" s="5"/>
      <c r="K1159" s="5"/>
      <c r="L1159" s="33">
        <f t="shared" si="377"/>
        <v>1361</v>
      </c>
      <c r="M1159" s="33">
        <f t="shared" si="378"/>
        <v>1361</v>
      </c>
      <c r="N1159" s="22">
        <f t="shared" si="379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376"/>
        <v>20</v>
      </c>
      <c r="J1160" s="5"/>
      <c r="K1160" s="5"/>
      <c r="L1160" s="33">
        <f t="shared" si="377"/>
        <v>2282</v>
      </c>
      <c r="M1160" s="33">
        <f t="shared" si="378"/>
        <v>2282</v>
      </c>
      <c r="N1160" s="22">
        <f t="shared" si="379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376"/>
        <v>20</v>
      </c>
      <c r="J1161" s="5"/>
      <c r="K1161" s="5"/>
      <c r="L1161" s="33">
        <f t="shared" si="377"/>
        <v>2945</v>
      </c>
      <c r="M1161" s="33">
        <f t="shared" si="378"/>
        <v>2945</v>
      </c>
      <c r="N1161" s="22">
        <f t="shared" si="379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376"/>
        <v>8</v>
      </c>
      <c r="J1162" s="5"/>
      <c r="K1162" s="5"/>
      <c r="L1162" s="33">
        <f t="shared" si="377"/>
        <v>1361</v>
      </c>
      <c r="M1162" s="33">
        <f t="shared" si="378"/>
        <v>1361</v>
      </c>
      <c r="N1162" s="22">
        <f t="shared" si="379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376"/>
        <v>20</v>
      </c>
      <c r="J1163" s="5"/>
      <c r="K1163" s="5"/>
      <c r="L1163" s="33">
        <f t="shared" si="377"/>
        <v>2282</v>
      </c>
      <c r="M1163" s="33">
        <f t="shared" si="378"/>
        <v>2282</v>
      </c>
      <c r="N1163" s="22">
        <f t="shared" si="379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376"/>
        <v>0</v>
      </c>
      <c r="J1164" s="5"/>
      <c r="K1164" s="5"/>
      <c r="L1164" s="33">
        <f t="shared" si="377"/>
        <v>0</v>
      </c>
      <c r="M1164" s="33">
        <f t="shared" si="378"/>
        <v>0</v>
      </c>
      <c r="N1164" s="22">
        <f t="shared" si="379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376"/>
        <v>0</v>
      </c>
      <c r="J1165" s="5"/>
      <c r="K1165" s="5"/>
      <c r="L1165" s="33">
        <f t="shared" si="377"/>
        <v>0</v>
      </c>
      <c r="M1165" s="33">
        <f t="shared" si="378"/>
        <v>0</v>
      </c>
      <c r="N1165" s="22">
        <f t="shared" si="379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376"/>
        <v>0</v>
      </c>
      <c r="J1166" s="5"/>
      <c r="K1166" s="5"/>
      <c r="L1166" s="33">
        <f t="shared" si="377"/>
        <v>0</v>
      </c>
      <c r="M1166" s="33">
        <f t="shared" si="378"/>
        <v>0</v>
      </c>
      <c r="N1166" s="22">
        <f t="shared" si="379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376"/>
        <v>0</v>
      </c>
      <c r="J1167" s="5"/>
      <c r="K1167" s="5"/>
      <c r="L1167" s="33">
        <f t="shared" si="377"/>
        <v>0</v>
      </c>
      <c r="M1167" s="33">
        <f t="shared" si="378"/>
        <v>0</v>
      </c>
      <c r="N1167" s="22">
        <f t="shared" si="379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376"/>
        <v>0</v>
      </c>
      <c r="J1168" s="5"/>
      <c r="K1168" s="5"/>
      <c r="L1168" s="33">
        <f t="shared" si="377"/>
        <v>0</v>
      </c>
      <c r="M1168" s="33">
        <f t="shared" si="378"/>
        <v>0</v>
      </c>
      <c r="N1168" s="22">
        <f t="shared" si="379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376"/>
        <v>0</v>
      </c>
      <c r="J1169" s="5"/>
      <c r="K1169" s="5"/>
      <c r="L1169" s="33">
        <f t="shared" si="377"/>
        <v>0</v>
      </c>
      <c r="M1169" s="33">
        <f t="shared" si="378"/>
        <v>0</v>
      </c>
      <c r="N1169" s="22">
        <f t="shared" si="379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376"/>
        <v>0</v>
      </c>
      <c r="J1170" s="5"/>
      <c r="K1170" s="5"/>
      <c r="L1170" s="33">
        <f t="shared" si="377"/>
        <v>0</v>
      </c>
      <c r="M1170" s="33">
        <f t="shared" si="378"/>
        <v>0</v>
      </c>
      <c r="N1170" s="22">
        <f t="shared" si="379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376"/>
        <v>0</v>
      </c>
      <c r="J1171" s="5"/>
      <c r="K1171" s="5"/>
      <c r="L1171" s="33">
        <f t="shared" si="377"/>
        <v>0</v>
      </c>
      <c r="M1171" s="33">
        <f t="shared" si="378"/>
        <v>0</v>
      </c>
      <c r="N1171" s="22">
        <f t="shared" si="379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376"/>
        <v>0</v>
      </c>
      <c r="J1172" s="5"/>
      <c r="K1172" s="5"/>
      <c r="L1172" s="33">
        <f t="shared" si="377"/>
        <v>0</v>
      </c>
      <c r="M1172" s="33">
        <f t="shared" si="378"/>
        <v>0</v>
      </c>
      <c r="N1172" s="22">
        <f t="shared" si="379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376"/>
        <v>0</v>
      </c>
      <c r="J1173" s="5"/>
      <c r="K1173" s="5"/>
      <c r="L1173" s="33">
        <f t="shared" si="377"/>
        <v>0</v>
      </c>
      <c r="M1173" s="33">
        <f t="shared" si="378"/>
        <v>0</v>
      </c>
      <c r="N1173" s="22">
        <f t="shared" si="379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376"/>
        <v>0</v>
      </c>
      <c r="J1174" s="5"/>
      <c r="K1174" s="5"/>
      <c r="L1174" s="33">
        <f t="shared" si="377"/>
        <v>0</v>
      </c>
      <c r="M1174" s="33">
        <f t="shared" si="378"/>
        <v>0</v>
      </c>
      <c r="N1174" s="22">
        <f t="shared" si="379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376"/>
        <v>0</v>
      </c>
      <c r="J1175" s="5"/>
      <c r="K1175" s="5"/>
      <c r="L1175" s="33">
        <f t="shared" si="377"/>
        <v>0</v>
      </c>
      <c r="M1175" s="33">
        <f t="shared" si="378"/>
        <v>0</v>
      </c>
      <c r="N1175" s="22">
        <f t="shared" si="379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376"/>
        <v>0</v>
      </c>
      <c r="J1176" s="5"/>
      <c r="K1176" s="5"/>
      <c r="L1176" s="33">
        <f t="shared" si="377"/>
        <v>0</v>
      </c>
      <c r="M1176" s="33">
        <f t="shared" si="378"/>
        <v>0</v>
      </c>
      <c r="N1176" s="22">
        <f t="shared" si="379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376"/>
        <v>0</v>
      </c>
      <c r="J1177" s="5"/>
      <c r="K1177" s="5"/>
      <c r="L1177" s="33">
        <f t="shared" si="377"/>
        <v>0</v>
      </c>
      <c r="M1177" s="33">
        <f t="shared" si="378"/>
        <v>0</v>
      </c>
      <c r="N1177" s="22">
        <f t="shared" si="379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376"/>
        <v>0</v>
      </c>
      <c r="J1178" s="5"/>
      <c r="K1178" s="5"/>
      <c r="L1178" s="33">
        <f t="shared" si="377"/>
        <v>0</v>
      </c>
      <c r="M1178" s="33">
        <f t="shared" si="378"/>
        <v>0</v>
      </c>
      <c r="N1178" s="22">
        <f t="shared" si="379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376"/>
        <v>0</v>
      </c>
      <c r="J1179" s="5"/>
      <c r="K1179" s="5"/>
      <c r="L1179" s="33">
        <f t="shared" si="377"/>
        <v>0</v>
      </c>
      <c r="M1179" s="33">
        <f t="shared" si="378"/>
        <v>0</v>
      </c>
      <c r="N1179" s="22">
        <f t="shared" si="379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376"/>
        <v>0</v>
      </c>
      <c r="J1180" s="5"/>
      <c r="K1180" s="5"/>
      <c r="L1180" s="33">
        <f t="shared" si="377"/>
        <v>0</v>
      </c>
      <c r="M1180" s="33">
        <f t="shared" si="378"/>
        <v>0</v>
      </c>
      <c r="N1180" s="22">
        <f t="shared" si="379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376"/>
        <v>0</v>
      </c>
      <c r="J1181" s="5"/>
      <c r="K1181" s="5"/>
      <c r="L1181" s="33">
        <f t="shared" si="377"/>
        <v>0</v>
      </c>
      <c r="M1181" s="33">
        <f t="shared" si="378"/>
        <v>0</v>
      </c>
      <c r="N1181" s="22">
        <f t="shared" si="379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376"/>
        <v>0</v>
      </c>
      <c r="J1182" s="5"/>
      <c r="K1182" s="5"/>
      <c r="L1182" s="33">
        <f t="shared" si="377"/>
        <v>0</v>
      </c>
      <c r="M1182" s="33">
        <f t="shared" si="378"/>
        <v>0</v>
      </c>
      <c r="N1182" s="22">
        <f t="shared" si="379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376"/>
        <v>0</v>
      </c>
      <c r="J1183" s="5"/>
      <c r="K1183" s="5"/>
      <c r="L1183" s="33">
        <f t="shared" si="377"/>
        <v>0</v>
      </c>
      <c r="M1183" s="33">
        <f t="shared" si="378"/>
        <v>0</v>
      </c>
      <c r="N1183" s="22">
        <f t="shared" si="379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376"/>
        <v>0</v>
      </c>
      <c r="J1184" s="5"/>
      <c r="K1184" s="5"/>
      <c r="L1184" s="33">
        <f t="shared" si="377"/>
        <v>0</v>
      </c>
      <c r="M1184" s="33">
        <f t="shared" si="378"/>
        <v>0</v>
      </c>
      <c r="N1184" s="22">
        <f t="shared" si="379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376"/>
        <v>0</v>
      </c>
      <c r="J1185" s="5"/>
      <c r="K1185" s="5"/>
      <c r="L1185" s="33">
        <f t="shared" si="377"/>
        <v>0</v>
      </c>
      <c r="M1185" s="33">
        <f t="shared" si="378"/>
        <v>0</v>
      </c>
      <c r="N1185" s="22">
        <f t="shared" si="379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376"/>
        <v>0</v>
      </c>
      <c r="J1186" s="5"/>
      <c r="K1186" s="5"/>
      <c r="L1186" s="33">
        <f t="shared" si="377"/>
        <v>0</v>
      </c>
      <c r="M1186" s="33">
        <f t="shared" si="378"/>
        <v>0</v>
      </c>
      <c r="N1186" s="22">
        <f t="shared" si="379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376"/>
        <v>0</v>
      </c>
      <c r="J1187" s="5"/>
      <c r="K1187" s="5"/>
      <c r="L1187" s="33">
        <f t="shared" si="377"/>
        <v>0</v>
      </c>
      <c r="M1187" s="33">
        <f t="shared" si="378"/>
        <v>0</v>
      </c>
      <c r="N1187" s="22">
        <f t="shared" si="379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376"/>
        <v>0</v>
      </c>
      <c r="J1188" s="5"/>
      <c r="K1188" s="5"/>
      <c r="L1188" s="33">
        <f t="shared" si="377"/>
        <v>0</v>
      </c>
      <c r="M1188" s="33">
        <f t="shared" si="378"/>
        <v>0</v>
      </c>
      <c r="N1188" s="22">
        <f t="shared" si="379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376"/>
        <v>0</v>
      </c>
      <c r="J1189" s="5"/>
      <c r="K1189" s="5"/>
      <c r="L1189" s="33">
        <f t="shared" si="377"/>
        <v>0</v>
      </c>
      <c r="M1189" s="33">
        <f t="shared" si="378"/>
        <v>0</v>
      </c>
      <c r="N1189" s="22">
        <f t="shared" si="379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376"/>
        <v>0</v>
      </c>
      <c r="J1190" s="5"/>
      <c r="K1190" s="5"/>
      <c r="L1190" s="33">
        <f t="shared" si="377"/>
        <v>0</v>
      </c>
      <c r="M1190" s="33">
        <f t="shared" si="378"/>
        <v>0</v>
      </c>
      <c r="N1190" s="22">
        <f t="shared" si="379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376"/>
        <v>18</v>
      </c>
      <c r="J1191" s="5"/>
      <c r="K1191" s="5"/>
      <c r="L1191" s="33">
        <f t="shared" si="377"/>
        <v>2651</v>
      </c>
      <c r="M1191" s="33">
        <f t="shared" si="378"/>
        <v>2651</v>
      </c>
      <c r="N1191" s="22">
        <f t="shared" si="379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376"/>
        <v>8</v>
      </c>
      <c r="J1192" s="5"/>
      <c r="K1192" s="5"/>
      <c r="L1192" s="33">
        <f t="shared" si="377"/>
        <v>1361</v>
      </c>
      <c r="M1192" s="33">
        <f t="shared" si="378"/>
        <v>1361</v>
      </c>
      <c r="N1192" s="22">
        <f t="shared" si="379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376"/>
        <v>18</v>
      </c>
      <c r="J1193" s="5"/>
      <c r="K1193" s="5"/>
      <c r="L1193" s="33">
        <f t="shared" si="377"/>
        <v>2054</v>
      </c>
      <c r="M1193" s="33">
        <f t="shared" si="378"/>
        <v>2054</v>
      </c>
      <c r="N1193" s="22">
        <f t="shared" si="379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376"/>
        <v>24</v>
      </c>
      <c r="J1194" s="5"/>
      <c r="K1194" s="5"/>
      <c r="L1194" s="33">
        <f t="shared" si="377"/>
        <v>3594</v>
      </c>
      <c r="M1194" s="33">
        <f t="shared" si="378"/>
        <v>3594</v>
      </c>
      <c r="N1194" s="22">
        <f t="shared" si="379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376"/>
        <v>24</v>
      </c>
      <c r="J1195" s="5"/>
      <c r="K1195" s="5"/>
      <c r="L1195" s="33">
        <f t="shared" si="377"/>
        <v>4150</v>
      </c>
      <c r="M1195" s="33">
        <f t="shared" si="378"/>
        <v>4150</v>
      </c>
      <c r="N1195" s="22">
        <f t="shared" si="379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376"/>
        <v>10</v>
      </c>
      <c r="J1196" s="5"/>
      <c r="K1196" s="5"/>
      <c r="L1196" s="33">
        <f t="shared" si="377"/>
        <v>1160</v>
      </c>
      <c r="M1196" s="33">
        <f t="shared" si="378"/>
        <v>1160</v>
      </c>
      <c r="N1196" s="22">
        <f t="shared" si="379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376"/>
        <v>2</v>
      </c>
      <c r="J1197" s="5"/>
      <c r="K1197" s="5"/>
      <c r="L1197" s="33">
        <f t="shared" si="377"/>
        <v>303</v>
      </c>
      <c r="M1197" s="33">
        <f t="shared" si="378"/>
        <v>303</v>
      </c>
      <c r="N1197" s="22">
        <f t="shared" si="379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376"/>
        <v>4</v>
      </c>
      <c r="J1198" s="5"/>
      <c r="K1198" s="5"/>
      <c r="L1198" s="33">
        <f t="shared" si="377"/>
        <v>701</v>
      </c>
      <c r="M1198" s="33">
        <f t="shared" si="378"/>
        <v>701</v>
      </c>
      <c r="N1198" s="22">
        <f t="shared" si="379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376"/>
        <v>4</v>
      </c>
      <c r="J1199" s="5"/>
      <c r="K1199" s="5"/>
      <c r="L1199" s="33">
        <f t="shared" si="377"/>
        <v>470</v>
      </c>
      <c r="M1199" s="33">
        <f t="shared" si="378"/>
        <v>470</v>
      </c>
      <c r="N1199" s="22">
        <f t="shared" si="379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376"/>
        <v>18</v>
      </c>
      <c r="J1200" s="5"/>
      <c r="K1200" s="5"/>
      <c r="L1200" s="33">
        <f t="shared" si="377"/>
        <v>2651</v>
      </c>
      <c r="M1200" s="33">
        <f t="shared" si="378"/>
        <v>2651</v>
      </c>
      <c r="N1200" s="22">
        <f t="shared" si="379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376"/>
        <v>8</v>
      </c>
      <c r="J1201" s="5"/>
      <c r="K1201" s="5"/>
      <c r="L1201" s="33">
        <f t="shared" si="377"/>
        <v>1361</v>
      </c>
      <c r="M1201" s="33">
        <f t="shared" si="378"/>
        <v>1361</v>
      </c>
      <c r="N1201" s="22">
        <f t="shared" si="379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376"/>
        <v>18</v>
      </c>
      <c r="J1202" s="5"/>
      <c r="K1202" s="5"/>
      <c r="L1202" s="33">
        <f t="shared" si="377"/>
        <v>2054</v>
      </c>
      <c r="M1202" s="33">
        <f t="shared" si="378"/>
        <v>2054</v>
      </c>
      <c r="N1202" s="22">
        <f t="shared" si="379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376"/>
        <v>0</v>
      </c>
      <c r="J1203" s="5"/>
      <c r="K1203" s="5"/>
      <c r="L1203" s="33">
        <f t="shared" si="377"/>
        <v>0</v>
      </c>
      <c r="M1203" s="33">
        <f t="shared" si="378"/>
        <v>0</v>
      </c>
      <c r="N1203" s="22">
        <f t="shared" si="379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380">D1204*(1-H1204)</f>
        <v>0</v>
      </c>
      <c r="J1204" s="5"/>
      <c r="K1204" s="5"/>
      <c r="L1204" s="33">
        <f t="shared" ref="L1204:L1226" si="381">E1204*(1-H1204)</f>
        <v>0</v>
      </c>
      <c r="M1204" s="33">
        <f t="shared" ref="M1204:M1226" si="382">IF(J1204="",L1204,(E1204/D1204)*J1204)</f>
        <v>0</v>
      </c>
      <c r="N1204" s="22">
        <f t="shared" ref="N1204:N1226" si="383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380"/>
        <v>0</v>
      </c>
      <c r="J1205" s="5"/>
      <c r="K1205" s="5"/>
      <c r="L1205" s="33">
        <f t="shared" si="381"/>
        <v>0</v>
      </c>
      <c r="M1205" s="33">
        <f t="shared" si="382"/>
        <v>0</v>
      </c>
      <c r="N1205" s="22">
        <f t="shared" si="383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380"/>
        <v>0</v>
      </c>
      <c r="J1206" s="5"/>
      <c r="K1206" s="5"/>
      <c r="L1206" s="33">
        <f t="shared" si="381"/>
        <v>0</v>
      </c>
      <c r="M1206" s="33">
        <f t="shared" si="382"/>
        <v>0</v>
      </c>
      <c r="N1206" s="22">
        <f t="shared" si="383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380"/>
        <v>126000</v>
      </c>
      <c r="J1207" s="5"/>
      <c r="K1207" s="5"/>
      <c r="L1207" s="33">
        <f t="shared" si="381"/>
        <v>146246</v>
      </c>
      <c r="M1207" s="33">
        <f t="shared" si="382"/>
        <v>146246</v>
      </c>
      <c r="N1207" s="22">
        <f t="shared" si="383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380"/>
        <v>0</v>
      </c>
      <c r="J1208" s="5"/>
      <c r="K1208" s="5"/>
      <c r="L1208" s="33">
        <f t="shared" si="381"/>
        <v>0</v>
      </c>
      <c r="M1208" s="33">
        <f t="shared" si="382"/>
        <v>0</v>
      </c>
      <c r="N1208" s="22">
        <f t="shared" si="383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380"/>
        <v>0</v>
      </c>
      <c r="J1209" s="5"/>
      <c r="K1209" s="5"/>
      <c r="L1209" s="33">
        <f t="shared" si="381"/>
        <v>0</v>
      </c>
      <c r="M1209" s="33">
        <f t="shared" si="382"/>
        <v>0</v>
      </c>
      <c r="N1209" s="22">
        <f t="shared" si="383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380"/>
        <v>0</v>
      </c>
      <c r="J1210" s="5"/>
      <c r="K1210" s="5"/>
      <c r="L1210" s="33">
        <f t="shared" si="381"/>
        <v>0</v>
      </c>
      <c r="M1210" s="33">
        <f t="shared" si="382"/>
        <v>0</v>
      </c>
      <c r="N1210" s="22">
        <f t="shared" si="383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380"/>
        <v>1.2000000000000011</v>
      </c>
      <c r="J1211" s="5"/>
      <c r="K1211" s="5"/>
      <c r="L1211" s="33">
        <f t="shared" si="381"/>
        <v>151.80000000000013</v>
      </c>
      <c r="M1211" s="33">
        <f t="shared" si="382"/>
        <v>151.80000000000013</v>
      </c>
      <c r="N1211" s="22">
        <f t="shared" si="383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380"/>
        <v>2.0000000000000018</v>
      </c>
      <c r="J1212" s="5"/>
      <c r="K1212" s="5"/>
      <c r="L1212" s="33">
        <f t="shared" si="381"/>
        <v>250.15000000000023</v>
      </c>
      <c r="M1212" s="33">
        <f t="shared" si="382"/>
        <v>250.15000000000023</v>
      </c>
      <c r="N1212" s="22">
        <f t="shared" si="383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380"/>
        <v>0</v>
      </c>
      <c r="J1213" s="5"/>
      <c r="K1213" s="5"/>
      <c r="L1213" s="33">
        <f t="shared" si="381"/>
        <v>0</v>
      </c>
      <c r="M1213" s="33">
        <f t="shared" si="382"/>
        <v>0</v>
      </c>
      <c r="N1213" s="22">
        <f t="shared" si="383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380"/>
        <v>0</v>
      </c>
      <c r="J1214" s="5"/>
      <c r="K1214" s="5"/>
      <c r="L1214" s="33">
        <f t="shared" si="381"/>
        <v>0</v>
      </c>
      <c r="M1214" s="33">
        <f t="shared" si="382"/>
        <v>0</v>
      </c>
      <c r="N1214" s="22">
        <f t="shared" si="383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380"/>
        <v>0</v>
      </c>
      <c r="J1215" s="5"/>
      <c r="K1215" s="5"/>
      <c r="L1215" s="33">
        <f t="shared" si="381"/>
        <v>0</v>
      </c>
      <c r="M1215" s="33">
        <f t="shared" si="382"/>
        <v>0</v>
      </c>
      <c r="N1215" s="22">
        <f t="shared" si="383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380"/>
        <v>0</v>
      </c>
      <c r="J1216" s="5"/>
      <c r="K1216" s="5"/>
      <c r="L1216" s="33">
        <f t="shared" si="381"/>
        <v>0</v>
      </c>
      <c r="M1216" s="33">
        <f t="shared" si="382"/>
        <v>0</v>
      </c>
      <c r="N1216" s="22">
        <f t="shared" si="383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380"/>
        <v>0</v>
      </c>
      <c r="J1217" s="5"/>
      <c r="K1217" s="5"/>
      <c r="L1217" s="33">
        <f t="shared" si="381"/>
        <v>0</v>
      </c>
      <c r="M1217" s="33">
        <f t="shared" si="382"/>
        <v>0</v>
      </c>
      <c r="N1217" s="22">
        <f t="shared" si="383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380"/>
        <v>0</v>
      </c>
      <c r="J1218" s="5"/>
      <c r="K1218" s="5"/>
      <c r="L1218" s="33">
        <f t="shared" si="381"/>
        <v>0</v>
      </c>
      <c r="M1218" s="33">
        <f t="shared" si="382"/>
        <v>0</v>
      </c>
      <c r="N1218" s="22">
        <f t="shared" si="383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380"/>
        <v>0</v>
      </c>
      <c r="J1219" s="5"/>
      <c r="K1219" s="5"/>
      <c r="L1219" s="33">
        <f t="shared" si="381"/>
        <v>0</v>
      </c>
      <c r="M1219" s="33">
        <f t="shared" si="382"/>
        <v>0</v>
      </c>
      <c r="N1219" s="22">
        <f t="shared" si="383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380"/>
        <v>0</v>
      </c>
      <c r="J1220" s="5"/>
      <c r="K1220" s="5"/>
      <c r="L1220" s="33">
        <f t="shared" si="381"/>
        <v>0</v>
      </c>
      <c r="M1220" s="33">
        <f t="shared" si="382"/>
        <v>0</v>
      </c>
      <c r="N1220" s="22">
        <f t="shared" si="383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380"/>
        <v>0</v>
      </c>
      <c r="J1221" s="5"/>
      <c r="K1221" s="5"/>
      <c r="L1221" s="33">
        <f t="shared" si="381"/>
        <v>0</v>
      </c>
      <c r="M1221" s="33">
        <f t="shared" si="382"/>
        <v>0</v>
      </c>
      <c r="N1221" s="22">
        <f t="shared" si="383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380"/>
        <v>0</v>
      </c>
      <c r="J1222" s="5"/>
      <c r="K1222" s="5"/>
      <c r="L1222" s="33">
        <f t="shared" si="381"/>
        <v>0</v>
      </c>
      <c r="M1222" s="33">
        <f t="shared" si="382"/>
        <v>0</v>
      </c>
      <c r="N1222" s="22">
        <f t="shared" si="383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380"/>
        <v>0</v>
      </c>
      <c r="J1223" s="5"/>
      <c r="K1223" s="5"/>
      <c r="L1223" s="33">
        <f t="shared" si="381"/>
        <v>0</v>
      </c>
      <c r="M1223" s="33">
        <f t="shared" si="382"/>
        <v>0</v>
      </c>
      <c r="N1223" s="22">
        <f t="shared" si="383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380"/>
        <v>0</v>
      </c>
      <c r="J1224" s="5"/>
      <c r="K1224" s="5"/>
      <c r="L1224" s="33">
        <f t="shared" si="381"/>
        <v>0</v>
      </c>
      <c r="M1224" s="33">
        <f t="shared" si="382"/>
        <v>0</v>
      </c>
      <c r="N1224" s="22">
        <f t="shared" si="383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380"/>
        <v>0</v>
      </c>
      <c r="J1225" s="5"/>
      <c r="K1225" s="5"/>
      <c r="L1225" s="33">
        <f t="shared" si="381"/>
        <v>0</v>
      </c>
      <c r="M1225" s="33">
        <f t="shared" si="382"/>
        <v>0</v>
      </c>
      <c r="N1225" s="22">
        <f t="shared" si="383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380"/>
        <v>0</v>
      </c>
      <c r="J1226" s="5"/>
      <c r="K1226" s="5"/>
      <c r="L1226" s="33">
        <f t="shared" si="381"/>
        <v>0</v>
      </c>
      <c r="M1226" s="33">
        <f t="shared" si="382"/>
        <v>0</v>
      </c>
      <c r="N1226" s="22">
        <f t="shared" si="383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384">D1228*(1-H1228)</f>
        <v>0</v>
      </c>
      <c r="J1228" s="5"/>
      <c r="K1228" s="5"/>
      <c r="L1228" s="33">
        <f t="shared" ref="L1228:L1291" si="385">E1228*(1-H1228)</f>
        <v>0</v>
      </c>
      <c r="M1228" s="33">
        <f t="shared" ref="M1228:M1291" si="386">IF(J1228="",L1228,(E1228/D1228)*J1228)</f>
        <v>0</v>
      </c>
      <c r="N1228" s="22">
        <f t="shared" ref="N1228:N1291" si="387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384"/>
        <v>0</v>
      </c>
      <c r="J1229" s="5"/>
      <c r="K1229" s="5"/>
      <c r="L1229" s="33">
        <f t="shared" si="385"/>
        <v>0</v>
      </c>
      <c r="M1229" s="33">
        <f t="shared" si="386"/>
        <v>0</v>
      </c>
      <c r="N1229" s="22">
        <f t="shared" si="387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384"/>
        <v>0</v>
      </c>
      <c r="J1230" s="5"/>
      <c r="K1230" s="5"/>
      <c r="L1230" s="33">
        <f t="shared" si="385"/>
        <v>0</v>
      </c>
      <c r="M1230" s="33">
        <f t="shared" si="386"/>
        <v>0</v>
      </c>
      <c r="N1230" s="22">
        <f t="shared" si="387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384"/>
        <v>0</v>
      </c>
      <c r="J1231" s="5"/>
      <c r="K1231" s="5"/>
      <c r="L1231" s="33">
        <f t="shared" si="385"/>
        <v>0</v>
      </c>
      <c r="M1231" s="33">
        <f t="shared" si="386"/>
        <v>0</v>
      </c>
      <c r="N1231" s="22">
        <f t="shared" si="387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384"/>
        <v>0</v>
      </c>
      <c r="J1232" s="5"/>
      <c r="K1232" s="5"/>
      <c r="L1232" s="33">
        <f t="shared" si="385"/>
        <v>0</v>
      </c>
      <c r="M1232" s="33">
        <f t="shared" si="386"/>
        <v>0</v>
      </c>
      <c r="N1232" s="22">
        <f t="shared" si="387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384"/>
        <v>0</v>
      </c>
      <c r="J1233" s="5"/>
      <c r="K1233" s="5"/>
      <c r="L1233" s="33">
        <f t="shared" si="385"/>
        <v>0</v>
      </c>
      <c r="M1233" s="33">
        <f t="shared" si="386"/>
        <v>0</v>
      </c>
      <c r="N1233" s="22">
        <f t="shared" si="387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384"/>
        <v>0</v>
      </c>
      <c r="J1234" s="5"/>
      <c r="K1234" s="5"/>
      <c r="L1234" s="33">
        <f t="shared" si="385"/>
        <v>0</v>
      </c>
      <c r="M1234" s="33">
        <f t="shared" si="386"/>
        <v>0</v>
      </c>
      <c r="N1234" s="22">
        <f t="shared" si="387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384"/>
        <v>0</v>
      </c>
      <c r="J1235" s="5"/>
      <c r="K1235" s="5"/>
      <c r="L1235" s="33">
        <f t="shared" si="385"/>
        <v>0</v>
      </c>
      <c r="M1235" s="33">
        <f t="shared" si="386"/>
        <v>0</v>
      </c>
      <c r="N1235" s="22">
        <f t="shared" si="387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384"/>
        <v>16</v>
      </c>
      <c r="J1236" s="5"/>
      <c r="K1236" s="5"/>
      <c r="L1236" s="33">
        <f t="shared" si="385"/>
        <v>1826</v>
      </c>
      <c r="M1236" s="33">
        <f t="shared" si="386"/>
        <v>1826</v>
      </c>
      <c r="N1236" s="22">
        <f t="shared" si="387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384"/>
        <v>16</v>
      </c>
      <c r="J1237" s="5"/>
      <c r="K1237" s="5"/>
      <c r="L1237" s="33">
        <f t="shared" si="385"/>
        <v>1826</v>
      </c>
      <c r="M1237" s="33">
        <f t="shared" si="386"/>
        <v>1826</v>
      </c>
      <c r="N1237" s="22">
        <f t="shared" si="387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384"/>
        <v>20</v>
      </c>
      <c r="J1238" s="5"/>
      <c r="K1238" s="5"/>
      <c r="L1238" s="33">
        <f t="shared" si="385"/>
        <v>2351</v>
      </c>
      <c r="M1238" s="33">
        <f t="shared" si="386"/>
        <v>2351</v>
      </c>
      <c r="N1238" s="22">
        <f t="shared" si="387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384"/>
        <v>8</v>
      </c>
      <c r="J1239" s="5"/>
      <c r="K1239" s="5"/>
      <c r="L1239" s="33">
        <f t="shared" si="385"/>
        <v>940</v>
      </c>
      <c r="M1239" s="33">
        <f t="shared" si="386"/>
        <v>940</v>
      </c>
      <c r="N1239" s="22">
        <f t="shared" si="387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384"/>
        <v>32</v>
      </c>
      <c r="J1240" s="5"/>
      <c r="K1240" s="5"/>
      <c r="L1240" s="33">
        <f t="shared" si="385"/>
        <v>4048</v>
      </c>
      <c r="M1240" s="33">
        <f t="shared" si="386"/>
        <v>4048</v>
      </c>
      <c r="N1240" s="22">
        <f t="shared" si="387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384"/>
        <v>32</v>
      </c>
      <c r="J1241" s="5"/>
      <c r="K1241" s="5"/>
      <c r="L1241" s="33">
        <f t="shared" si="385"/>
        <v>4048</v>
      </c>
      <c r="M1241" s="33">
        <f t="shared" si="386"/>
        <v>4048</v>
      </c>
      <c r="N1241" s="22">
        <f t="shared" si="387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384"/>
        <v>45850</v>
      </c>
      <c r="J1242" s="5"/>
      <c r="K1242" s="5"/>
      <c r="L1242" s="33">
        <f t="shared" si="385"/>
        <v>53217</v>
      </c>
      <c r="M1242" s="33">
        <f t="shared" si="386"/>
        <v>53217</v>
      </c>
      <c r="N1242" s="22">
        <f t="shared" si="387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384"/>
        <v>0</v>
      </c>
      <c r="J1243" s="5"/>
      <c r="K1243" s="5"/>
      <c r="L1243" s="33">
        <f t="shared" si="385"/>
        <v>0</v>
      </c>
      <c r="M1243" s="33">
        <f t="shared" si="386"/>
        <v>0</v>
      </c>
      <c r="N1243" s="22">
        <f t="shared" si="387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384"/>
        <v>0</v>
      </c>
      <c r="J1244" s="5"/>
      <c r="K1244" s="5"/>
      <c r="L1244" s="33">
        <f t="shared" si="385"/>
        <v>0</v>
      </c>
      <c r="M1244" s="33">
        <f t="shared" si="386"/>
        <v>0</v>
      </c>
      <c r="N1244" s="22">
        <f t="shared" si="387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384"/>
        <v>0</v>
      </c>
      <c r="J1245" s="5"/>
      <c r="K1245" s="5"/>
      <c r="L1245" s="33">
        <f t="shared" si="385"/>
        <v>0</v>
      </c>
      <c r="M1245" s="33">
        <f t="shared" si="386"/>
        <v>0</v>
      </c>
      <c r="N1245" s="22">
        <f t="shared" si="387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384"/>
        <v>0</v>
      </c>
      <c r="J1246" s="5"/>
      <c r="K1246" s="5"/>
      <c r="L1246" s="33">
        <f t="shared" si="385"/>
        <v>0</v>
      </c>
      <c r="M1246" s="33">
        <f t="shared" si="386"/>
        <v>0</v>
      </c>
      <c r="N1246" s="22">
        <f t="shared" si="387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384"/>
        <v>0</v>
      </c>
      <c r="J1247" s="5"/>
      <c r="K1247" s="5"/>
      <c r="L1247" s="33">
        <f t="shared" si="385"/>
        <v>0</v>
      </c>
      <c r="M1247" s="33">
        <f t="shared" si="386"/>
        <v>0</v>
      </c>
      <c r="N1247" s="22">
        <f t="shared" si="387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384"/>
        <v>0</v>
      </c>
      <c r="J1248" s="5"/>
      <c r="K1248" s="5"/>
      <c r="L1248" s="33">
        <f t="shared" si="385"/>
        <v>0</v>
      </c>
      <c r="M1248" s="33">
        <f t="shared" si="386"/>
        <v>0</v>
      </c>
      <c r="N1248" s="22">
        <f t="shared" si="387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384"/>
        <v>32</v>
      </c>
      <c r="J1249" s="5"/>
      <c r="K1249" s="5"/>
      <c r="L1249" s="33">
        <f t="shared" si="385"/>
        <v>4712</v>
      </c>
      <c r="M1249" s="33">
        <f t="shared" si="386"/>
        <v>4712</v>
      </c>
      <c r="N1249" s="22">
        <f t="shared" si="387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384"/>
        <v>16</v>
      </c>
      <c r="J1250" s="5"/>
      <c r="K1250" s="5"/>
      <c r="L1250" s="33">
        <f t="shared" si="385"/>
        <v>2427</v>
      </c>
      <c r="M1250" s="33">
        <f t="shared" si="386"/>
        <v>2427</v>
      </c>
      <c r="N1250" s="22">
        <f t="shared" si="387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384"/>
        <v>0</v>
      </c>
      <c r="J1251" s="5"/>
      <c r="K1251" s="5"/>
      <c r="L1251" s="33">
        <f t="shared" si="385"/>
        <v>0</v>
      </c>
      <c r="M1251" s="33">
        <f t="shared" si="386"/>
        <v>0</v>
      </c>
      <c r="N1251" s="22">
        <f t="shared" si="387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384"/>
        <v>0</v>
      </c>
      <c r="J1252" s="5"/>
      <c r="K1252" s="5"/>
      <c r="L1252" s="33">
        <f t="shared" si="385"/>
        <v>0</v>
      </c>
      <c r="M1252" s="33">
        <f t="shared" si="386"/>
        <v>0</v>
      </c>
      <c r="N1252" s="22">
        <f t="shared" si="387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384"/>
        <v>0</v>
      </c>
      <c r="J1253" s="5"/>
      <c r="K1253" s="5"/>
      <c r="L1253" s="33">
        <f t="shared" si="385"/>
        <v>0</v>
      </c>
      <c r="M1253" s="33">
        <f t="shared" si="386"/>
        <v>0</v>
      </c>
      <c r="N1253" s="22">
        <f t="shared" si="387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384"/>
        <v>0</v>
      </c>
      <c r="J1254" s="5"/>
      <c r="K1254" s="5"/>
      <c r="L1254" s="33">
        <f t="shared" si="385"/>
        <v>0</v>
      </c>
      <c r="M1254" s="33">
        <f t="shared" si="386"/>
        <v>0</v>
      </c>
      <c r="N1254" s="22">
        <f t="shared" si="387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384"/>
        <v>0</v>
      </c>
      <c r="J1255" s="5"/>
      <c r="K1255" s="5"/>
      <c r="L1255" s="33">
        <f t="shared" si="385"/>
        <v>0</v>
      </c>
      <c r="M1255" s="33">
        <f t="shared" si="386"/>
        <v>0</v>
      </c>
      <c r="N1255" s="22">
        <f t="shared" si="387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384"/>
        <v>0</v>
      </c>
      <c r="J1256" s="5"/>
      <c r="K1256" s="5"/>
      <c r="L1256" s="33">
        <f t="shared" si="385"/>
        <v>0</v>
      </c>
      <c r="M1256" s="33">
        <f t="shared" si="386"/>
        <v>0</v>
      </c>
      <c r="N1256" s="22">
        <f t="shared" si="387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384"/>
        <v>0</v>
      </c>
      <c r="J1257" s="5"/>
      <c r="K1257" s="5"/>
      <c r="L1257" s="33">
        <f t="shared" si="385"/>
        <v>0</v>
      </c>
      <c r="M1257" s="33">
        <f t="shared" si="386"/>
        <v>0</v>
      </c>
      <c r="N1257" s="22">
        <f t="shared" si="387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384"/>
        <v>0</v>
      </c>
      <c r="J1258" s="5"/>
      <c r="K1258" s="5"/>
      <c r="L1258" s="33">
        <f t="shared" si="385"/>
        <v>0</v>
      </c>
      <c r="M1258" s="33">
        <f t="shared" si="386"/>
        <v>0</v>
      </c>
      <c r="N1258" s="22">
        <f t="shared" si="387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384"/>
        <v>0</v>
      </c>
      <c r="J1259" s="5"/>
      <c r="K1259" s="5"/>
      <c r="L1259" s="33">
        <f t="shared" si="385"/>
        <v>0</v>
      </c>
      <c r="M1259" s="33">
        <f t="shared" si="386"/>
        <v>0</v>
      </c>
      <c r="N1259" s="22">
        <f t="shared" si="387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384"/>
        <v>0</v>
      </c>
      <c r="J1260" s="5"/>
      <c r="K1260" s="5"/>
      <c r="L1260" s="33">
        <f t="shared" si="385"/>
        <v>0</v>
      </c>
      <c r="M1260" s="33">
        <f t="shared" si="386"/>
        <v>0</v>
      </c>
      <c r="N1260" s="22">
        <f t="shared" si="387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384"/>
        <v>0</v>
      </c>
      <c r="J1261" s="5"/>
      <c r="K1261" s="5"/>
      <c r="L1261" s="33">
        <f t="shared" si="385"/>
        <v>0</v>
      </c>
      <c r="M1261" s="33">
        <f t="shared" si="386"/>
        <v>0</v>
      </c>
      <c r="N1261" s="22">
        <f t="shared" si="387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384"/>
        <v>0</v>
      </c>
      <c r="J1262" s="5"/>
      <c r="K1262" s="5"/>
      <c r="L1262" s="33">
        <f t="shared" si="385"/>
        <v>0</v>
      </c>
      <c r="M1262" s="33">
        <f t="shared" si="386"/>
        <v>0</v>
      </c>
      <c r="N1262" s="22">
        <f t="shared" si="387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384"/>
        <v>0</v>
      </c>
      <c r="J1263" s="5"/>
      <c r="K1263" s="5"/>
      <c r="L1263" s="33">
        <f t="shared" si="385"/>
        <v>0</v>
      </c>
      <c r="M1263" s="33">
        <f t="shared" si="386"/>
        <v>0</v>
      </c>
      <c r="N1263" s="22">
        <f t="shared" si="387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384"/>
        <v>0</v>
      </c>
      <c r="J1264" s="5"/>
      <c r="K1264" s="5"/>
      <c r="L1264" s="33">
        <f t="shared" si="385"/>
        <v>0</v>
      </c>
      <c r="M1264" s="33">
        <f t="shared" si="386"/>
        <v>0</v>
      </c>
      <c r="N1264" s="22">
        <f t="shared" si="387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384"/>
        <v>4.0000000000000036</v>
      </c>
      <c r="J1265" s="5"/>
      <c r="K1265" s="5"/>
      <c r="L1265" s="33">
        <f t="shared" si="385"/>
        <v>521.2000000000005</v>
      </c>
      <c r="M1265" s="33">
        <f t="shared" si="386"/>
        <v>521.2000000000005</v>
      </c>
      <c r="N1265" s="22">
        <f t="shared" si="387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384"/>
        <v>8.0000000000000071</v>
      </c>
      <c r="J1266" s="5"/>
      <c r="K1266" s="5"/>
      <c r="L1266" s="33">
        <f t="shared" si="385"/>
        <v>940.35000000000082</v>
      </c>
      <c r="M1266" s="33">
        <f t="shared" si="386"/>
        <v>940.35000000000082</v>
      </c>
      <c r="N1266" s="22">
        <f t="shared" si="387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384"/>
        <v>8</v>
      </c>
      <c r="J1267" s="5"/>
      <c r="K1267" s="5"/>
      <c r="L1267" s="33">
        <f t="shared" si="385"/>
        <v>1042</v>
      </c>
      <c r="M1267" s="33">
        <f t="shared" si="386"/>
        <v>1042</v>
      </c>
      <c r="N1267" s="22">
        <f t="shared" si="387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384"/>
        <v>8</v>
      </c>
      <c r="J1268" s="5"/>
      <c r="K1268" s="5"/>
      <c r="L1268" s="33">
        <f t="shared" si="385"/>
        <v>1042</v>
      </c>
      <c r="M1268" s="33">
        <f t="shared" si="386"/>
        <v>1042</v>
      </c>
      <c r="N1268" s="22">
        <f t="shared" si="387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384"/>
        <v>8</v>
      </c>
      <c r="J1269" s="5"/>
      <c r="K1269" s="5"/>
      <c r="L1269" s="33">
        <f t="shared" si="385"/>
        <v>1042</v>
      </c>
      <c r="M1269" s="33">
        <f t="shared" si="386"/>
        <v>1042</v>
      </c>
      <c r="N1269" s="22">
        <f t="shared" si="387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384"/>
        <v>8</v>
      </c>
      <c r="J1270" s="5"/>
      <c r="K1270" s="5"/>
      <c r="L1270" s="33">
        <f t="shared" si="385"/>
        <v>1042</v>
      </c>
      <c r="M1270" s="33">
        <f t="shared" si="386"/>
        <v>1042</v>
      </c>
      <c r="N1270" s="22">
        <f t="shared" si="387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384"/>
        <v>14</v>
      </c>
      <c r="J1271" s="5"/>
      <c r="K1271" s="5"/>
      <c r="L1271" s="33">
        <f t="shared" si="385"/>
        <v>1824.1999999999998</v>
      </c>
      <c r="M1271" s="33">
        <f t="shared" si="386"/>
        <v>1824.1999999999998</v>
      </c>
      <c r="N1271" s="22">
        <f t="shared" si="387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384"/>
        <v>56</v>
      </c>
      <c r="J1272" s="5"/>
      <c r="K1272" s="5"/>
      <c r="L1272" s="33">
        <f t="shared" si="385"/>
        <v>6582.45</v>
      </c>
      <c r="M1272" s="33">
        <f t="shared" si="386"/>
        <v>6582.45</v>
      </c>
      <c r="N1272" s="22">
        <f t="shared" si="387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384"/>
        <v>8</v>
      </c>
      <c r="J1273" s="5"/>
      <c r="K1273" s="5"/>
      <c r="L1273" s="33">
        <f t="shared" si="385"/>
        <v>1042</v>
      </c>
      <c r="M1273" s="33">
        <f t="shared" si="386"/>
        <v>1042</v>
      </c>
      <c r="N1273" s="22">
        <f t="shared" si="387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384"/>
        <v>40</v>
      </c>
      <c r="J1274" s="5"/>
      <c r="K1274" s="5"/>
      <c r="L1274" s="33">
        <f t="shared" si="385"/>
        <v>4702</v>
      </c>
      <c r="M1274" s="33">
        <f t="shared" si="386"/>
        <v>4702</v>
      </c>
      <c r="N1274" s="22">
        <f t="shared" si="387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384"/>
        <v>8</v>
      </c>
      <c r="J1275" s="5"/>
      <c r="K1275" s="5"/>
      <c r="L1275" s="33">
        <f t="shared" si="385"/>
        <v>1042</v>
      </c>
      <c r="M1275" s="33">
        <f t="shared" si="386"/>
        <v>1042</v>
      </c>
      <c r="N1275" s="22">
        <f t="shared" si="387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384"/>
        <v>8</v>
      </c>
      <c r="J1276" s="5"/>
      <c r="K1276" s="5"/>
      <c r="L1276" s="33">
        <f t="shared" si="385"/>
        <v>1042</v>
      </c>
      <c r="M1276" s="33">
        <f t="shared" si="386"/>
        <v>1042</v>
      </c>
      <c r="N1276" s="22">
        <f t="shared" si="387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384"/>
        <v>0</v>
      </c>
      <c r="J1277" s="5"/>
      <c r="K1277" s="5"/>
      <c r="L1277" s="33">
        <f t="shared" si="385"/>
        <v>0</v>
      </c>
      <c r="M1277" s="33">
        <f t="shared" si="386"/>
        <v>0</v>
      </c>
      <c r="N1277" s="22">
        <f t="shared" si="387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384"/>
        <v>0</v>
      </c>
      <c r="J1278" s="5"/>
      <c r="K1278" s="5"/>
      <c r="L1278" s="33">
        <f t="shared" si="385"/>
        <v>0</v>
      </c>
      <c r="M1278" s="33">
        <f t="shared" si="386"/>
        <v>0</v>
      </c>
      <c r="N1278" s="22">
        <f t="shared" si="387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384"/>
        <v>0</v>
      </c>
      <c r="J1279" s="5"/>
      <c r="K1279" s="5"/>
      <c r="L1279" s="33">
        <f t="shared" si="385"/>
        <v>0</v>
      </c>
      <c r="M1279" s="33">
        <f t="shared" si="386"/>
        <v>0</v>
      </c>
      <c r="N1279" s="22">
        <f t="shared" si="387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384"/>
        <v>0</v>
      </c>
      <c r="J1280" s="5"/>
      <c r="K1280" s="5"/>
      <c r="L1280" s="33">
        <f t="shared" si="385"/>
        <v>0</v>
      </c>
      <c r="M1280" s="33">
        <f t="shared" si="386"/>
        <v>0</v>
      </c>
      <c r="N1280" s="22">
        <f t="shared" si="387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384"/>
        <v>8</v>
      </c>
      <c r="J1281" s="5"/>
      <c r="K1281" s="5"/>
      <c r="L1281" s="33">
        <f t="shared" si="385"/>
        <v>1042</v>
      </c>
      <c r="M1281" s="33">
        <f t="shared" si="386"/>
        <v>1042</v>
      </c>
      <c r="N1281" s="22">
        <f t="shared" si="387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384"/>
        <v>8</v>
      </c>
      <c r="J1282" s="5"/>
      <c r="K1282" s="5"/>
      <c r="L1282" s="33">
        <f t="shared" si="385"/>
        <v>1042</v>
      </c>
      <c r="M1282" s="33">
        <f t="shared" si="386"/>
        <v>1042</v>
      </c>
      <c r="N1282" s="22">
        <f t="shared" si="387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384"/>
        <v>18.000000000000004</v>
      </c>
      <c r="J1283" s="5"/>
      <c r="K1283" s="5"/>
      <c r="L1283" s="33">
        <f t="shared" si="385"/>
        <v>2345.4000000000005</v>
      </c>
      <c r="M1283" s="33">
        <f t="shared" si="386"/>
        <v>2345.4000000000005</v>
      </c>
      <c r="N1283" s="22">
        <f t="shared" si="387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384"/>
        <v>24.000000000000004</v>
      </c>
      <c r="J1284" s="5"/>
      <c r="K1284" s="5"/>
      <c r="L1284" s="33">
        <f t="shared" si="385"/>
        <v>2821.2000000000003</v>
      </c>
      <c r="M1284" s="33">
        <f t="shared" si="386"/>
        <v>2821.2000000000003</v>
      </c>
      <c r="N1284" s="22">
        <f t="shared" si="387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384"/>
        <v>4</v>
      </c>
      <c r="J1285" s="5"/>
      <c r="K1285" s="5"/>
      <c r="L1285" s="33">
        <f t="shared" si="385"/>
        <v>521</v>
      </c>
      <c r="M1285" s="33">
        <f t="shared" si="386"/>
        <v>521</v>
      </c>
      <c r="N1285" s="22">
        <f t="shared" si="387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384"/>
        <v>4</v>
      </c>
      <c r="J1286" s="5"/>
      <c r="K1286" s="5"/>
      <c r="L1286" s="33">
        <f t="shared" si="385"/>
        <v>521</v>
      </c>
      <c r="M1286" s="33">
        <f t="shared" si="386"/>
        <v>521</v>
      </c>
      <c r="N1286" s="22">
        <f t="shared" si="387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384"/>
        <v>4</v>
      </c>
      <c r="J1287" s="5"/>
      <c r="K1287" s="5"/>
      <c r="L1287" s="33">
        <f t="shared" si="385"/>
        <v>521</v>
      </c>
      <c r="M1287" s="33">
        <f t="shared" si="386"/>
        <v>521</v>
      </c>
      <c r="N1287" s="22">
        <f t="shared" si="387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384"/>
        <v>4</v>
      </c>
      <c r="J1288" s="5"/>
      <c r="K1288" s="5"/>
      <c r="L1288" s="33">
        <f t="shared" si="385"/>
        <v>521</v>
      </c>
      <c r="M1288" s="33">
        <f t="shared" si="386"/>
        <v>521</v>
      </c>
      <c r="N1288" s="22">
        <f t="shared" si="387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384"/>
        <v>0</v>
      </c>
      <c r="J1289" s="5"/>
      <c r="K1289" s="5"/>
      <c r="L1289" s="33">
        <f t="shared" si="385"/>
        <v>0</v>
      </c>
      <c r="M1289" s="33">
        <f t="shared" si="386"/>
        <v>0</v>
      </c>
      <c r="N1289" s="22">
        <f t="shared" si="387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384"/>
        <v>0</v>
      </c>
      <c r="J1290" s="5"/>
      <c r="K1290" s="5"/>
      <c r="L1290" s="33">
        <f t="shared" si="385"/>
        <v>0</v>
      </c>
      <c r="M1290" s="33">
        <f t="shared" si="386"/>
        <v>0</v>
      </c>
      <c r="N1290" s="22">
        <f t="shared" si="387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384"/>
        <v>0</v>
      </c>
      <c r="J1291" s="5"/>
      <c r="K1291" s="5"/>
      <c r="L1291" s="33">
        <f t="shared" si="385"/>
        <v>0</v>
      </c>
      <c r="M1291" s="33">
        <f t="shared" si="386"/>
        <v>0</v>
      </c>
      <c r="N1291" s="22">
        <f t="shared" si="387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388">D1292*(1-H1292)</f>
        <v>0</v>
      </c>
      <c r="J1292" s="5"/>
      <c r="K1292" s="5"/>
      <c r="L1292" s="33">
        <f t="shared" ref="L1292:L1355" si="389">E1292*(1-H1292)</f>
        <v>0</v>
      </c>
      <c r="M1292" s="33">
        <f t="shared" ref="M1292:M1355" si="390">IF(J1292="",L1292,(E1292/D1292)*J1292)</f>
        <v>0</v>
      </c>
      <c r="N1292" s="22">
        <f t="shared" ref="N1292:N1355" si="391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388"/>
        <v>0</v>
      </c>
      <c r="J1293" s="5"/>
      <c r="K1293" s="5"/>
      <c r="L1293" s="33">
        <f t="shared" si="389"/>
        <v>0</v>
      </c>
      <c r="M1293" s="33">
        <f t="shared" si="390"/>
        <v>0</v>
      </c>
      <c r="N1293" s="22">
        <f t="shared" si="391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388"/>
        <v>0</v>
      </c>
      <c r="J1294" s="5"/>
      <c r="K1294" s="5"/>
      <c r="L1294" s="33">
        <f t="shared" si="389"/>
        <v>0</v>
      </c>
      <c r="M1294" s="33">
        <f t="shared" si="390"/>
        <v>0</v>
      </c>
      <c r="N1294" s="22">
        <f t="shared" si="391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388"/>
        <v>23.999999999999993</v>
      </c>
      <c r="J1295" s="5"/>
      <c r="K1295" s="5"/>
      <c r="L1295" s="33">
        <f t="shared" si="389"/>
        <v>3036.1999999999994</v>
      </c>
      <c r="M1295" s="33">
        <f t="shared" si="390"/>
        <v>3036.1999999999994</v>
      </c>
      <c r="N1295" s="22">
        <f t="shared" si="391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388"/>
        <v>29.999999999999993</v>
      </c>
      <c r="J1296" s="5"/>
      <c r="K1296" s="5"/>
      <c r="L1296" s="33">
        <f t="shared" si="389"/>
        <v>3423.6999999999994</v>
      </c>
      <c r="M1296" s="33">
        <f t="shared" si="390"/>
        <v>3423.6999999999994</v>
      </c>
      <c r="N1296" s="22">
        <f t="shared" si="391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388"/>
        <v>20</v>
      </c>
      <c r="J1297" s="5"/>
      <c r="K1297" s="5"/>
      <c r="L1297" s="33">
        <f t="shared" si="389"/>
        <v>2530</v>
      </c>
      <c r="M1297" s="33">
        <f t="shared" si="390"/>
        <v>2530</v>
      </c>
      <c r="N1297" s="22">
        <f t="shared" si="391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388"/>
        <v>20</v>
      </c>
      <c r="J1298" s="5"/>
      <c r="K1298" s="5"/>
      <c r="L1298" s="33">
        <f t="shared" si="389"/>
        <v>2282</v>
      </c>
      <c r="M1298" s="33">
        <f t="shared" si="390"/>
        <v>2282</v>
      </c>
      <c r="N1298" s="22">
        <f t="shared" si="391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388"/>
        <v>4</v>
      </c>
      <c r="J1299" s="5"/>
      <c r="K1299" s="5"/>
      <c r="L1299" s="33">
        <f t="shared" si="389"/>
        <v>521</v>
      </c>
      <c r="M1299" s="33">
        <f t="shared" si="390"/>
        <v>521</v>
      </c>
      <c r="N1299" s="22">
        <f t="shared" si="391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388"/>
        <v>4</v>
      </c>
      <c r="J1300" s="5"/>
      <c r="K1300" s="5"/>
      <c r="L1300" s="33">
        <f t="shared" si="389"/>
        <v>521</v>
      </c>
      <c r="M1300" s="33">
        <f t="shared" si="390"/>
        <v>521</v>
      </c>
      <c r="N1300" s="22">
        <f t="shared" si="391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388"/>
        <v>0</v>
      </c>
      <c r="J1301" s="5"/>
      <c r="K1301" s="5"/>
      <c r="L1301" s="33">
        <f t="shared" si="389"/>
        <v>0</v>
      </c>
      <c r="M1301" s="33">
        <f t="shared" si="390"/>
        <v>0</v>
      </c>
      <c r="N1301" s="22">
        <f t="shared" si="391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388"/>
        <v>0</v>
      </c>
      <c r="J1302" s="5"/>
      <c r="K1302" s="5"/>
      <c r="L1302" s="33">
        <f t="shared" si="389"/>
        <v>0</v>
      </c>
      <c r="M1302" s="33">
        <f t="shared" si="390"/>
        <v>0</v>
      </c>
      <c r="N1302" s="22">
        <f t="shared" si="391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388"/>
        <v>0</v>
      </c>
      <c r="J1303" s="5"/>
      <c r="K1303" s="5"/>
      <c r="L1303" s="33">
        <f t="shared" si="389"/>
        <v>0</v>
      </c>
      <c r="M1303" s="33">
        <f t="shared" si="390"/>
        <v>0</v>
      </c>
      <c r="N1303" s="22">
        <f t="shared" si="391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388"/>
        <v>0</v>
      </c>
      <c r="J1304" s="5"/>
      <c r="K1304" s="5"/>
      <c r="L1304" s="33">
        <f t="shared" si="389"/>
        <v>0</v>
      </c>
      <c r="M1304" s="33">
        <f t="shared" si="390"/>
        <v>0</v>
      </c>
      <c r="N1304" s="22">
        <f t="shared" si="391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388"/>
        <v>0</v>
      </c>
      <c r="J1305" s="5"/>
      <c r="K1305" s="5"/>
      <c r="L1305" s="33">
        <f t="shared" si="389"/>
        <v>0</v>
      </c>
      <c r="M1305" s="33">
        <f t="shared" si="390"/>
        <v>0</v>
      </c>
      <c r="N1305" s="22">
        <f t="shared" si="391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388"/>
        <v>0</v>
      </c>
      <c r="J1306" s="5"/>
      <c r="K1306" s="5"/>
      <c r="L1306" s="33">
        <f t="shared" si="389"/>
        <v>0</v>
      </c>
      <c r="M1306" s="33">
        <f t="shared" si="390"/>
        <v>0</v>
      </c>
      <c r="N1306" s="22">
        <f t="shared" si="391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388"/>
        <v>40</v>
      </c>
      <c r="J1307" s="5"/>
      <c r="K1307" s="5"/>
      <c r="L1307" s="33">
        <f t="shared" si="389"/>
        <v>4702</v>
      </c>
      <c r="M1307" s="33">
        <f t="shared" si="390"/>
        <v>4702</v>
      </c>
      <c r="N1307" s="22">
        <f t="shared" si="391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388"/>
        <v>40</v>
      </c>
      <c r="J1308" s="5"/>
      <c r="K1308" s="5"/>
      <c r="L1308" s="33">
        <f t="shared" si="389"/>
        <v>5212</v>
      </c>
      <c r="M1308" s="33">
        <f t="shared" si="390"/>
        <v>5212</v>
      </c>
      <c r="N1308" s="22">
        <f t="shared" si="391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388"/>
        <v>40</v>
      </c>
      <c r="J1309" s="5"/>
      <c r="K1309" s="5"/>
      <c r="L1309" s="33">
        <f t="shared" si="389"/>
        <v>5212</v>
      </c>
      <c r="M1309" s="33">
        <f t="shared" si="390"/>
        <v>5212</v>
      </c>
      <c r="N1309" s="22">
        <f t="shared" si="391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388"/>
        <v>20</v>
      </c>
      <c r="J1310" s="5"/>
      <c r="K1310" s="5"/>
      <c r="L1310" s="33">
        <f t="shared" si="389"/>
        <v>2351</v>
      </c>
      <c r="M1310" s="33">
        <f t="shared" si="390"/>
        <v>2351</v>
      </c>
      <c r="N1310" s="22">
        <f t="shared" si="391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388"/>
        <v>20</v>
      </c>
      <c r="J1311" s="5"/>
      <c r="K1311" s="5"/>
      <c r="L1311" s="33">
        <f t="shared" si="389"/>
        <v>2606</v>
      </c>
      <c r="M1311" s="33">
        <f t="shared" si="390"/>
        <v>2606</v>
      </c>
      <c r="N1311" s="22">
        <f t="shared" si="391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388"/>
        <v>20</v>
      </c>
      <c r="J1312" s="5"/>
      <c r="K1312" s="5"/>
      <c r="L1312" s="33">
        <f t="shared" si="389"/>
        <v>2606</v>
      </c>
      <c r="M1312" s="33">
        <f t="shared" si="390"/>
        <v>2606</v>
      </c>
      <c r="N1312" s="22">
        <f t="shared" si="391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388"/>
        <v>20</v>
      </c>
      <c r="J1313" s="5"/>
      <c r="K1313" s="5"/>
      <c r="L1313" s="33">
        <f t="shared" si="389"/>
        <v>2351</v>
      </c>
      <c r="M1313" s="33">
        <f t="shared" si="390"/>
        <v>2351</v>
      </c>
      <c r="N1313" s="22">
        <f t="shared" si="391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388"/>
        <v>20</v>
      </c>
      <c r="J1314" s="5"/>
      <c r="K1314" s="5"/>
      <c r="L1314" s="33">
        <f t="shared" si="389"/>
        <v>2606</v>
      </c>
      <c r="M1314" s="33">
        <f t="shared" si="390"/>
        <v>2606</v>
      </c>
      <c r="N1314" s="22">
        <f t="shared" si="391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388"/>
        <v>20</v>
      </c>
      <c r="J1315" s="5"/>
      <c r="K1315" s="5"/>
      <c r="L1315" s="33">
        <f t="shared" si="389"/>
        <v>2606</v>
      </c>
      <c r="M1315" s="33">
        <f t="shared" si="390"/>
        <v>2606</v>
      </c>
      <c r="N1315" s="22">
        <f t="shared" si="391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388"/>
        <v>10</v>
      </c>
      <c r="J1316" s="5"/>
      <c r="K1316" s="5"/>
      <c r="L1316" s="33">
        <f t="shared" si="389"/>
        <v>1175</v>
      </c>
      <c r="M1316" s="33">
        <f t="shared" si="390"/>
        <v>1175</v>
      </c>
      <c r="N1316" s="22">
        <f t="shared" si="391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388"/>
        <v>10</v>
      </c>
      <c r="J1317" s="5"/>
      <c r="K1317" s="5"/>
      <c r="L1317" s="33">
        <f t="shared" si="389"/>
        <v>1303</v>
      </c>
      <c r="M1317" s="33">
        <f t="shared" si="390"/>
        <v>1303</v>
      </c>
      <c r="N1317" s="22">
        <f t="shared" si="391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388"/>
        <v>10</v>
      </c>
      <c r="J1318" s="5"/>
      <c r="K1318" s="5"/>
      <c r="L1318" s="33">
        <f t="shared" si="389"/>
        <v>1303</v>
      </c>
      <c r="M1318" s="33">
        <f t="shared" si="390"/>
        <v>1303</v>
      </c>
      <c r="N1318" s="22">
        <f t="shared" si="391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388"/>
        <v>0</v>
      </c>
      <c r="J1319" s="5"/>
      <c r="K1319" s="5"/>
      <c r="L1319" s="33">
        <f t="shared" si="389"/>
        <v>0</v>
      </c>
      <c r="M1319" s="33">
        <f t="shared" si="390"/>
        <v>0</v>
      </c>
      <c r="N1319" s="22">
        <f t="shared" si="391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388"/>
        <v>0</v>
      </c>
      <c r="J1320" s="5"/>
      <c r="K1320" s="5"/>
      <c r="L1320" s="33">
        <f t="shared" si="389"/>
        <v>0</v>
      </c>
      <c r="M1320" s="33">
        <f t="shared" si="390"/>
        <v>0</v>
      </c>
      <c r="N1320" s="22">
        <f t="shared" si="391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388"/>
        <v>0</v>
      </c>
      <c r="J1321" s="5"/>
      <c r="K1321" s="5"/>
      <c r="L1321" s="33">
        <f t="shared" si="389"/>
        <v>0</v>
      </c>
      <c r="M1321" s="33">
        <f t="shared" si="390"/>
        <v>0</v>
      </c>
      <c r="N1321" s="22">
        <f t="shared" si="391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388"/>
        <v>40</v>
      </c>
      <c r="J1322" s="5"/>
      <c r="K1322" s="5"/>
      <c r="L1322" s="33">
        <f t="shared" si="389"/>
        <v>4702</v>
      </c>
      <c r="M1322" s="33">
        <f t="shared" si="390"/>
        <v>4702</v>
      </c>
      <c r="N1322" s="22">
        <f t="shared" si="391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388"/>
        <v>40</v>
      </c>
      <c r="J1323" s="5"/>
      <c r="K1323" s="5"/>
      <c r="L1323" s="33">
        <f t="shared" si="389"/>
        <v>5212</v>
      </c>
      <c r="M1323" s="33">
        <f t="shared" si="390"/>
        <v>5212</v>
      </c>
      <c r="N1323" s="22">
        <f t="shared" si="391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388"/>
        <v>40</v>
      </c>
      <c r="J1324" s="5"/>
      <c r="K1324" s="5"/>
      <c r="L1324" s="33">
        <f t="shared" si="389"/>
        <v>5212</v>
      </c>
      <c r="M1324" s="33">
        <f t="shared" si="390"/>
        <v>5212</v>
      </c>
      <c r="N1324" s="22">
        <f t="shared" si="391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388"/>
        <v>0</v>
      </c>
      <c r="J1325" s="5"/>
      <c r="K1325" s="5"/>
      <c r="L1325" s="33">
        <f t="shared" si="389"/>
        <v>0</v>
      </c>
      <c r="M1325" s="33">
        <f t="shared" si="390"/>
        <v>0</v>
      </c>
      <c r="N1325" s="22">
        <f t="shared" si="391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388"/>
        <v>0</v>
      </c>
      <c r="J1326" s="5"/>
      <c r="K1326" s="5"/>
      <c r="L1326" s="33">
        <f t="shared" si="389"/>
        <v>0</v>
      </c>
      <c r="M1326" s="33">
        <f t="shared" si="390"/>
        <v>0</v>
      </c>
      <c r="N1326" s="22">
        <f t="shared" si="391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388"/>
        <v>0</v>
      </c>
      <c r="J1327" s="5"/>
      <c r="K1327" s="5"/>
      <c r="L1327" s="33">
        <f t="shared" si="389"/>
        <v>0</v>
      </c>
      <c r="M1327" s="33">
        <f t="shared" si="390"/>
        <v>0</v>
      </c>
      <c r="N1327" s="22">
        <f t="shared" si="391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388"/>
        <v>0</v>
      </c>
      <c r="J1328" s="5"/>
      <c r="K1328" s="5"/>
      <c r="L1328" s="33">
        <f t="shared" si="389"/>
        <v>0</v>
      </c>
      <c r="M1328" s="33">
        <f t="shared" si="390"/>
        <v>0</v>
      </c>
      <c r="N1328" s="22">
        <f t="shared" si="391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388"/>
        <v>20</v>
      </c>
      <c r="J1329" s="5"/>
      <c r="K1329" s="5"/>
      <c r="L1329" s="33">
        <f t="shared" si="389"/>
        <v>2606</v>
      </c>
      <c r="M1329" s="33">
        <f t="shared" si="390"/>
        <v>2606</v>
      </c>
      <c r="N1329" s="22">
        <f t="shared" si="391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388"/>
        <v>20</v>
      </c>
      <c r="J1330" s="5"/>
      <c r="K1330" s="5"/>
      <c r="L1330" s="33">
        <f t="shared" si="389"/>
        <v>2606</v>
      </c>
      <c r="M1330" s="33">
        <f t="shared" si="390"/>
        <v>2606</v>
      </c>
      <c r="N1330" s="22">
        <f t="shared" si="391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388"/>
        <v>20</v>
      </c>
      <c r="J1331" s="5"/>
      <c r="K1331" s="5"/>
      <c r="L1331" s="33">
        <f t="shared" si="389"/>
        <v>2606</v>
      </c>
      <c r="M1331" s="33">
        <f t="shared" si="390"/>
        <v>2606</v>
      </c>
      <c r="N1331" s="22">
        <f t="shared" si="391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388"/>
        <v>20</v>
      </c>
      <c r="J1332" s="5"/>
      <c r="K1332" s="5"/>
      <c r="L1332" s="33">
        <f t="shared" si="389"/>
        <v>2606</v>
      </c>
      <c r="M1332" s="33">
        <f t="shared" si="390"/>
        <v>2606</v>
      </c>
      <c r="N1332" s="22">
        <f t="shared" si="391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388"/>
        <v>20</v>
      </c>
      <c r="J1333" s="5"/>
      <c r="K1333" s="5"/>
      <c r="L1333" s="33">
        <f t="shared" si="389"/>
        <v>2606</v>
      </c>
      <c r="M1333" s="33">
        <f t="shared" si="390"/>
        <v>2606</v>
      </c>
      <c r="N1333" s="22">
        <f t="shared" si="391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388"/>
        <v>20</v>
      </c>
      <c r="J1334" s="5"/>
      <c r="K1334" s="5"/>
      <c r="L1334" s="33">
        <f t="shared" si="389"/>
        <v>2606</v>
      </c>
      <c r="M1334" s="33">
        <f t="shared" si="390"/>
        <v>2606</v>
      </c>
      <c r="N1334" s="22">
        <f t="shared" si="391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388"/>
        <v>10</v>
      </c>
      <c r="J1335" s="5"/>
      <c r="K1335" s="5"/>
      <c r="L1335" s="33">
        <f t="shared" si="389"/>
        <v>1303</v>
      </c>
      <c r="M1335" s="33">
        <f t="shared" si="390"/>
        <v>1303</v>
      </c>
      <c r="N1335" s="22">
        <f t="shared" si="391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388"/>
        <v>10</v>
      </c>
      <c r="J1336" s="5"/>
      <c r="K1336" s="5"/>
      <c r="L1336" s="33">
        <f t="shared" si="389"/>
        <v>1303</v>
      </c>
      <c r="M1336" s="33">
        <f t="shared" si="390"/>
        <v>1303</v>
      </c>
      <c r="N1336" s="22">
        <f t="shared" si="391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388"/>
        <v>0</v>
      </c>
      <c r="J1337" s="5"/>
      <c r="K1337" s="5"/>
      <c r="L1337" s="33">
        <f t="shared" si="389"/>
        <v>0</v>
      </c>
      <c r="M1337" s="33">
        <f t="shared" si="390"/>
        <v>0</v>
      </c>
      <c r="N1337" s="22">
        <f t="shared" si="391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388"/>
        <v>0</v>
      </c>
      <c r="J1338" s="5"/>
      <c r="K1338" s="5"/>
      <c r="L1338" s="33">
        <f t="shared" si="389"/>
        <v>0</v>
      </c>
      <c r="M1338" s="33">
        <f t="shared" si="390"/>
        <v>0</v>
      </c>
      <c r="N1338" s="22">
        <f t="shared" si="391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388"/>
        <v>20</v>
      </c>
      <c r="J1339" s="5"/>
      <c r="K1339" s="5"/>
      <c r="L1339" s="33">
        <f t="shared" si="389"/>
        <v>2606</v>
      </c>
      <c r="M1339" s="33">
        <f t="shared" si="390"/>
        <v>2606</v>
      </c>
      <c r="N1339" s="22">
        <f t="shared" si="391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388"/>
        <v>20</v>
      </c>
      <c r="J1340" s="5"/>
      <c r="K1340" s="5"/>
      <c r="L1340" s="33">
        <f t="shared" si="389"/>
        <v>2606</v>
      </c>
      <c r="M1340" s="33">
        <f t="shared" si="390"/>
        <v>2606</v>
      </c>
      <c r="N1340" s="22">
        <f t="shared" si="391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388"/>
        <v>25000</v>
      </c>
      <c r="J1341" s="5"/>
      <c r="K1341" s="5"/>
      <c r="L1341" s="33">
        <f t="shared" si="389"/>
        <v>29017</v>
      </c>
      <c r="M1341" s="33">
        <f t="shared" si="390"/>
        <v>29017</v>
      </c>
      <c r="N1341" s="22">
        <f t="shared" si="391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388"/>
        <v>0</v>
      </c>
      <c r="J1342" s="5"/>
      <c r="K1342" s="5"/>
      <c r="L1342" s="33">
        <f t="shared" si="389"/>
        <v>0</v>
      </c>
      <c r="M1342" s="33">
        <f t="shared" si="390"/>
        <v>0</v>
      </c>
      <c r="N1342" s="22">
        <f t="shared" si="391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388"/>
        <v>50000</v>
      </c>
      <c r="J1343" s="5"/>
      <c r="K1343" s="5"/>
      <c r="L1343" s="33">
        <f t="shared" si="389"/>
        <v>58034</v>
      </c>
      <c r="M1343" s="33">
        <f t="shared" si="390"/>
        <v>58034</v>
      </c>
      <c r="N1343" s="22">
        <f t="shared" si="391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388"/>
        <v>50000</v>
      </c>
      <c r="J1344" s="5"/>
      <c r="K1344" s="5"/>
      <c r="L1344" s="33">
        <f t="shared" si="389"/>
        <v>58034</v>
      </c>
      <c r="M1344" s="33">
        <f t="shared" si="390"/>
        <v>58034</v>
      </c>
      <c r="N1344" s="22">
        <f t="shared" si="391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388"/>
        <v>50000</v>
      </c>
      <c r="J1345" s="5"/>
      <c r="K1345" s="5"/>
      <c r="L1345" s="33">
        <f t="shared" si="389"/>
        <v>58034</v>
      </c>
      <c r="M1345" s="33">
        <f t="shared" si="390"/>
        <v>58034</v>
      </c>
      <c r="N1345" s="22">
        <f t="shared" si="391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388"/>
        <v>10000</v>
      </c>
      <c r="J1346" s="5"/>
      <c r="K1346" s="5"/>
      <c r="L1346" s="33">
        <f t="shared" si="389"/>
        <v>11607</v>
      </c>
      <c r="M1346" s="33">
        <f t="shared" si="390"/>
        <v>11607</v>
      </c>
      <c r="N1346" s="22">
        <f t="shared" si="391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388"/>
        <v>225000</v>
      </c>
      <c r="J1347" s="5"/>
      <c r="K1347" s="5"/>
      <c r="L1347" s="33">
        <f t="shared" si="389"/>
        <v>261153.75</v>
      </c>
      <c r="M1347" s="33">
        <f t="shared" si="390"/>
        <v>261153.75</v>
      </c>
      <c r="N1347" s="22">
        <f t="shared" si="391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388"/>
        <v>25000</v>
      </c>
      <c r="J1348" s="5"/>
      <c r="K1348" s="5"/>
      <c r="L1348" s="33">
        <f t="shared" si="389"/>
        <v>29017</v>
      </c>
      <c r="M1348" s="33">
        <f t="shared" si="390"/>
        <v>29017</v>
      </c>
      <c r="N1348" s="22">
        <f t="shared" si="391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388"/>
        <v>20</v>
      </c>
      <c r="J1349" s="5"/>
      <c r="K1349" s="5"/>
      <c r="L1349" s="33">
        <f t="shared" si="389"/>
        <v>2351</v>
      </c>
      <c r="M1349" s="33">
        <f t="shared" si="390"/>
        <v>2351</v>
      </c>
      <c r="N1349" s="22">
        <f t="shared" si="391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388"/>
        <v>20</v>
      </c>
      <c r="J1350" s="5"/>
      <c r="K1350" s="5"/>
      <c r="L1350" s="33">
        <f t="shared" si="389"/>
        <v>2606</v>
      </c>
      <c r="M1350" s="33">
        <f t="shared" si="390"/>
        <v>2606</v>
      </c>
      <c r="N1350" s="22">
        <f t="shared" si="391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388"/>
        <v>0</v>
      </c>
      <c r="J1351" s="5"/>
      <c r="K1351" s="5"/>
      <c r="L1351" s="33">
        <f t="shared" si="389"/>
        <v>0</v>
      </c>
      <c r="M1351" s="33">
        <f t="shared" si="390"/>
        <v>0</v>
      </c>
      <c r="N1351" s="22">
        <f t="shared" si="391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388"/>
        <v>0</v>
      </c>
      <c r="J1352" s="5"/>
      <c r="K1352" s="5"/>
      <c r="L1352" s="33">
        <f t="shared" si="389"/>
        <v>0</v>
      </c>
      <c r="M1352" s="33">
        <f t="shared" si="390"/>
        <v>0</v>
      </c>
      <c r="N1352" s="22">
        <f t="shared" si="391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388"/>
        <v>40</v>
      </c>
      <c r="J1353" s="5"/>
      <c r="K1353" s="5"/>
      <c r="L1353" s="33">
        <f t="shared" si="389"/>
        <v>4702</v>
      </c>
      <c r="M1353" s="33">
        <f t="shared" si="390"/>
        <v>4702</v>
      </c>
      <c r="N1353" s="22">
        <f t="shared" si="391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388"/>
        <v>40</v>
      </c>
      <c r="J1354" s="5"/>
      <c r="K1354" s="5"/>
      <c r="L1354" s="33">
        <f t="shared" si="389"/>
        <v>5212</v>
      </c>
      <c r="M1354" s="33">
        <f t="shared" si="390"/>
        <v>5212</v>
      </c>
      <c r="N1354" s="22">
        <f t="shared" si="391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388"/>
        <v>20</v>
      </c>
      <c r="J1355" s="5"/>
      <c r="K1355" s="5"/>
      <c r="L1355" s="33">
        <f t="shared" si="389"/>
        <v>2351</v>
      </c>
      <c r="M1355" s="33">
        <f t="shared" si="390"/>
        <v>2351</v>
      </c>
      <c r="N1355" s="22">
        <f t="shared" si="391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392">D1356*(1-H1356)</f>
        <v>20</v>
      </c>
      <c r="J1356" s="5"/>
      <c r="K1356" s="5"/>
      <c r="L1356" s="33">
        <f t="shared" ref="L1356:L1370" si="393">E1356*(1-H1356)</f>
        <v>2606</v>
      </c>
      <c r="M1356" s="33">
        <f t="shared" ref="M1356:M1370" si="394">IF(J1356="",L1356,(E1356/D1356)*J1356)</f>
        <v>2606</v>
      </c>
      <c r="N1356" s="22">
        <f t="shared" ref="N1356:N1370" si="395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392"/>
        <v>20</v>
      </c>
      <c r="J1357" s="5"/>
      <c r="K1357" s="5"/>
      <c r="L1357" s="33">
        <f t="shared" si="393"/>
        <v>2351</v>
      </c>
      <c r="M1357" s="33">
        <f t="shared" si="394"/>
        <v>2351</v>
      </c>
      <c r="N1357" s="22">
        <f t="shared" si="395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392"/>
        <v>20</v>
      </c>
      <c r="J1358" s="5"/>
      <c r="K1358" s="5"/>
      <c r="L1358" s="33">
        <f t="shared" si="393"/>
        <v>2606</v>
      </c>
      <c r="M1358" s="33">
        <f t="shared" si="394"/>
        <v>2606</v>
      </c>
      <c r="N1358" s="22">
        <f t="shared" si="395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392"/>
        <v>10</v>
      </c>
      <c r="J1359" s="5"/>
      <c r="K1359" s="5"/>
      <c r="L1359" s="33">
        <f t="shared" si="393"/>
        <v>1175</v>
      </c>
      <c r="M1359" s="33">
        <f t="shared" si="394"/>
        <v>1175</v>
      </c>
      <c r="N1359" s="22">
        <f t="shared" si="395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392"/>
        <v>10</v>
      </c>
      <c r="J1360" s="5"/>
      <c r="K1360" s="5"/>
      <c r="L1360" s="33">
        <f t="shared" si="393"/>
        <v>1303</v>
      </c>
      <c r="M1360" s="33">
        <f t="shared" si="394"/>
        <v>1303</v>
      </c>
      <c r="N1360" s="22">
        <f t="shared" si="395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392"/>
        <v>80</v>
      </c>
      <c r="J1361" s="5"/>
      <c r="K1361" s="5"/>
      <c r="L1361" s="33">
        <f t="shared" si="393"/>
        <v>9404</v>
      </c>
      <c r="M1361" s="33">
        <f t="shared" si="394"/>
        <v>9404</v>
      </c>
      <c r="N1361" s="22">
        <f t="shared" si="395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392"/>
        <v>40</v>
      </c>
      <c r="J1362" s="5"/>
      <c r="K1362" s="5"/>
      <c r="L1362" s="33">
        <f t="shared" si="393"/>
        <v>5212</v>
      </c>
      <c r="M1362" s="33">
        <f t="shared" si="394"/>
        <v>5212</v>
      </c>
      <c r="N1362" s="22">
        <f t="shared" si="395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392"/>
        <v>40</v>
      </c>
      <c r="J1363" s="5"/>
      <c r="K1363" s="5"/>
      <c r="L1363" s="33">
        <f t="shared" si="393"/>
        <v>4702</v>
      </c>
      <c r="M1363" s="33">
        <f t="shared" si="394"/>
        <v>4702</v>
      </c>
      <c r="N1363" s="22">
        <f t="shared" si="395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392"/>
        <v>40</v>
      </c>
      <c r="J1364" s="5"/>
      <c r="K1364" s="5"/>
      <c r="L1364" s="33">
        <f t="shared" si="393"/>
        <v>5212</v>
      </c>
      <c r="M1364" s="33">
        <f t="shared" si="394"/>
        <v>5212</v>
      </c>
      <c r="N1364" s="22">
        <f t="shared" si="395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392"/>
        <v>0</v>
      </c>
      <c r="J1365" s="5"/>
      <c r="K1365" s="5"/>
      <c r="L1365" s="33">
        <f t="shared" si="393"/>
        <v>0</v>
      </c>
      <c r="M1365" s="33">
        <f t="shared" si="394"/>
        <v>0</v>
      </c>
      <c r="N1365" s="22">
        <f t="shared" si="395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392"/>
        <v>0</v>
      </c>
      <c r="J1366" s="5"/>
      <c r="K1366" s="5"/>
      <c r="L1366" s="33">
        <f t="shared" si="393"/>
        <v>0</v>
      </c>
      <c r="M1366" s="33">
        <f t="shared" si="394"/>
        <v>0</v>
      </c>
      <c r="N1366" s="22">
        <f t="shared" si="395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392"/>
        <v>0</v>
      </c>
      <c r="J1367" s="5"/>
      <c r="K1367" s="5"/>
      <c r="L1367" s="33">
        <f t="shared" si="393"/>
        <v>0</v>
      </c>
      <c r="M1367" s="33">
        <f t="shared" si="394"/>
        <v>0</v>
      </c>
      <c r="N1367" s="22">
        <f t="shared" si="395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392"/>
        <v>80</v>
      </c>
      <c r="J1368" s="5"/>
      <c r="K1368" s="5"/>
      <c r="L1368" s="33">
        <f t="shared" si="393"/>
        <v>9404</v>
      </c>
      <c r="M1368" s="33">
        <f t="shared" si="394"/>
        <v>9404</v>
      </c>
      <c r="N1368" s="22">
        <f t="shared" si="395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392"/>
        <v>40</v>
      </c>
      <c r="J1369" s="5"/>
      <c r="K1369" s="5"/>
      <c r="L1369" s="33">
        <f t="shared" si="393"/>
        <v>5212</v>
      </c>
      <c r="M1369" s="33">
        <f t="shared" si="394"/>
        <v>5212</v>
      </c>
      <c r="N1369" s="22">
        <f t="shared" si="395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392"/>
        <v>40</v>
      </c>
      <c r="J1370" s="5"/>
      <c r="K1370" s="5"/>
      <c r="L1370" s="33">
        <f t="shared" si="393"/>
        <v>6067</v>
      </c>
      <c r="M1370" s="33">
        <f t="shared" si="394"/>
        <v>6067</v>
      </c>
      <c r="N1370" s="22">
        <f t="shared" si="395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396">D1372*(1-H1372)</f>
        <v>0</v>
      </c>
      <c r="J1372" s="5"/>
      <c r="K1372" s="5"/>
      <c r="L1372" s="33">
        <f t="shared" ref="L1372:L1378" si="397">E1372*(1-H1372)</f>
        <v>0</v>
      </c>
      <c r="M1372" s="33">
        <f t="shared" ref="M1372:M1378" si="398">IF(J1372="",L1372,(E1372/D1372)*J1372)</f>
        <v>0</v>
      </c>
      <c r="N1372" s="22">
        <f t="shared" ref="N1372:N1378" si="399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396"/>
        <v>0</v>
      </c>
      <c r="J1373" s="5"/>
      <c r="K1373" s="5"/>
      <c r="L1373" s="33">
        <f t="shared" si="397"/>
        <v>0</v>
      </c>
      <c r="M1373" s="33">
        <f t="shared" si="398"/>
        <v>0</v>
      </c>
      <c r="N1373" s="22">
        <f t="shared" si="399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396"/>
        <v>0</v>
      </c>
      <c r="J1374" s="5"/>
      <c r="K1374" s="5"/>
      <c r="L1374" s="33">
        <f t="shared" si="397"/>
        <v>0</v>
      </c>
      <c r="M1374" s="33">
        <f t="shared" si="398"/>
        <v>0</v>
      </c>
      <c r="N1374" s="22">
        <f t="shared" si="399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396"/>
        <v>0</v>
      </c>
      <c r="J1375" s="5"/>
      <c r="K1375" s="5"/>
      <c r="L1375" s="33">
        <f t="shared" si="397"/>
        <v>0</v>
      </c>
      <c r="M1375" s="33">
        <f t="shared" si="398"/>
        <v>0</v>
      </c>
      <c r="N1375" s="22">
        <f t="shared" si="399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396"/>
        <v>0</v>
      </c>
      <c r="J1376" s="5"/>
      <c r="K1376" s="5"/>
      <c r="L1376" s="33">
        <f t="shared" si="397"/>
        <v>0</v>
      </c>
      <c r="M1376" s="33">
        <f t="shared" si="398"/>
        <v>0</v>
      </c>
      <c r="N1376" s="22">
        <f t="shared" si="399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396"/>
        <v>0</v>
      </c>
      <c r="J1377" s="5"/>
      <c r="K1377" s="5"/>
      <c r="L1377" s="33">
        <f t="shared" si="397"/>
        <v>0</v>
      </c>
      <c r="M1377" s="33">
        <f t="shared" si="398"/>
        <v>0</v>
      </c>
      <c r="N1377" s="22">
        <f t="shared" si="399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396"/>
        <v>0</v>
      </c>
      <c r="J1378" s="5"/>
      <c r="K1378" s="5"/>
      <c r="L1378" s="33">
        <f t="shared" si="397"/>
        <v>0</v>
      </c>
      <c r="M1378" s="33">
        <f t="shared" si="398"/>
        <v>0</v>
      </c>
      <c r="N1378" s="22">
        <f t="shared" si="399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400">D1380*(1-H1380)</f>
        <v>0</v>
      </c>
      <c r="J1380" s="5"/>
      <c r="K1380" s="5"/>
      <c r="L1380" s="33">
        <f t="shared" ref="L1380:L1427" si="401">E1380*(1-H1380)</f>
        <v>0</v>
      </c>
      <c r="M1380" s="33">
        <f t="shared" ref="M1380:M1427" si="402">IF(J1380="",L1380,(E1380/D1380)*J1380)</f>
        <v>0</v>
      </c>
      <c r="N1380" s="22">
        <f t="shared" ref="N1380:N1427" si="403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400"/>
        <v>0</v>
      </c>
      <c r="J1381" s="5"/>
      <c r="K1381" s="5"/>
      <c r="L1381" s="33">
        <f t="shared" si="401"/>
        <v>0</v>
      </c>
      <c r="M1381" s="33">
        <f t="shared" si="402"/>
        <v>0</v>
      </c>
      <c r="N1381" s="22">
        <f t="shared" si="403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400"/>
        <v>0</v>
      </c>
      <c r="J1382" s="5"/>
      <c r="K1382" s="5"/>
      <c r="L1382" s="33">
        <f t="shared" si="401"/>
        <v>0</v>
      </c>
      <c r="M1382" s="33">
        <f t="shared" si="402"/>
        <v>0</v>
      </c>
      <c r="N1382" s="22">
        <f t="shared" si="403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400"/>
        <v>0</v>
      </c>
      <c r="J1383" s="5"/>
      <c r="K1383" s="5"/>
      <c r="L1383" s="33">
        <f t="shared" si="401"/>
        <v>0</v>
      </c>
      <c r="M1383" s="33">
        <f t="shared" si="402"/>
        <v>0</v>
      </c>
      <c r="N1383" s="22">
        <f t="shared" si="403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400"/>
        <v>0</v>
      </c>
      <c r="J1384" s="5"/>
      <c r="K1384" s="5"/>
      <c r="L1384" s="33">
        <f t="shared" si="401"/>
        <v>0</v>
      </c>
      <c r="M1384" s="33">
        <f t="shared" si="402"/>
        <v>0</v>
      </c>
      <c r="N1384" s="22">
        <f t="shared" si="403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400"/>
        <v>0</v>
      </c>
      <c r="J1385" s="5"/>
      <c r="K1385" s="5"/>
      <c r="L1385" s="33">
        <f t="shared" si="401"/>
        <v>0</v>
      </c>
      <c r="M1385" s="33">
        <f t="shared" si="402"/>
        <v>0</v>
      </c>
      <c r="N1385" s="22">
        <f t="shared" si="403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400"/>
        <v>0</v>
      </c>
      <c r="J1386" s="5"/>
      <c r="K1386" s="5"/>
      <c r="L1386" s="33">
        <f t="shared" si="401"/>
        <v>0</v>
      </c>
      <c r="M1386" s="33">
        <f t="shared" si="402"/>
        <v>0</v>
      </c>
      <c r="N1386" s="22">
        <f t="shared" si="403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400"/>
        <v>0</v>
      </c>
      <c r="J1387" s="5"/>
      <c r="K1387" s="5"/>
      <c r="L1387" s="33">
        <f t="shared" si="401"/>
        <v>0</v>
      </c>
      <c r="M1387" s="33">
        <f t="shared" si="402"/>
        <v>0</v>
      </c>
      <c r="N1387" s="22">
        <f t="shared" si="403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400"/>
        <v>0</v>
      </c>
      <c r="J1388" s="5"/>
      <c r="K1388" s="5"/>
      <c r="L1388" s="33">
        <f t="shared" si="401"/>
        <v>0</v>
      </c>
      <c r="M1388" s="33">
        <f t="shared" si="402"/>
        <v>0</v>
      </c>
      <c r="N1388" s="22">
        <f t="shared" si="403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400"/>
        <v>0</v>
      </c>
      <c r="J1389" s="5"/>
      <c r="K1389" s="5"/>
      <c r="L1389" s="33">
        <f t="shared" si="401"/>
        <v>0</v>
      </c>
      <c r="M1389" s="33">
        <f t="shared" si="402"/>
        <v>0</v>
      </c>
      <c r="N1389" s="22">
        <f t="shared" si="403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400"/>
        <v>890262</v>
      </c>
      <c r="J1390" s="5"/>
      <c r="K1390" s="5"/>
      <c r="L1390" s="33">
        <f t="shared" si="401"/>
        <v>993188</v>
      </c>
      <c r="M1390" s="33">
        <f t="shared" si="402"/>
        <v>993188</v>
      </c>
      <c r="N1390" s="22">
        <f t="shared" si="403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400"/>
        <v>0</v>
      </c>
      <c r="J1391" s="5"/>
      <c r="K1391" s="5"/>
      <c r="L1391" s="33">
        <f t="shared" si="401"/>
        <v>0</v>
      </c>
      <c r="M1391" s="33">
        <f t="shared" si="402"/>
        <v>0</v>
      </c>
      <c r="N1391" s="22">
        <f t="shared" si="403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400"/>
        <v>0</v>
      </c>
      <c r="J1392" s="5"/>
      <c r="K1392" s="5"/>
      <c r="L1392" s="33">
        <f t="shared" si="401"/>
        <v>0</v>
      </c>
      <c r="M1392" s="33">
        <f t="shared" si="402"/>
        <v>0</v>
      </c>
      <c r="N1392" s="22">
        <f t="shared" si="403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400"/>
        <v>0</v>
      </c>
      <c r="J1393" s="5"/>
      <c r="K1393" s="5"/>
      <c r="L1393" s="33">
        <f t="shared" si="401"/>
        <v>0</v>
      </c>
      <c r="M1393" s="33">
        <f t="shared" si="402"/>
        <v>0</v>
      </c>
      <c r="N1393" s="22">
        <f t="shared" si="403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400"/>
        <v>0</v>
      </c>
      <c r="J1394" s="5"/>
      <c r="K1394" s="5"/>
      <c r="L1394" s="33">
        <f t="shared" si="401"/>
        <v>0</v>
      </c>
      <c r="M1394" s="33">
        <f t="shared" si="402"/>
        <v>0</v>
      </c>
      <c r="N1394" s="22">
        <f t="shared" si="403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400"/>
        <v>0</v>
      </c>
      <c r="J1395" s="5"/>
      <c r="K1395" s="5"/>
      <c r="L1395" s="33">
        <f t="shared" si="401"/>
        <v>0</v>
      </c>
      <c r="M1395" s="33">
        <f t="shared" si="402"/>
        <v>0</v>
      </c>
      <c r="N1395" s="22">
        <f t="shared" si="403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400"/>
        <v>0</v>
      </c>
      <c r="J1396" s="5"/>
      <c r="K1396" s="5"/>
      <c r="L1396" s="33">
        <f t="shared" si="401"/>
        <v>0</v>
      </c>
      <c r="M1396" s="33">
        <f t="shared" si="402"/>
        <v>0</v>
      </c>
      <c r="N1396" s="22">
        <f t="shared" si="403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400"/>
        <v>0</v>
      </c>
      <c r="J1397" s="5"/>
      <c r="K1397" s="5"/>
      <c r="L1397" s="33">
        <f t="shared" si="401"/>
        <v>0</v>
      </c>
      <c r="M1397" s="33">
        <f t="shared" si="402"/>
        <v>0</v>
      </c>
      <c r="N1397" s="22">
        <f t="shared" si="403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400"/>
        <v>40</v>
      </c>
      <c r="J1398" s="5"/>
      <c r="K1398" s="5"/>
      <c r="L1398" s="33">
        <f t="shared" si="401"/>
        <v>4702</v>
      </c>
      <c r="M1398" s="33">
        <f t="shared" si="402"/>
        <v>4702</v>
      </c>
      <c r="N1398" s="22">
        <f t="shared" si="403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400"/>
        <v>44</v>
      </c>
      <c r="J1399" s="5"/>
      <c r="K1399" s="5"/>
      <c r="L1399" s="33">
        <f t="shared" si="401"/>
        <v>5172</v>
      </c>
      <c r="M1399" s="33">
        <f t="shared" si="402"/>
        <v>5172</v>
      </c>
      <c r="N1399" s="22">
        <f t="shared" si="403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400"/>
        <v>0</v>
      </c>
      <c r="J1400" s="5"/>
      <c r="K1400" s="5"/>
      <c r="L1400" s="33">
        <f t="shared" si="401"/>
        <v>0</v>
      </c>
      <c r="M1400" s="33">
        <f t="shared" si="402"/>
        <v>0</v>
      </c>
      <c r="N1400" s="22">
        <f t="shared" si="403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400"/>
        <v>0</v>
      </c>
      <c r="J1401" s="5"/>
      <c r="K1401" s="5"/>
      <c r="L1401" s="33">
        <f t="shared" si="401"/>
        <v>0</v>
      </c>
      <c r="M1401" s="33">
        <f t="shared" si="402"/>
        <v>0</v>
      </c>
      <c r="N1401" s="22">
        <f t="shared" si="403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400"/>
        <v>0</v>
      </c>
      <c r="J1402" s="5"/>
      <c r="K1402" s="5"/>
      <c r="L1402" s="33">
        <f t="shared" si="401"/>
        <v>0</v>
      </c>
      <c r="M1402" s="33">
        <f t="shared" si="402"/>
        <v>0</v>
      </c>
      <c r="N1402" s="22">
        <f t="shared" si="403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400"/>
        <v>0</v>
      </c>
      <c r="J1403" s="5"/>
      <c r="K1403" s="5"/>
      <c r="L1403" s="33">
        <f t="shared" si="401"/>
        <v>0</v>
      </c>
      <c r="M1403" s="33">
        <f t="shared" si="402"/>
        <v>0</v>
      </c>
      <c r="N1403" s="22">
        <f t="shared" si="403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400"/>
        <v>0</v>
      </c>
      <c r="J1404" s="5"/>
      <c r="K1404" s="5"/>
      <c r="L1404" s="33">
        <f t="shared" si="401"/>
        <v>0</v>
      </c>
      <c r="M1404" s="33">
        <f t="shared" si="402"/>
        <v>0</v>
      </c>
      <c r="N1404" s="22">
        <f t="shared" si="403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400"/>
        <v>0</v>
      </c>
      <c r="J1405" s="5"/>
      <c r="K1405" s="5"/>
      <c r="L1405" s="33">
        <f t="shared" si="401"/>
        <v>0</v>
      </c>
      <c r="M1405" s="33">
        <f t="shared" si="402"/>
        <v>0</v>
      </c>
      <c r="N1405" s="22">
        <f t="shared" si="403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400"/>
        <v>0</v>
      </c>
      <c r="J1406" s="5"/>
      <c r="K1406" s="5"/>
      <c r="L1406" s="33">
        <f t="shared" si="401"/>
        <v>0</v>
      </c>
      <c r="M1406" s="33">
        <f t="shared" si="402"/>
        <v>0</v>
      </c>
      <c r="N1406" s="22">
        <f t="shared" si="403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400"/>
        <v>0</v>
      </c>
      <c r="J1407" s="5"/>
      <c r="K1407" s="5"/>
      <c r="L1407" s="33">
        <f t="shared" si="401"/>
        <v>0</v>
      </c>
      <c r="M1407" s="33">
        <f t="shared" si="402"/>
        <v>0</v>
      </c>
      <c r="N1407" s="22">
        <f t="shared" si="403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400"/>
        <v>0</v>
      </c>
      <c r="J1408" s="5"/>
      <c r="K1408" s="5"/>
      <c r="L1408" s="33">
        <f t="shared" si="401"/>
        <v>0</v>
      </c>
      <c r="M1408" s="33">
        <f t="shared" si="402"/>
        <v>0</v>
      </c>
      <c r="N1408" s="22">
        <f t="shared" si="403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400"/>
        <v>0</v>
      </c>
      <c r="J1409" s="5"/>
      <c r="K1409" s="5"/>
      <c r="L1409" s="33">
        <f t="shared" si="401"/>
        <v>0</v>
      </c>
      <c r="M1409" s="33">
        <f t="shared" si="402"/>
        <v>0</v>
      </c>
      <c r="N1409" s="22">
        <f t="shared" si="403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400"/>
        <v>0</v>
      </c>
      <c r="J1410" s="5"/>
      <c r="K1410" s="5"/>
      <c r="L1410" s="33">
        <f t="shared" si="401"/>
        <v>0</v>
      </c>
      <c r="M1410" s="33">
        <f t="shared" si="402"/>
        <v>0</v>
      </c>
      <c r="N1410" s="22">
        <f t="shared" si="403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400"/>
        <v>0</v>
      </c>
      <c r="J1411" s="5"/>
      <c r="K1411" s="5"/>
      <c r="L1411" s="33">
        <f t="shared" si="401"/>
        <v>0</v>
      </c>
      <c r="M1411" s="33">
        <f t="shared" si="402"/>
        <v>0</v>
      </c>
      <c r="N1411" s="22">
        <f t="shared" si="403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400"/>
        <v>0</v>
      </c>
      <c r="J1412" s="5"/>
      <c r="K1412" s="5"/>
      <c r="L1412" s="33">
        <f t="shared" si="401"/>
        <v>0</v>
      </c>
      <c r="M1412" s="33">
        <f t="shared" si="402"/>
        <v>0</v>
      </c>
      <c r="N1412" s="22">
        <f t="shared" si="403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400"/>
        <v>0</v>
      </c>
      <c r="J1413" s="5"/>
      <c r="K1413" s="5"/>
      <c r="L1413" s="33">
        <f t="shared" si="401"/>
        <v>0</v>
      </c>
      <c r="M1413" s="33">
        <f t="shared" si="402"/>
        <v>0</v>
      </c>
      <c r="N1413" s="22">
        <f t="shared" si="403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400"/>
        <v>0</v>
      </c>
      <c r="J1414" s="5"/>
      <c r="K1414" s="5"/>
      <c r="L1414" s="33">
        <f t="shared" si="401"/>
        <v>0</v>
      </c>
      <c r="M1414" s="33">
        <f t="shared" si="402"/>
        <v>0</v>
      </c>
      <c r="N1414" s="22">
        <f t="shared" si="403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400"/>
        <v>0</v>
      </c>
      <c r="J1415" s="5"/>
      <c r="K1415" s="5"/>
      <c r="L1415" s="33">
        <f t="shared" si="401"/>
        <v>0</v>
      </c>
      <c r="M1415" s="33">
        <f t="shared" si="402"/>
        <v>0</v>
      </c>
      <c r="N1415" s="22">
        <f t="shared" si="403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400"/>
        <v>0</v>
      </c>
      <c r="J1416" s="5"/>
      <c r="K1416" s="5"/>
      <c r="L1416" s="33">
        <f t="shared" si="401"/>
        <v>0</v>
      </c>
      <c r="M1416" s="33">
        <f t="shared" si="402"/>
        <v>0</v>
      </c>
      <c r="N1416" s="22">
        <f t="shared" si="403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400"/>
        <v>0</v>
      </c>
      <c r="J1417" s="5"/>
      <c r="K1417" s="5"/>
      <c r="L1417" s="33">
        <f t="shared" si="401"/>
        <v>0</v>
      </c>
      <c r="M1417" s="33">
        <f t="shared" si="402"/>
        <v>0</v>
      </c>
      <c r="N1417" s="22">
        <f t="shared" si="403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400"/>
        <v>0</v>
      </c>
      <c r="J1418" s="5"/>
      <c r="K1418" s="5"/>
      <c r="L1418" s="33">
        <f t="shared" si="401"/>
        <v>0</v>
      </c>
      <c r="M1418" s="33">
        <f t="shared" si="402"/>
        <v>0</v>
      </c>
      <c r="N1418" s="22">
        <f t="shared" si="403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400"/>
        <v>0</v>
      </c>
      <c r="J1419" s="5"/>
      <c r="K1419" s="5"/>
      <c r="L1419" s="33">
        <f t="shared" si="401"/>
        <v>0</v>
      </c>
      <c r="M1419" s="33">
        <f t="shared" si="402"/>
        <v>0</v>
      </c>
      <c r="N1419" s="22">
        <f t="shared" si="403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400"/>
        <v>0</v>
      </c>
      <c r="J1420" s="5"/>
      <c r="K1420" s="5"/>
      <c r="L1420" s="33">
        <f t="shared" si="401"/>
        <v>0</v>
      </c>
      <c r="M1420" s="33">
        <f t="shared" si="402"/>
        <v>0</v>
      </c>
      <c r="N1420" s="22">
        <f t="shared" si="403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400"/>
        <v>0</v>
      </c>
      <c r="J1421" s="5"/>
      <c r="K1421" s="5"/>
      <c r="L1421" s="33">
        <f t="shared" si="401"/>
        <v>0</v>
      </c>
      <c r="M1421" s="33">
        <f t="shared" si="402"/>
        <v>0</v>
      </c>
      <c r="N1421" s="22">
        <f t="shared" si="403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400"/>
        <v>0</v>
      </c>
      <c r="J1422" s="5"/>
      <c r="K1422" s="5"/>
      <c r="L1422" s="33">
        <f t="shared" si="401"/>
        <v>0</v>
      </c>
      <c r="M1422" s="33">
        <f t="shared" si="402"/>
        <v>0</v>
      </c>
      <c r="N1422" s="22">
        <f t="shared" si="403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400"/>
        <v>0</v>
      </c>
      <c r="J1423" s="5"/>
      <c r="K1423" s="5"/>
      <c r="L1423" s="33">
        <f t="shared" si="401"/>
        <v>0</v>
      </c>
      <c r="M1423" s="33">
        <f t="shared" si="402"/>
        <v>0</v>
      </c>
      <c r="N1423" s="22">
        <f t="shared" si="403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400"/>
        <v>36</v>
      </c>
      <c r="J1424" s="5"/>
      <c r="K1424" s="5"/>
      <c r="L1424" s="33">
        <f t="shared" si="401"/>
        <v>6306</v>
      </c>
      <c r="M1424" s="33">
        <f t="shared" si="402"/>
        <v>6306</v>
      </c>
      <c r="N1424" s="22">
        <f t="shared" si="403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400"/>
        <v>44</v>
      </c>
      <c r="J1425" s="5"/>
      <c r="K1425" s="5"/>
      <c r="L1425" s="33">
        <f t="shared" si="401"/>
        <v>5172</v>
      </c>
      <c r="M1425" s="33">
        <f t="shared" si="402"/>
        <v>5172</v>
      </c>
      <c r="N1425" s="22">
        <f t="shared" si="403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400"/>
        <v>52</v>
      </c>
      <c r="J1426" s="5"/>
      <c r="K1426" s="5"/>
      <c r="L1426" s="33">
        <f t="shared" si="401"/>
        <v>7888</v>
      </c>
      <c r="M1426" s="33">
        <f t="shared" si="402"/>
        <v>7888</v>
      </c>
      <c r="N1426" s="22">
        <f t="shared" si="403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400"/>
        <v>0</v>
      </c>
      <c r="J1427" s="5"/>
      <c r="K1427" s="5"/>
      <c r="L1427" s="33">
        <f t="shared" si="401"/>
        <v>0</v>
      </c>
      <c r="M1427" s="33">
        <f t="shared" si="402"/>
        <v>0</v>
      </c>
      <c r="N1427" s="22">
        <f t="shared" si="403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404">D1429*(1-H1429)</f>
        <v>0</v>
      </c>
      <c r="J1429" s="5"/>
      <c r="K1429" s="5"/>
      <c r="L1429" s="33">
        <f t="shared" ref="L1429:L1480" si="405">E1429*(1-H1429)</f>
        <v>0</v>
      </c>
      <c r="M1429" s="33">
        <f t="shared" ref="M1429:M1480" si="406">IF(J1429="",L1429,(E1429/D1429)*J1429)</f>
        <v>0</v>
      </c>
      <c r="N1429" s="22">
        <f t="shared" ref="N1429:N1480" si="407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404"/>
        <v>0</v>
      </c>
      <c r="J1430" s="5"/>
      <c r="K1430" s="5"/>
      <c r="L1430" s="33">
        <f t="shared" si="405"/>
        <v>0</v>
      </c>
      <c r="M1430" s="33">
        <f t="shared" si="406"/>
        <v>0</v>
      </c>
      <c r="N1430" s="22">
        <f t="shared" si="407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404"/>
        <v>0</v>
      </c>
      <c r="J1431" s="5"/>
      <c r="K1431" s="5"/>
      <c r="L1431" s="33">
        <f t="shared" si="405"/>
        <v>0</v>
      </c>
      <c r="M1431" s="33">
        <f t="shared" si="406"/>
        <v>0</v>
      </c>
      <c r="N1431" s="22">
        <f t="shared" si="407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404"/>
        <v>0</v>
      </c>
      <c r="J1432" s="5"/>
      <c r="K1432" s="5"/>
      <c r="L1432" s="33">
        <f t="shared" si="405"/>
        <v>0</v>
      </c>
      <c r="M1432" s="33">
        <f t="shared" si="406"/>
        <v>0</v>
      </c>
      <c r="N1432" s="22">
        <f t="shared" si="407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404"/>
        <v>0</v>
      </c>
      <c r="J1433" s="5"/>
      <c r="K1433" s="5"/>
      <c r="L1433" s="33">
        <f t="shared" si="405"/>
        <v>0</v>
      </c>
      <c r="M1433" s="33">
        <f t="shared" si="406"/>
        <v>0</v>
      </c>
      <c r="N1433" s="22">
        <f t="shared" si="407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404"/>
        <v>0</v>
      </c>
      <c r="J1434" s="5"/>
      <c r="K1434" s="5"/>
      <c r="L1434" s="33">
        <f t="shared" si="405"/>
        <v>0</v>
      </c>
      <c r="M1434" s="33">
        <f t="shared" si="406"/>
        <v>0</v>
      </c>
      <c r="N1434" s="22">
        <f t="shared" si="407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404"/>
        <v>0</v>
      </c>
      <c r="J1435" s="5"/>
      <c r="K1435" s="5"/>
      <c r="L1435" s="33">
        <f t="shared" si="405"/>
        <v>0</v>
      </c>
      <c r="M1435" s="33">
        <f t="shared" si="406"/>
        <v>0</v>
      </c>
      <c r="N1435" s="22">
        <f t="shared" si="407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404"/>
        <v>0</v>
      </c>
      <c r="J1436" s="5"/>
      <c r="K1436" s="5"/>
      <c r="L1436" s="33">
        <f t="shared" si="405"/>
        <v>0</v>
      </c>
      <c r="M1436" s="33">
        <f t="shared" si="406"/>
        <v>0</v>
      </c>
      <c r="N1436" s="22">
        <f t="shared" si="407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404"/>
        <v>0</v>
      </c>
      <c r="J1437" s="5"/>
      <c r="K1437" s="5"/>
      <c r="L1437" s="33">
        <f t="shared" si="405"/>
        <v>0</v>
      </c>
      <c r="M1437" s="33">
        <f t="shared" si="406"/>
        <v>0</v>
      </c>
      <c r="N1437" s="22">
        <f t="shared" si="407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404"/>
        <v>0</v>
      </c>
      <c r="J1438" s="5"/>
      <c r="K1438" s="5"/>
      <c r="L1438" s="33">
        <f t="shared" si="405"/>
        <v>0</v>
      </c>
      <c r="M1438" s="33">
        <f t="shared" si="406"/>
        <v>0</v>
      </c>
      <c r="N1438" s="22">
        <f t="shared" si="407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404"/>
        <v>36</v>
      </c>
      <c r="J1439" s="5"/>
      <c r="K1439" s="5"/>
      <c r="L1439" s="33">
        <f t="shared" si="405"/>
        <v>4232</v>
      </c>
      <c r="M1439" s="33">
        <f t="shared" si="406"/>
        <v>4232</v>
      </c>
      <c r="N1439" s="22">
        <f t="shared" si="407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404"/>
        <v>72</v>
      </c>
      <c r="J1440" s="5"/>
      <c r="K1440" s="5"/>
      <c r="L1440" s="33">
        <f t="shared" si="405"/>
        <v>8463</v>
      </c>
      <c r="M1440" s="33">
        <f t="shared" si="406"/>
        <v>8463</v>
      </c>
      <c r="N1440" s="22">
        <f t="shared" si="407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404"/>
        <v>320659</v>
      </c>
      <c r="J1441" s="5"/>
      <c r="K1441" s="5"/>
      <c r="L1441" s="33">
        <f t="shared" si="405"/>
        <v>372184</v>
      </c>
      <c r="M1441" s="33">
        <f t="shared" si="406"/>
        <v>372184</v>
      </c>
      <c r="N1441" s="22">
        <f t="shared" si="407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404"/>
        <v>0</v>
      </c>
      <c r="J1442" s="5"/>
      <c r="K1442" s="5"/>
      <c r="L1442" s="33">
        <f t="shared" si="405"/>
        <v>0</v>
      </c>
      <c r="M1442" s="33">
        <f t="shared" si="406"/>
        <v>0</v>
      </c>
      <c r="N1442" s="22">
        <f t="shared" si="407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404"/>
        <v>0</v>
      </c>
      <c r="J1443" s="5"/>
      <c r="K1443" s="5"/>
      <c r="L1443" s="33">
        <f t="shared" si="405"/>
        <v>0</v>
      </c>
      <c r="M1443" s="33">
        <f t="shared" si="406"/>
        <v>0</v>
      </c>
      <c r="N1443" s="22">
        <f t="shared" si="407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404"/>
        <v>0</v>
      </c>
      <c r="J1444" s="5"/>
      <c r="K1444" s="5"/>
      <c r="L1444" s="33">
        <f t="shared" si="405"/>
        <v>0</v>
      </c>
      <c r="M1444" s="33">
        <f t="shared" si="406"/>
        <v>0</v>
      </c>
      <c r="N1444" s="22">
        <f t="shared" si="407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404"/>
        <v>0</v>
      </c>
      <c r="J1445" s="5"/>
      <c r="K1445" s="5"/>
      <c r="L1445" s="33">
        <f t="shared" si="405"/>
        <v>0</v>
      </c>
      <c r="M1445" s="33">
        <f t="shared" si="406"/>
        <v>0</v>
      </c>
      <c r="N1445" s="22">
        <f t="shared" si="407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404"/>
        <v>0</v>
      </c>
      <c r="J1446" s="5"/>
      <c r="K1446" s="5"/>
      <c r="L1446" s="33">
        <f t="shared" si="405"/>
        <v>0</v>
      </c>
      <c r="M1446" s="33">
        <f t="shared" si="406"/>
        <v>0</v>
      </c>
      <c r="N1446" s="22">
        <f t="shared" si="407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404"/>
        <v>0</v>
      </c>
      <c r="J1447" s="5"/>
      <c r="K1447" s="5"/>
      <c r="L1447" s="33">
        <f t="shared" si="405"/>
        <v>0</v>
      </c>
      <c r="M1447" s="33">
        <f t="shared" si="406"/>
        <v>0</v>
      </c>
      <c r="N1447" s="22">
        <f t="shared" si="407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404"/>
        <v>0</v>
      </c>
      <c r="J1448" s="5"/>
      <c r="K1448" s="5"/>
      <c r="L1448" s="33">
        <f t="shared" si="405"/>
        <v>0</v>
      </c>
      <c r="M1448" s="33">
        <f t="shared" si="406"/>
        <v>0</v>
      </c>
      <c r="N1448" s="22">
        <f t="shared" si="407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404"/>
        <v>0</v>
      </c>
      <c r="J1449" s="5"/>
      <c r="K1449" s="5"/>
      <c r="L1449" s="33">
        <f t="shared" si="405"/>
        <v>0</v>
      </c>
      <c r="M1449" s="33">
        <f t="shared" si="406"/>
        <v>0</v>
      </c>
      <c r="N1449" s="22">
        <f t="shared" si="407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404"/>
        <v>0</v>
      </c>
      <c r="J1450" s="5"/>
      <c r="K1450" s="5"/>
      <c r="L1450" s="33">
        <f t="shared" si="405"/>
        <v>0</v>
      </c>
      <c r="M1450" s="33">
        <f t="shared" si="406"/>
        <v>0</v>
      </c>
      <c r="N1450" s="22">
        <f t="shared" si="407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404"/>
        <v>0</v>
      </c>
      <c r="J1451" s="5"/>
      <c r="K1451" s="5"/>
      <c r="L1451" s="33">
        <f t="shared" si="405"/>
        <v>0</v>
      </c>
      <c r="M1451" s="33">
        <f t="shared" si="406"/>
        <v>0</v>
      </c>
      <c r="N1451" s="22">
        <f t="shared" si="407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404"/>
        <v>0</v>
      </c>
      <c r="J1452" s="5"/>
      <c r="K1452" s="5"/>
      <c r="L1452" s="33">
        <f t="shared" si="405"/>
        <v>0</v>
      </c>
      <c r="M1452" s="33">
        <f t="shared" si="406"/>
        <v>0</v>
      </c>
      <c r="N1452" s="22">
        <f t="shared" si="407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404"/>
        <v>0</v>
      </c>
      <c r="J1453" s="5"/>
      <c r="K1453" s="5"/>
      <c r="L1453" s="33">
        <f t="shared" si="405"/>
        <v>0</v>
      </c>
      <c r="M1453" s="33">
        <f t="shared" si="406"/>
        <v>0</v>
      </c>
      <c r="N1453" s="22">
        <f t="shared" si="407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404"/>
        <v>0</v>
      </c>
      <c r="J1454" s="5"/>
      <c r="K1454" s="5"/>
      <c r="L1454" s="33">
        <f t="shared" si="405"/>
        <v>0</v>
      </c>
      <c r="M1454" s="33">
        <f t="shared" si="406"/>
        <v>0</v>
      </c>
      <c r="N1454" s="22">
        <f t="shared" si="407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404"/>
        <v>0</v>
      </c>
      <c r="J1455" s="5"/>
      <c r="K1455" s="5"/>
      <c r="L1455" s="33">
        <f t="shared" si="405"/>
        <v>0</v>
      </c>
      <c r="M1455" s="33">
        <f t="shared" si="406"/>
        <v>0</v>
      </c>
      <c r="N1455" s="22">
        <f t="shared" si="407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404"/>
        <v>0</v>
      </c>
      <c r="J1456" s="5"/>
      <c r="K1456" s="5"/>
      <c r="L1456" s="33">
        <f t="shared" si="405"/>
        <v>0</v>
      </c>
      <c r="M1456" s="33">
        <f t="shared" si="406"/>
        <v>0</v>
      </c>
      <c r="N1456" s="22">
        <f t="shared" si="407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404"/>
        <v>0</v>
      </c>
      <c r="J1457" s="5"/>
      <c r="K1457" s="5"/>
      <c r="L1457" s="33">
        <f t="shared" si="405"/>
        <v>0</v>
      </c>
      <c r="M1457" s="33">
        <f t="shared" si="406"/>
        <v>0</v>
      </c>
      <c r="N1457" s="22">
        <f t="shared" si="407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404"/>
        <v>0</v>
      </c>
      <c r="J1458" s="5"/>
      <c r="K1458" s="5"/>
      <c r="L1458" s="33">
        <f t="shared" si="405"/>
        <v>0</v>
      </c>
      <c r="M1458" s="33">
        <f t="shared" si="406"/>
        <v>0</v>
      </c>
      <c r="N1458" s="22">
        <f t="shared" si="407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404"/>
        <v>0</v>
      </c>
      <c r="J1459" s="5"/>
      <c r="K1459" s="5"/>
      <c r="L1459" s="33">
        <f t="shared" si="405"/>
        <v>0</v>
      </c>
      <c r="M1459" s="33">
        <f t="shared" si="406"/>
        <v>0</v>
      </c>
      <c r="N1459" s="22">
        <f t="shared" si="407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404"/>
        <v>0</v>
      </c>
      <c r="J1460" s="5"/>
      <c r="K1460" s="5"/>
      <c r="L1460" s="33">
        <f t="shared" si="405"/>
        <v>0</v>
      </c>
      <c r="M1460" s="33">
        <f t="shared" si="406"/>
        <v>0</v>
      </c>
      <c r="N1460" s="22">
        <f t="shared" si="407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404"/>
        <v>0</v>
      </c>
      <c r="J1461" s="5"/>
      <c r="K1461" s="5"/>
      <c r="L1461" s="33">
        <f t="shared" si="405"/>
        <v>0</v>
      </c>
      <c r="M1461" s="33">
        <f t="shared" si="406"/>
        <v>0</v>
      </c>
      <c r="N1461" s="22">
        <f t="shared" si="407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404"/>
        <v>0</v>
      </c>
      <c r="J1462" s="5"/>
      <c r="K1462" s="5"/>
      <c r="L1462" s="33">
        <f t="shared" si="405"/>
        <v>0</v>
      </c>
      <c r="M1462" s="33">
        <f t="shared" si="406"/>
        <v>0</v>
      </c>
      <c r="N1462" s="22">
        <f t="shared" si="407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404"/>
        <v>0</v>
      </c>
      <c r="J1463" s="5"/>
      <c r="K1463" s="5"/>
      <c r="L1463" s="33">
        <f t="shared" si="405"/>
        <v>0</v>
      </c>
      <c r="M1463" s="33">
        <f t="shared" si="406"/>
        <v>0</v>
      </c>
      <c r="N1463" s="22">
        <f t="shared" si="407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404"/>
        <v>60</v>
      </c>
      <c r="J1464" s="5"/>
      <c r="K1464" s="5"/>
      <c r="L1464" s="33">
        <f t="shared" si="405"/>
        <v>9101</v>
      </c>
      <c r="M1464" s="33">
        <f t="shared" si="406"/>
        <v>9101</v>
      </c>
      <c r="N1464" s="22">
        <f t="shared" si="407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404"/>
        <v>30</v>
      </c>
      <c r="J1465" s="5"/>
      <c r="K1465" s="5"/>
      <c r="L1465" s="33">
        <f t="shared" si="405"/>
        <v>5255</v>
      </c>
      <c r="M1465" s="33">
        <f t="shared" si="406"/>
        <v>5255</v>
      </c>
      <c r="N1465" s="22">
        <f t="shared" si="407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404"/>
        <v>36</v>
      </c>
      <c r="J1466" s="5"/>
      <c r="K1466" s="5"/>
      <c r="L1466" s="33">
        <f t="shared" si="405"/>
        <v>4232</v>
      </c>
      <c r="M1466" s="33">
        <f t="shared" si="406"/>
        <v>4232</v>
      </c>
      <c r="N1466" s="22">
        <f t="shared" si="407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404"/>
        <v>0</v>
      </c>
      <c r="J1467" s="5"/>
      <c r="K1467" s="5"/>
      <c r="L1467" s="33">
        <f t="shared" si="405"/>
        <v>0</v>
      </c>
      <c r="M1467" s="33">
        <f t="shared" si="406"/>
        <v>0</v>
      </c>
      <c r="N1467" s="22">
        <f t="shared" si="407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404"/>
        <v>0</v>
      </c>
      <c r="J1468" s="5"/>
      <c r="K1468" s="5"/>
      <c r="L1468" s="33">
        <f t="shared" si="405"/>
        <v>0</v>
      </c>
      <c r="M1468" s="33">
        <f t="shared" si="406"/>
        <v>0</v>
      </c>
      <c r="N1468" s="22">
        <f t="shared" si="407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404"/>
        <v>0</v>
      </c>
      <c r="J1469" s="5"/>
      <c r="K1469" s="5"/>
      <c r="L1469" s="33">
        <f t="shared" si="405"/>
        <v>0</v>
      </c>
      <c r="M1469" s="33">
        <f t="shared" si="406"/>
        <v>0</v>
      </c>
      <c r="N1469" s="22">
        <f t="shared" si="407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404"/>
        <v>0</v>
      </c>
      <c r="J1470" s="5"/>
      <c r="K1470" s="5"/>
      <c r="L1470" s="33">
        <f t="shared" si="405"/>
        <v>0</v>
      </c>
      <c r="M1470" s="33">
        <f t="shared" si="406"/>
        <v>0</v>
      </c>
      <c r="N1470" s="22">
        <f t="shared" si="407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404"/>
        <v>0</v>
      </c>
      <c r="J1471" s="5"/>
      <c r="K1471" s="5"/>
      <c r="L1471" s="33">
        <f t="shared" si="405"/>
        <v>0</v>
      </c>
      <c r="M1471" s="33">
        <f t="shared" si="406"/>
        <v>0</v>
      </c>
      <c r="N1471" s="22">
        <f t="shared" si="407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404"/>
        <v>0</v>
      </c>
      <c r="J1472" s="5"/>
      <c r="K1472" s="5"/>
      <c r="L1472" s="33">
        <f t="shared" si="405"/>
        <v>0</v>
      </c>
      <c r="M1472" s="33">
        <f t="shared" si="406"/>
        <v>0</v>
      </c>
      <c r="N1472" s="22">
        <f t="shared" si="407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404"/>
        <v>0</v>
      </c>
      <c r="J1473" s="5"/>
      <c r="K1473" s="5"/>
      <c r="L1473" s="33">
        <f t="shared" si="405"/>
        <v>0</v>
      </c>
      <c r="M1473" s="33">
        <f t="shared" si="406"/>
        <v>0</v>
      </c>
      <c r="N1473" s="22">
        <f t="shared" si="407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404"/>
        <v>0</v>
      </c>
      <c r="J1474" s="5"/>
      <c r="K1474" s="5"/>
      <c r="L1474" s="33">
        <f t="shared" si="405"/>
        <v>0</v>
      </c>
      <c r="M1474" s="33">
        <f t="shared" si="406"/>
        <v>0</v>
      </c>
      <c r="N1474" s="22">
        <f t="shared" si="407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404"/>
        <v>0</v>
      </c>
      <c r="J1475" s="5"/>
      <c r="K1475" s="5"/>
      <c r="L1475" s="33">
        <f t="shared" si="405"/>
        <v>0</v>
      </c>
      <c r="M1475" s="33">
        <f t="shared" si="406"/>
        <v>0</v>
      </c>
      <c r="N1475" s="22">
        <f t="shared" si="407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404"/>
        <v>0</v>
      </c>
      <c r="J1476" s="5"/>
      <c r="K1476" s="5"/>
      <c r="L1476" s="33">
        <f t="shared" si="405"/>
        <v>0</v>
      </c>
      <c r="M1476" s="33">
        <f t="shared" si="406"/>
        <v>0</v>
      </c>
      <c r="N1476" s="22">
        <f t="shared" si="407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404"/>
        <v>0</v>
      </c>
      <c r="J1477" s="5"/>
      <c r="K1477" s="5"/>
      <c r="L1477" s="33">
        <f t="shared" si="405"/>
        <v>0</v>
      </c>
      <c r="M1477" s="33">
        <f t="shared" si="406"/>
        <v>0</v>
      </c>
      <c r="N1477" s="22">
        <f t="shared" si="407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404"/>
        <v>0</v>
      </c>
      <c r="J1478" s="5"/>
      <c r="K1478" s="5"/>
      <c r="L1478" s="33">
        <f t="shared" si="405"/>
        <v>0</v>
      </c>
      <c r="M1478" s="33">
        <f t="shared" si="406"/>
        <v>0</v>
      </c>
      <c r="N1478" s="22">
        <f t="shared" si="407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404"/>
        <v>0</v>
      </c>
      <c r="J1479" s="5"/>
      <c r="K1479" s="5"/>
      <c r="L1479" s="33">
        <f t="shared" si="405"/>
        <v>0</v>
      </c>
      <c r="M1479" s="33">
        <f t="shared" si="406"/>
        <v>0</v>
      </c>
      <c r="N1479" s="22">
        <f t="shared" si="407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404"/>
        <v>45000</v>
      </c>
      <c r="J1480" s="5"/>
      <c r="K1480" s="5"/>
      <c r="L1480" s="33">
        <f t="shared" si="405"/>
        <v>50203</v>
      </c>
      <c r="M1480" s="33">
        <f t="shared" si="406"/>
        <v>50203</v>
      </c>
      <c r="N1480" s="22">
        <f t="shared" si="407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 t="shared" ref="I1483:I1486" si="408">D1483*(1-H1483)</f>
        <v>0</v>
      </c>
      <c r="J1483" s="5"/>
      <c r="K1483" s="5"/>
      <c r="L1483" s="33">
        <f t="shared" ref="L1483:L1486" si="409">E1483*(1-H1483)</f>
        <v>0</v>
      </c>
      <c r="M1483" s="33">
        <f t="shared" ref="M1483:M1486" si="410">IF(J1483="",L1483,(E1483/D1483)*J1483)</f>
        <v>0</v>
      </c>
      <c r="N1483" s="22">
        <f t="shared" ref="N1483:N1486" si="411"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 t="shared" si="408"/>
        <v>0</v>
      </c>
      <c r="J1484" s="5"/>
      <c r="K1484" s="5"/>
      <c r="L1484" s="33">
        <f t="shared" si="409"/>
        <v>0</v>
      </c>
      <c r="M1484" s="33">
        <f t="shared" si="410"/>
        <v>0</v>
      </c>
      <c r="N1484" s="22">
        <f t="shared" si="411"/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 t="shared" si="408"/>
        <v>0</v>
      </c>
      <c r="J1485" s="5"/>
      <c r="K1485" s="5"/>
      <c r="L1485" s="33">
        <f t="shared" si="409"/>
        <v>0</v>
      </c>
      <c r="M1485" s="33">
        <f t="shared" si="410"/>
        <v>0</v>
      </c>
      <c r="N1485" s="22">
        <f t="shared" si="411"/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 t="shared" si="408"/>
        <v>0</v>
      </c>
      <c r="J1486" s="5"/>
      <c r="K1486" s="5"/>
      <c r="L1486" s="33">
        <f t="shared" si="409"/>
        <v>0</v>
      </c>
      <c r="M1486" s="33">
        <f t="shared" si="410"/>
        <v>0</v>
      </c>
      <c r="N1486" s="22">
        <f t="shared" si="411"/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412">D1488*(1-H1488)</f>
        <v>0</v>
      </c>
      <c r="J1488" s="5"/>
      <c r="K1488" s="5"/>
      <c r="L1488" s="33">
        <f t="shared" ref="L1488:L1515" si="413">E1488*(1-H1488)</f>
        <v>0</v>
      </c>
      <c r="M1488" s="33">
        <f t="shared" ref="M1488:M1515" si="414">IF(J1488="",L1488,(E1488/D1488)*J1488)</f>
        <v>0</v>
      </c>
      <c r="N1488" s="22">
        <f t="shared" ref="N1488:N1515" si="41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412"/>
        <v>0</v>
      </c>
      <c r="J1489" s="5"/>
      <c r="K1489" s="5"/>
      <c r="L1489" s="33">
        <f t="shared" si="413"/>
        <v>0</v>
      </c>
      <c r="M1489" s="33">
        <f t="shared" si="414"/>
        <v>0</v>
      </c>
      <c r="N1489" s="22">
        <f t="shared" si="41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412"/>
        <v>0</v>
      </c>
      <c r="J1490" s="5"/>
      <c r="K1490" s="5"/>
      <c r="L1490" s="33">
        <f t="shared" si="413"/>
        <v>0</v>
      </c>
      <c r="M1490" s="33">
        <f t="shared" si="414"/>
        <v>0</v>
      </c>
      <c r="N1490" s="22">
        <f t="shared" si="41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412"/>
        <v>0</v>
      </c>
      <c r="J1491" s="5"/>
      <c r="K1491" s="5"/>
      <c r="L1491" s="33">
        <f t="shared" si="413"/>
        <v>0</v>
      </c>
      <c r="M1491" s="33">
        <f t="shared" si="414"/>
        <v>0</v>
      </c>
      <c r="N1491" s="22">
        <f t="shared" si="41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412"/>
        <v>0</v>
      </c>
      <c r="J1492" s="5"/>
      <c r="K1492" s="5"/>
      <c r="L1492" s="33">
        <f t="shared" si="413"/>
        <v>0</v>
      </c>
      <c r="M1492" s="33">
        <f t="shared" si="414"/>
        <v>0</v>
      </c>
      <c r="N1492" s="22">
        <f t="shared" si="41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412"/>
        <v>0</v>
      </c>
      <c r="J1493" s="5"/>
      <c r="K1493" s="5"/>
      <c r="L1493" s="33">
        <f t="shared" si="413"/>
        <v>0</v>
      </c>
      <c r="M1493" s="33">
        <f t="shared" si="414"/>
        <v>0</v>
      </c>
      <c r="N1493" s="22">
        <f t="shared" si="41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412"/>
        <v>0</v>
      </c>
      <c r="J1494" s="5"/>
      <c r="K1494" s="5"/>
      <c r="L1494" s="33">
        <f t="shared" si="413"/>
        <v>0</v>
      </c>
      <c r="M1494" s="33">
        <f t="shared" si="414"/>
        <v>0</v>
      </c>
      <c r="N1494" s="22">
        <f t="shared" si="41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412"/>
        <v>0</v>
      </c>
      <c r="J1495" s="5"/>
      <c r="K1495" s="5"/>
      <c r="L1495" s="33">
        <f t="shared" si="413"/>
        <v>0</v>
      </c>
      <c r="M1495" s="33">
        <f t="shared" si="414"/>
        <v>0</v>
      </c>
      <c r="N1495" s="22">
        <f t="shared" si="41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412"/>
        <v>0</v>
      </c>
      <c r="J1496" s="5"/>
      <c r="K1496" s="5"/>
      <c r="L1496" s="33">
        <f t="shared" si="413"/>
        <v>0</v>
      </c>
      <c r="M1496" s="33">
        <f t="shared" si="414"/>
        <v>0</v>
      </c>
      <c r="N1496" s="22">
        <f t="shared" si="41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412"/>
        <v>0</v>
      </c>
      <c r="J1497" s="5"/>
      <c r="K1497" s="5"/>
      <c r="L1497" s="33">
        <f t="shared" si="413"/>
        <v>0</v>
      </c>
      <c r="M1497" s="33">
        <f t="shared" si="414"/>
        <v>0</v>
      </c>
      <c r="N1497" s="22">
        <f t="shared" si="41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412"/>
        <v>0</v>
      </c>
      <c r="J1498" s="5"/>
      <c r="K1498" s="5"/>
      <c r="L1498" s="33">
        <f t="shared" si="413"/>
        <v>0</v>
      </c>
      <c r="M1498" s="33">
        <f t="shared" si="414"/>
        <v>0</v>
      </c>
      <c r="N1498" s="22">
        <f t="shared" si="41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412"/>
        <v>40</v>
      </c>
      <c r="J1499" s="5"/>
      <c r="K1499" s="5"/>
      <c r="L1499" s="33">
        <f t="shared" si="413"/>
        <v>5212</v>
      </c>
      <c r="M1499" s="33">
        <f t="shared" si="414"/>
        <v>5212</v>
      </c>
      <c r="N1499" s="22">
        <f t="shared" si="41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412"/>
        <v>0</v>
      </c>
      <c r="J1500" s="5"/>
      <c r="K1500" s="5"/>
      <c r="L1500" s="33">
        <f t="shared" si="413"/>
        <v>0</v>
      </c>
      <c r="M1500" s="33">
        <f t="shared" si="414"/>
        <v>0</v>
      </c>
      <c r="N1500" s="22">
        <f t="shared" si="41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412"/>
        <v>80</v>
      </c>
      <c r="J1501" s="5"/>
      <c r="K1501" s="5"/>
      <c r="L1501" s="33">
        <f t="shared" si="413"/>
        <v>9404</v>
      </c>
      <c r="M1501" s="33">
        <f t="shared" si="414"/>
        <v>9404</v>
      </c>
      <c r="N1501" s="22">
        <f t="shared" si="41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412"/>
        <v>40</v>
      </c>
      <c r="J1502" s="5"/>
      <c r="K1502" s="5"/>
      <c r="L1502" s="33">
        <f t="shared" si="413"/>
        <v>5212</v>
      </c>
      <c r="M1502" s="33">
        <f t="shared" si="414"/>
        <v>5212</v>
      </c>
      <c r="N1502" s="22">
        <f t="shared" si="41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412"/>
        <v>50000</v>
      </c>
      <c r="J1503" s="5"/>
      <c r="K1503" s="5"/>
      <c r="L1503" s="33">
        <f t="shared" si="413"/>
        <v>58034</v>
      </c>
      <c r="M1503" s="33">
        <f t="shared" si="414"/>
        <v>58034</v>
      </c>
      <c r="N1503" s="22">
        <f t="shared" si="41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412"/>
        <v>0</v>
      </c>
      <c r="J1504" s="5"/>
      <c r="K1504" s="5"/>
      <c r="L1504" s="33">
        <f t="shared" si="413"/>
        <v>0</v>
      </c>
      <c r="M1504" s="33">
        <f t="shared" si="414"/>
        <v>0</v>
      </c>
      <c r="N1504" s="22">
        <f t="shared" si="41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412"/>
        <v>0</v>
      </c>
      <c r="J1505" s="5"/>
      <c r="K1505" s="5"/>
      <c r="L1505" s="33">
        <f t="shared" si="413"/>
        <v>0</v>
      </c>
      <c r="M1505" s="33">
        <f t="shared" si="414"/>
        <v>0</v>
      </c>
      <c r="N1505" s="22">
        <f t="shared" si="41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412"/>
        <v>0</v>
      </c>
      <c r="J1506" s="5"/>
      <c r="K1506" s="5"/>
      <c r="L1506" s="33">
        <f t="shared" si="413"/>
        <v>0</v>
      </c>
      <c r="M1506" s="33">
        <f t="shared" si="414"/>
        <v>0</v>
      </c>
      <c r="N1506" s="22">
        <f t="shared" si="41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412"/>
        <v>0</v>
      </c>
      <c r="J1507" s="5"/>
      <c r="K1507" s="5"/>
      <c r="L1507" s="33">
        <f t="shared" si="413"/>
        <v>0</v>
      </c>
      <c r="M1507" s="33">
        <f t="shared" si="414"/>
        <v>0</v>
      </c>
      <c r="N1507" s="22">
        <f t="shared" si="41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412"/>
        <v>0</v>
      </c>
      <c r="J1508" s="5"/>
      <c r="K1508" s="5"/>
      <c r="L1508" s="33">
        <f t="shared" si="413"/>
        <v>0</v>
      </c>
      <c r="M1508" s="33">
        <f t="shared" si="414"/>
        <v>0</v>
      </c>
      <c r="N1508" s="22">
        <f t="shared" si="41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412"/>
        <v>0</v>
      </c>
      <c r="J1509" s="5"/>
      <c r="K1509" s="5"/>
      <c r="L1509" s="33">
        <f t="shared" si="413"/>
        <v>0</v>
      </c>
      <c r="M1509" s="33">
        <f t="shared" si="414"/>
        <v>0</v>
      </c>
      <c r="N1509" s="22">
        <f t="shared" si="41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412"/>
        <v>0</v>
      </c>
      <c r="J1510" s="5"/>
      <c r="K1510" s="5"/>
      <c r="L1510" s="33">
        <f t="shared" si="413"/>
        <v>0</v>
      </c>
      <c r="M1510" s="33">
        <f t="shared" si="414"/>
        <v>0</v>
      </c>
      <c r="N1510" s="22">
        <f t="shared" si="41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412"/>
        <v>0</v>
      </c>
      <c r="J1511" s="5"/>
      <c r="K1511" s="5"/>
      <c r="L1511" s="33">
        <f t="shared" si="413"/>
        <v>0</v>
      </c>
      <c r="M1511" s="33">
        <f t="shared" si="414"/>
        <v>0</v>
      </c>
      <c r="N1511" s="22">
        <f t="shared" si="41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412"/>
        <v>0</v>
      </c>
      <c r="J1512" s="5"/>
      <c r="K1512" s="5"/>
      <c r="L1512" s="33">
        <f t="shared" si="413"/>
        <v>0</v>
      </c>
      <c r="M1512" s="33">
        <f t="shared" si="414"/>
        <v>0</v>
      </c>
      <c r="N1512" s="22">
        <f t="shared" si="41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412"/>
        <v>0</v>
      </c>
      <c r="J1513" s="5"/>
      <c r="K1513" s="5"/>
      <c r="L1513" s="33">
        <f t="shared" si="413"/>
        <v>0</v>
      </c>
      <c r="M1513" s="33">
        <f t="shared" si="414"/>
        <v>0</v>
      </c>
      <c r="N1513" s="22">
        <f t="shared" si="41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412"/>
        <v>352</v>
      </c>
      <c r="J1514" s="5"/>
      <c r="K1514" s="5"/>
      <c r="L1514" s="33">
        <f t="shared" si="413"/>
        <v>47243</v>
      </c>
      <c r="M1514" s="33">
        <f t="shared" si="414"/>
        <v>47243</v>
      </c>
      <c r="N1514" s="22">
        <f t="shared" si="41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412"/>
        <v>113</v>
      </c>
      <c r="J1515" s="5"/>
      <c r="K1515" s="5"/>
      <c r="L1515" s="33">
        <f t="shared" si="413"/>
        <v>15621</v>
      </c>
      <c r="M1515" s="33">
        <f t="shared" si="414"/>
        <v>15621</v>
      </c>
      <c r="N1515" s="22">
        <f t="shared" si="41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416">D1517*(1-H1517)</f>
        <v>0</v>
      </c>
      <c r="J1517" s="5"/>
      <c r="K1517" s="5"/>
      <c r="L1517" s="33">
        <f t="shared" ref="L1517:L1572" si="417">E1517*(1-H1517)</f>
        <v>0</v>
      </c>
      <c r="M1517" s="33">
        <f t="shared" ref="M1517:M1572" si="418">IF(J1517="",L1517,(E1517/D1517)*J1517)</f>
        <v>0</v>
      </c>
      <c r="N1517" s="22">
        <f t="shared" ref="N1517:N1572" si="41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416"/>
        <v>20</v>
      </c>
      <c r="J1518" s="5"/>
      <c r="K1518" s="5"/>
      <c r="L1518" s="33">
        <f t="shared" si="417"/>
        <v>3034</v>
      </c>
      <c r="M1518" s="33">
        <f t="shared" si="418"/>
        <v>3034</v>
      </c>
      <c r="N1518" s="22">
        <f t="shared" si="41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416"/>
        <v>80</v>
      </c>
      <c r="J1519" s="5"/>
      <c r="K1519" s="5"/>
      <c r="L1519" s="33">
        <f t="shared" si="417"/>
        <v>9404</v>
      </c>
      <c r="M1519" s="33">
        <f t="shared" si="418"/>
        <v>9404</v>
      </c>
      <c r="N1519" s="22">
        <f t="shared" si="41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416"/>
        <v>40</v>
      </c>
      <c r="J1520" s="5"/>
      <c r="K1520" s="5"/>
      <c r="L1520" s="33">
        <f t="shared" si="417"/>
        <v>5212</v>
      </c>
      <c r="M1520" s="33">
        <f t="shared" si="418"/>
        <v>5212</v>
      </c>
      <c r="N1520" s="22">
        <f t="shared" si="41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416"/>
        <v>20</v>
      </c>
      <c r="J1521" s="5"/>
      <c r="K1521" s="5"/>
      <c r="L1521" s="33">
        <f t="shared" si="417"/>
        <v>3034</v>
      </c>
      <c r="M1521" s="33">
        <f t="shared" si="418"/>
        <v>3034</v>
      </c>
      <c r="N1521" s="22">
        <f t="shared" si="41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416"/>
        <v>10</v>
      </c>
      <c r="J1522" s="5"/>
      <c r="K1522" s="5"/>
      <c r="L1522" s="33">
        <f t="shared" si="417"/>
        <v>1517</v>
      </c>
      <c r="M1522" s="33">
        <f t="shared" si="418"/>
        <v>1517</v>
      </c>
      <c r="N1522" s="22">
        <f t="shared" si="41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416"/>
        <v>2</v>
      </c>
      <c r="J1523" s="5"/>
      <c r="K1523" s="5"/>
      <c r="L1523" s="33">
        <f t="shared" si="417"/>
        <v>308</v>
      </c>
      <c r="M1523" s="33">
        <f t="shared" si="418"/>
        <v>308</v>
      </c>
      <c r="N1523" s="22">
        <f t="shared" si="41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416"/>
        <v>4</v>
      </c>
      <c r="J1524" s="5"/>
      <c r="K1524" s="5"/>
      <c r="L1524" s="33">
        <f t="shared" si="417"/>
        <v>625</v>
      </c>
      <c r="M1524" s="33">
        <f t="shared" si="418"/>
        <v>625</v>
      </c>
      <c r="N1524" s="22">
        <f t="shared" si="41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416"/>
        <v>32000</v>
      </c>
      <c r="J1525" s="5"/>
      <c r="K1525" s="5"/>
      <c r="L1525" s="33">
        <f t="shared" si="417"/>
        <v>37528</v>
      </c>
      <c r="M1525" s="33">
        <f t="shared" si="418"/>
        <v>37528</v>
      </c>
      <c r="N1525" s="22">
        <f t="shared" si="41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416"/>
        <v>4</v>
      </c>
      <c r="J1526" s="5"/>
      <c r="K1526" s="5"/>
      <c r="L1526" s="33">
        <f t="shared" si="417"/>
        <v>625</v>
      </c>
      <c r="M1526" s="33">
        <f t="shared" si="418"/>
        <v>625</v>
      </c>
      <c r="N1526" s="22">
        <f t="shared" si="41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416"/>
        <v>22000</v>
      </c>
      <c r="J1527" s="5"/>
      <c r="K1527" s="5"/>
      <c r="L1527" s="33">
        <f t="shared" si="417"/>
        <v>26046</v>
      </c>
      <c r="M1527" s="33">
        <f t="shared" si="418"/>
        <v>26046</v>
      </c>
      <c r="N1527" s="22">
        <f t="shared" si="41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416"/>
        <v>0</v>
      </c>
      <c r="J1528" s="5"/>
      <c r="K1528" s="5"/>
      <c r="L1528" s="33">
        <f t="shared" si="417"/>
        <v>0</v>
      </c>
      <c r="M1528" s="33">
        <f t="shared" si="418"/>
        <v>0</v>
      </c>
      <c r="N1528" s="22">
        <f t="shared" si="41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416"/>
        <v>0</v>
      </c>
      <c r="J1529" s="5"/>
      <c r="K1529" s="5"/>
      <c r="L1529" s="33">
        <f t="shared" si="417"/>
        <v>0</v>
      </c>
      <c r="M1529" s="33">
        <f t="shared" si="418"/>
        <v>0</v>
      </c>
      <c r="N1529" s="22">
        <f t="shared" si="41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416"/>
        <v>0</v>
      </c>
      <c r="J1530" s="5"/>
      <c r="K1530" s="5"/>
      <c r="L1530" s="33">
        <f t="shared" si="417"/>
        <v>0</v>
      </c>
      <c r="M1530" s="33">
        <f t="shared" si="418"/>
        <v>0</v>
      </c>
      <c r="N1530" s="22">
        <f t="shared" si="41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416"/>
        <v>0</v>
      </c>
      <c r="J1531" s="5"/>
      <c r="K1531" s="5"/>
      <c r="L1531" s="33">
        <f t="shared" si="417"/>
        <v>0</v>
      </c>
      <c r="M1531" s="33">
        <f t="shared" si="418"/>
        <v>0</v>
      </c>
      <c r="N1531" s="22">
        <f t="shared" si="41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416"/>
        <v>0</v>
      </c>
      <c r="J1532" s="5"/>
      <c r="K1532" s="5"/>
      <c r="L1532" s="33">
        <f t="shared" si="417"/>
        <v>0</v>
      </c>
      <c r="M1532" s="33">
        <f t="shared" si="418"/>
        <v>0</v>
      </c>
      <c r="N1532" s="22">
        <f t="shared" si="41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416"/>
        <v>0</v>
      </c>
      <c r="J1533" s="5"/>
      <c r="K1533" s="5"/>
      <c r="L1533" s="33">
        <f t="shared" si="417"/>
        <v>0</v>
      </c>
      <c r="M1533" s="33">
        <f t="shared" si="418"/>
        <v>0</v>
      </c>
      <c r="N1533" s="22">
        <f t="shared" si="41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416"/>
        <v>0</v>
      </c>
      <c r="J1534" s="5"/>
      <c r="K1534" s="5"/>
      <c r="L1534" s="33">
        <f t="shared" si="417"/>
        <v>0</v>
      </c>
      <c r="M1534" s="33">
        <f t="shared" si="418"/>
        <v>0</v>
      </c>
      <c r="N1534" s="22">
        <f t="shared" si="41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416"/>
        <v>8</v>
      </c>
      <c r="J1535" s="5"/>
      <c r="K1535" s="5"/>
      <c r="L1535" s="33">
        <f t="shared" si="417"/>
        <v>940</v>
      </c>
      <c r="M1535" s="33">
        <f t="shared" si="418"/>
        <v>940</v>
      </c>
      <c r="N1535" s="22">
        <f t="shared" si="41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416"/>
        <v>8</v>
      </c>
      <c r="J1536" s="5"/>
      <c r="K1536" s="5"/>
      <c r="L1536" s="33">
        <f t="shared" si="417"/>
        <v>1042</v>
      </c>
      <c r="M1536" s="33">
        <f t="shared" si="418"/>
        <v>1042</v>
      </c>
      <c r="N1536" s="22">
        <f t="shared" si="41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416"/>
        <v>80</v>
      </c>
      <c r="J1537" s="5"/>
      <c r="K1537" s="5"/>
      <c r="L1537" s="33">
        <f t="shared" si="417"/>
        <v>9404</v>
      </c>
      <c r="M1537" s="33">
        <f t="shared" si="418"/>
        <v>9404</v>
      </c>
      <c r="N1537" s="22">
        <f t="shared" si="41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416"/>
        <v>80</v>
      </c>
      <c r="J1538" s="5"/>
      <c r="K1538" s="5"/>
      <c r="L1538" s="33">
        <f t="shared" si="417"/>
        <v>10424</v>
      </c>
      <c r="M1538" s="33">
        <f t="shared" si="418"/>
        <v>10424</v>
      </c>
      <c r="N1538" s="22">
        <f t="shared" si="41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416"/>
        <v>16</v>
      </c>
      <c r="J1539" s="5"/>
      <c r="K1539" s="5"/>
      <c r="L1539" s="33">
        <f t="shared" si="417"/>
        <v>1881</v>
      </c>
      <c r="M1539" s="33">
        <f t="shared" si="418"/>
        <v>1881</v>
      </c>
      <c r="N1539" s="22">
        <f t="shared" si="41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416"/>
        <v>16</v>
      </c>
      <c r="J1540" s="5"/>
      <c r="K1540" s="5"/>
      <c r="L1540" s="33">
        <f t="shared" si="417"/>
        <v>2085</v>
      </c>
      <c r="M1540" s="33">
        <f t="shared" si="418"/>
        <v>2085</v>
      </c>
      <c r="N1540" s="22">
        <f t="shared" si="41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416"/>
        <v>40</v>
      </c>
      <c r="J1541" s="5"/>
      <c r="K1541" s="5"/>
      <c r="L1541" s="33">
        <f t="shared" si="417"/>
        <v>4775</v>
      </c>
      <c r="M1541" s="33">
        <f t="shared" si="418"/>
        <v>4775</v>
      </c>
      <c r="N1541" s="22">
        <f t="shared" si="41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416"/>
        <v>40</v>
      </c>
      <c r="J1542" s="5"/>
      <c r="K1542" s="5"/>
      <c r="L1542" s="33">
        <f t="shared" si="417"/>
        <v>5294</v>
      </c>
      <c r="M1542" s="33">
        <f t="shared" si="418"/>
        <v>5294</v>
      </c>
      <c r="N1542" s="22">
        <f t="shared" si="41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416"/>
        <v>20</v>
      </c>
      <c r="J1543" s="5"/>
      <c r="K1543" s="5"/>
      <c r="L1543" s="33">
        <f t="shared" si="417"/>
        <v>2421</v>
      </c>
      <c r="M1543" s="33">
        <f t="shared" si="418"/>
        <v>2421</v>
      </c>
      <c r="N1543" s="22">
        <f t="shared" si="41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416"/>
        <v>4</v>
      </c>
      <c r="J1544" s="5"/>
      <c r="K1544" s="5"/>
      <c r="L1544" s="33">
        <f t="shared" si="417"/>
        <v>484</v>
      </c>
      <c r="M1544" s="33">
        <f t="shared" si="418"/>
        <v>484</v>
      </c>
      <c r="N1544" s="22">
        <f t="shared" si="41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416"/>
        <v>4</v>
      </c>
      <c r="J1545" s="5"/>
      <c r="K1545" s="5"/>
      <c r="L1545" s="33">
        <f t="shared" si="417"/>
        <v>537</v>
      </c>
      <c r="M1545" s="33">
        <f t="shared" si="418"/>
        <v>537</v>
      </c>
      <c r="N1545" s="22">
        <f t="shared" si="41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416"/>
        <v>80</v>
      </c>
      <c r="J1546" s="5"/>
      <c r="K1546" s="5"/>
      <c r="L1546" s="33">
        <f t="shared" si="417"/>
        <v>14607</v>
      </c>
      <c r="M1546" s="33">
        <f t="shared" si="418"/>
        <v>14607</v>
      </c>
      <c r="N1546" s="22">
        <f t="shared" si="41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416"/>
        <v>80</v>
      </c>
      <c r="J1547" s="5"/>
      <c r="K1547" s="5"/>
      <c r="L1547" s="33">
        <f t="shared" si="417"/>
        <v>10737</v>
      </c>
      <c r="M1547" s="33">
        <f t="shared" si="418"/>
        <v>10737</v>
      </c>
      <c r="N1547" s="22">
        <f t="shared" si="41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416"/>
        <v>0</v>
      </c>
      <c r="J1548" s="5"/>
      <c r="K1548" s="5"/>
      <c r="L1548" s="33">
        <f t="shared" si="417"/>
        <v>0</v>
      </c>
      <c r="M1548" s="33">
        <f t="shared" si="418"/>
        <v>0</v>
      </c>
      <c r="N1548" s="22">
        <f t="shared" si="41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416"/>
        <v>0</v>
      </c>
      <c r="J1549" s="5"/>
      <c r="K1549" s="5"/>
      <c r="L1549" s="33">
        <f t="shared" si="417"/>
        <v>0</v>
      </c>
      <c r="M1549" s="33">
        <f t="shared" si="418"/>
        <v>0</v>
      </c>
      <c r="N1549" s="22">
        <f t="shared" si="41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416"/>
        <v>0</v>
      </c>
      <c r="J1550" s="5"/>
      <c r="K1550" s="5"/>
      <c r="L1550" s="33">
        <f t="shared" si="417"/>
        <v>0</v>
      </c>
      <c r="M1550" s="33">
        <f t="shared" si="418"/>
        <v>0</v>
      </c>
      <c r="N1550" s="22">
        <f t="shared" si="41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416"/>
        <v>0</v>
      </c>
      <c r="J1551" s="5"/>
      <c r="K1551" s="5"/>
      <c r="L1551" s="33">
        <f t="shared" si="417"/>
        <v>0</v>
      </c>
      <c r="M1551" s="33">
        <f t="shared" si="418"/>
        <v>0</v>
      </c>
      <c r="N1551" s="22">
        <f t="shared" si="41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416"/>
        <v>0</v>
      </c>
      <c r="J1552" s="5"/>
      <c r="K1552" s="5"/>
      <c r="L1552" s="33">
        <f t="shared" si="417"/>
        <v>0</v>
      </c>
      <c r="M1552" s="33">
        <f t="shared" si="418"/>
        <v>0</v>
      </c>
      <c r="N1552" s="22">
        <f t="shared" si="41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416"/>
        <v>0</v>
      </c>
      <c r="J1553" s="5"/>
      <c r="K1553" s="5"/>
      <c r="L1553" s="33">
        <f t="shared" si="417"/>
        <v>0</v>
      </c>
      <c r="M1553" s="33">
        <f t="shared" si="418"/>
        <v>0</v>
      </c>
      <c r="N1553" s="22">
        <f t="shared" si="41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416"/>
        <v>72.8</v>
      </c>
      <c r="J1554" s="5"/>
      <c r="K1554" s="5"/>
      <c r="L1554" s="33">
        <f t="shared" si="417"/>
        <v>9486.4</v>
      </c>
      <c r="M1554" s="33">
        <f t="shared" si="418"/>
        <v>9486.4</v>
      </c>
      <c r="N1554" s="22">
        <f t="shared" si="41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416"/>
        <v>72.8</v>
      </c>
      <c r="J1555" s="5"/>
      <c r="K1555" s="5"/>
      <c r="L1555" s="33">
        <f t="shared" si="417"/>
        <v>8557.5</v>
      </c>
      <c r="M1555" s="33">
        <f t="shared" si="418"/>
        <v>8557.5</v>
      </c>
      <c r="N1555" s="22">
        <f t="shared" si="41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416"/>
        <v>65</v>
      </c>
      <c r="J1556" s="5"/>
      <c r="K1556" s="5"/>
      <c r="L1556" s="33">
        <f t="shared" si="417"/>
        <v>8469.5</v>
      </c>
      <c r="M1556" s="33">
        <f t="shared" si="418"/>
        <v>8469.5</v>
      </c>
      <c r="N1556" s="22">
        <f t="shared" si="41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416"/>
        <v>130</v>
      </c>
      <c r="J1557" s="5"/>
      <c r="K1557" s="5"/>
      <c r="L1557" s="33">
        <f t="shared" si="417"/>
        <v>15280.85</v>
      </c>
      <c r="M1557" s="33">
        <f t="shared" si="418"/>
        <v>15280.85</v>
      </c>
      <c r="N1557" s="22">
        <f t="shared" si="41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416"/>
        <v>120</v>
      </c>
      <c r="J1558" s="5"/>
      <c r="K1558" s="5"/>
      <c r="L1558" s="33">
        <f t="shared" si="417"/>
        <v>15637</v>
      </c>
      <c r="M1558" s="33">
        <f t="shared" si="418"/>
        <v>15637</v>
      </c>
      <c r="N1558" s="22">
        <f t="shared" si="41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416"/>
        <v>240</v>
      </c>
      <c r="J1559" s="5"/>
      <c r="K1559" s="5"/>
      <c r="L1559" s="33">
        <f t="shared" si="417"/>
        <v>28211</v>
      </c>
      <c r="M1559" s="33">
        <f t="shared" si="418"/>
        <v>28211</v>
      </c>
      <c r="N1559" s="22">
        <f t="shared" si="41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416"/>
        <v>0</v>
      </c>
      <c r="J1560" s="5"/>
      <c r="K1560" s="5"/>
      <c r="L1560" s="33">
        <f t="shared" si="417"/>
        <v>0</v>
      </c>
      <c r="M1560" s="33">
        <f t="shared" si="418"/>
        <v>0</v>
      </c>
      <c r="N1560" s="22">
        <f t="shared" si="41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416"/>
        <v>0</v>
      </c>
      <c r="J1561" s="5"/>
      <c r="K1561" s="5"/>
      <c r="L1561" s="33">
        <f t="shared" si="417"/>
        <v>0</v>
      </c>
      <c r="M1561" s="33">
        <f t="shared" si="418"/>
        <v>0</v>
      </c>
      <c r="N1561" s="22">
        <f t="shared" si="41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416"/>
        <v>0</v>
      </c>
      <c r="J1562" s="5"/>
      <c r="K1562" s="5"/>
      <c r="L1562" s="33">
        <f t="shared" si="417"/>
        <v>0</v>
      </c>
      <c r="M1562" s="33">
        <f t="shared" si="418"/>
        <v>0</v>
      </c>
      <c r="N1562" s="22">
        <f t="shared" si="41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416"/>
        <v>0</v>
      </c>
      <c r="J1563" s="5"/>
      <c r="K1563" s="5"/>
      <c r="L1563" s="33">
        <f t="shared" si="417"/>
        <v>0</v>
      </c>
      <c r="M1563" s="33">
        <f t="shared" si="418"/>
        <v>0</v>
      </c>
      <c r="N1563" s="22">
        <f t="shared" si="41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416"/>
        <v>0</v>
      </c>
      <c r="J1564" s="5"/>
      <c r="K1564" s="5"/>
      <c r="L1564" s="33">
        <f t="shared" si="417"/>
        <v>0</v>
      </c>
      <c r="M1564" s="33">
        <f t="shared" si="418"/>
        <v>0</v>
      </c>
      <c r="N1564" s="22">
        <f t="shared" si="41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416"/>
        <v>0</v>
      </c>
      <c r="J1565" s="5"/>
      <c r="K1565" s="5"/>
      <c r="L1565" s="33">
        <f t="shared" si="417"/>
        <v>0</v>
      </c>
      <c r="M1565" s="33">
        <f t="shared" si="418"/>
        <v>0</v>
      </c>
      <c r="N1565" s="22">
        <f t="shared" si="41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416"/>
        <v>0</v>
      </c>
      <c r="J1566" s="5"/>
      <c r="K1566" s="5"/>
      <c r="L1566" s="33">
        <f t="shared" si="417"/>
        <v>0</v>
      </c>
      <c r="M1566" s="33">
        <f t="shared" si="418"/>
        <v>0</v>
      </c>
      <c r="N1566" s="22">
        <f t="shared" si="41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416"/>
        <v>0</v>
      </c>
      <c r="J1567" s="5"/>
      <c r="K1567" s="5"/>
      <c r="L1567" s="33">
        <f t="shared" si="417"/>
        <v>0</v>
      </c>
      <c r="M1567" s="33">
        <f t="shared" si="418"/>
        <v>0</v>
      </c>
      <c r="N1567" s="22">
        <f t="shared" si="41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416"/>
        <v>0</v>
      </c>
      <c r="J1568" s="5"/>
      <c r="K1568" s="5"/>
      <c r="L1568" s="33">
        <f t="shared" si="417"/>
        <v>0</v>
      </c>
      <c r="M1568" s="33">
        <f t="shared" si="418"/>
        <v>0</v>
      </c>
      <c r="N1568" s="22">
        <f t="shared" si="41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416"/>
        <v>0</v>
      </c>
      <c r="J1569" s="5"/>
      <c r="K1569" s="5"/>
      <c r="L1569" s="33">
        <f t="shared" si="417"/>
        <v>0</v>
      </c>
      <c r="M1569" s="33">
        <f t="shared" si="418"/>
        <v>0</v>
      </c>
      <c r="N1569" s="22">
        <f t="shared" si="41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416"/>
        <v>0</v>
      </c>
      <c r="J1570" s="5"/>
      <c r="K1570" s="5"/>
      <c r="L1570" s="33">
        <f t="shared" si="417"/>
        <v>0</v>
      </c>
      <c r="M1570" s="33">
        <f t="shared" si="418"/>
        <v>0</v>
      </c>
      <c r="N1570" s="22">
        <f t="shared" si="41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416"/>
        <v>0</v>
      </c>
      <c r="J1571" s="5"/>
      <c r="K1571" s="5"/>
      <c r="L1571" s="33">
        <f t="shared" si="417"/>
        <v>0</v>
      </c>
      <c r="M1571" s="33">
        <f t="shared" si="418"/>
        <v>0</v>
      </c>
      <c r="N1571" s="22">
        <f t="shared" si="41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416"/>
        <v>0</v>
      </c>
      <c r="J1572" s="5"/>
      <c r="K1572" s="5"/>
      <c r="L1572" s="33">
        <f t="shared" si="417"/>
        <v>0</v>
      </c>
      <c r="M1572" s="33">
        <f t="shared" si="418"/>
        <v>0</v>
      </c>
      <c r="N1572" s="22">
        <f t="shared" si="41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420">D1574*(1-H1574)</f>
        <v>14.399999999999999</v>
      </c>
      <c r="J1574" s="5"/>
      <c r="K1574" s="5"/>
      <c r="L1574" s="33">
        <f t="shared" ref="L1574:L1616" si="421">E1574*(1-H1574)</f>
        <v>2184</v>
      </c>
      <c r="M1574" s="33">
        <f t="shared" ref="M1574:M1616" si="422">IF(J1574="",L1574,(E1574/D1574)*J1574)</f>
        <v>2184</v>
      </c>
      <c r="N1574" s="22">
        <f t="shared" ref="N1574:N1616" si="42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420"/>
        <v>57.599999999999994</v>
      </c>
      <c r="J1575" s="5"/>
      <c r="K1575" s="5"/>
      <c r="L1575" s="33">
        <f t="shared" si="421"/>
        <v>6770.4</v>
      </c>
      <c r="M1575" s="33">
        <f t="shared" si="422"/>
        <v>6770.4</v>
      </c>
      <c r="N1575" s="22">
        <f t="shared" si="42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420"/>
        <v>14.399999999999999</v>
      </c>
      <c r="J1576" s="5"/>
      <c r="K1576" s="5"/>
      <c r="L1576" s="33">
        <f t="shared" si="421"/>
        <v>1876.1999999999998</v>
      </c>
      <c r="M1576" s="33">
        <f t="shared" si="422"/>
        <v>1876.1999999999998</v>
      </c>
      <c r="N1576" s="22">
        <f t="shared" si="42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420"/>
        <v>3.2</v>
      </c>
      <c r="J1577" s="5"/>
      <c r="K1577" s="5"/>
      <c r="L1577" s="33">
        <f t="shared" si="421"/>
        <v>485.20000000000005</v>
      </c>
      <c r="M1577" s="33">
        <f t="shared" si="422"/>
        <v>485.20000000000005</v>
      </c>
      <c r="N1577" s="22">
        <f t="shared" si="42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420"/>
        <v>6</v>
      </c>
      <c r="J1578" s="5"/>
      <c r="K1578" s="5"/>
      <c r="L1578" s="33">
        <f t="shared" si="421"/>
        <v>909.75</v>
      </c>
      <c r="M1578" s="33">
        <f t="shared" si="422"/>
        <v>909.75</v>
      </c>
      <c r="N1578" s="22">
        <f t="shared" si="42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420"/>
        <v>24</v>
      </c>
      <c r="J1579" s="5"/>
      <c r="K1579" s="5"/>
      <c r="L1579" s="33">
        <f t="shared" si="421"/>
        <v>2820.75</v>
      </c>
      <c r="M1579" s="33">
        <f t="shared" si="422"/>
        <v>2820.75</v>
      </c>
      <c r="N1579" s="22">
        <f t="shared" si="42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420"/>
        <v>6</v>
      </c>
      <c r="J1580" s="5"/>
      <c r="K1580" s="5"/>
      <c r="L1580" s="33">
        <f t="shared" si="421"/>
        <v>781.5</v>
      </c>
      <c r="M1580" s="33">
        <f t="shared" si="422"/>
        <v>781.5</v>
      </c>
      <c r="N1580" s="22">
        <f t="shared" si="42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420"/>
        <v>16</v>
      </c>
      <c r="J1581" s="5"/>
      <c r="K1581" s="5"/>
      <c r="L1581" s="33">
        <f t="shared" si="421"/>
        <v>2427</v>
      </c>
      <c r="M1581" s="33">
        <f t="shared" si="422"/>
        <v>2427</v>
      </c>
      <c r="N1581" s="22">
        <f t="shared" si="42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420"/>
        <v>72</v>
      </c>
      <c r="J1582" s="5"/>
      <c r="K1582" s="5"/>
      <c r="L1582" s="33">
        <f t="shared" si="421"/>
        <v>8463</v>
      </c>
      <c r="M1582" s="33">
        <f t="shared" si="422"/>
        <v>8463</v>
      </c>
      <c r="N1582" s="22">
        <f t="shared" si="42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420"/>
        <v>16</v>
      </c>
      <c r="J1583" s="5"/>
      <c r="K1583" s="5"/>
      <c r="L1583" s="33">
        <f t="shared" si="421"/>
        <v>2085</v>
      </c>
      <c r="M1583" s="33">
        <f t="shared" si="422"/>
        <v>2085</v>
      </c>
      <c r="N1583" s="22">
        <f t="shared" si="42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420"/>
        <v>48</v>
      </c>
      <c r="J1584" s="5"/>
      <c r="K1584" s="5"/>
      <c r="L1584" s="33">
        <f t="shared" si="421"/>
        <v>7281</v>
      </c>
      <c r="M1584" s="33">
        <f t="shared" si="422"/>
        <v>7281</v>
      </c>
      <c r="N1584" s="22">
        <f t="shared" si="42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420"/>
        <v>144</v>
      </c>
      <c r="J1585" s="5"/>
      <c r="K1585" s="5"/>
      <c r="L1585" s="33">
        <f t="shared" si="421"/>
        <v>16927</v>
      </c>
      <c r="M1585" s="33">
        <f t="shared" si="422"/>
        <v>16927</v>
      </c>
      <c r="N1585" s="22">
        <f t="shared" si="42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420"/>
        <v>48</v>
      </c>
      <c r="J1586" s="5"/>
      <c r="K1586" s="5"/>
      <c r="L1586" s="33">
        <f t="shared" si="421"/>
        <v>6255</v>
      </c>
      <c r="M1586" s="33">
        <f t="shared" si="422"/>
        <v>6255</v>
      </c>
      <c r="N1586" s="22">
        <f t="shared" si="42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420"/>
        <v>48</v>
      </c>
      <c r="J1587" s="5"/>
      <c r="K1587" s="5"/>
      <c r="L1587" s="33">
        <f t="shared" si="421"/>
        <v>7496</v>
      </c>
      <c r="M1587" s="33">
        <f t="shared" si="422"/>
        <v>7496</v>
      </c>
      <c r="N1587" s="22">
        <f t="shared" si="42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420"/>
        <v>144</v>
      </c>
      <c r="J1588" s="5"/>
      <c r="K1588" s="5"/>
      <c r="L1588" s="33">
        <f t="shared" si="421"/>
        <v>17426</v>
      </c>
      <c r="M1588" s="33">
        <f t="shared" si="422"/>
        <v>17426</v>
      </c>
      <c r="N1588" s="22">
        <f t="shared" si="42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420"/>
        <v>48</v>
      </c>
      <c r="J1589" s="5"/>
      <c r="K1589" s="5"/>
      <c r="L1589" s="33">
        <f t="shared" si="421"/>
        <v>6439</v>
      </c>
      <c r="M1589" s="33">
        <f t="shared" si="422"/>
        <v>6439</v>
      </c>
      <c r="N1589" s="22">
        <f t="shared" si="42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420"/>
        <v>8</v>
      </c>
      <c r="J1590" s="5"/>
      <c r="K1590" s="5"/>
      <c r="L1590" s="33">
        <f t="shared" si="421"/>
        <v>1250</v>
      </c>
      <c r="M1590" s="33">
        <f t="shared" si="422"/>
        <v>1250</v>
      </c>
      <c r="N1590" s="22">
        <f t="shared" si="42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420"/>
        <v>40</v>
      </c>
      <c r="J1591" s="5"/>
      <c r="K1591" s="5"/>
      <c r="L1591" s="33">
        <f t="shared" si="421"/>
        <v>4843</v>
      </c>
      <c r="M1591" s="33">
        <f t="shared" si="422"/>
        <v>4843</v>
      </c>
      <c r="N1591" s="22">
        <f t="shared" si="42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420"/>
        <v>16</v>
      </c>
      <c r="J1592" s="5"/>
      <c r="K1592" s="5"/>
      <c r="L1592" s="33">
        <f t="shared" si="421"/>
        <v>1937</v>
      </c>
      <c r="M1592" s="33">
        <f t="shared" si="422"/>
        <v>1937</v>
      </c>
      <c r="N1592" s="22">
        <f t="shared" si="42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420"/>
        <v>8</v>
      </c>
      <c r="J1593" s="5"/>
      <c r="K1593" s="5"/>
      <c r="L1593" s="33">
        <f t="shared" si="421"/>
        <v>1074</v>
      </c>
      <c r="M1593" s="33">
        <f t="shared" si="422"/>
        <v>1074</v>
      </c>
      <c r="N1593" s="22">
        <f t="shared" si="42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420"/>
        <v>92000</v>
      </c>
      <c r="J1594" s="5"/>
      <c r="K1594" s="5"/>
      <c r="L1594" s="33">
        <f t="shared" si="421"/>
        <v>108883</v>
      </c>
      <c r="M1594" s="33">
        <f t="shared" si="422"/>
        <v>108883</v>
      </c>
      <c r="N1594" s="22">
        <f t="shared" si="42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420"/>
        <v>0</v>
      </c>
      <c r="J1595" s="5"/>
      <c r="K1595" s="5"/>
      <c r="L1595" s="33">
        <f t="shared" si="421"/>
        <v>0</v>
      </c>
      <c r="M1595" s="33">
        <f t="shared" si="422"/>
        <v>0</v>
      </c>
      <c r="N1595" s="22">
        <f t="shared" si="42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420"/>
        <v>0</v>
      </c>
      <c r="J1596" s="5"/>
      <c r="K1596" s="5"/>
      <c r="L1596" s="33">
        <f t="shared" si="421"/>
        <v>0</v>
      </c>
      <c r="M1596" s="33">
        <f t="shared" si="422"/>
        <v>0</v>
      </c>
      <c r="N1596" s="22">
        <f t="shared" si="42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420"/>
        <v>0</v>
      </c>
      <c r="J1597" s="5"/>
      <c r="K1597" s="5"/>
      <c r="L1597" s="33">
        <f t="shared" si="421"/>
        <v>0</v>
      </c>
      <c r="M1597" s="33">
        <f t="shared" si="422"/>
        <v>0</v>
      </c>
      <c r="N1597" s="22">
        <f t="shared" si="42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420"/>
        <v>0</v>
      </c>
      <c r="J1598" s="5"/>
      <c r="K1598" s="5"/>
      <c r="L1598" s="33">
        <f t="shared" si="421"/>
        <v>0</v>
      </c>
      <c r="M1598" s="33">
        <f t="shared" si="422"/>
        <v>0</v>
      </c>
      <c r="N1598" s="22">
        <f t="shared" si="42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420"/>
        <v>1.2000000000000002</v>
      </c>
      <c r="J1599" s="5"/>
      <c r="K1599" s="5"/>
      <c r="L1599" s="33">
        <f t="shared" si="421"/>
        <v>181.95000000000002</v>
      </c>
      <c r="M1599" s="33">
        <f t="shared" si="422"/>
        <v>181.95000000000002</v>
      </c>
      <c r="N1599" s="22">
        <f t="shared" si="42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420"/>
        <v>4.8000000000000007</v>
      </c>
      <c r="J1600" s="5"/>
      <c r="K1600" s="5"/>
      <c r="L1600" s="33">
        <f t="shared" si="421"/>
        <v>564.15000000000009</v>
      </c>
      <c r="M1600" s="33">
        <f t="shared" si="422"/>
        <v>564.15000000000009</v>
      </c>
      <c r="N1600" s="22">
        <f t="shared" si="42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420"/>
        <v>1.2000000000000002</v>
      </c>
      <c r="J1601" s="5"/>
      <c r="K1601" s="5"/>
      <c r="L1601" s="33">
        <f t="shared" si="421"/>
        <v>156.30000000000001</v>
      </c>
      <c r="M1601" s="33">
        <f t="shared" si="422"/>
        <v>156.30000000000001</v>
      </c>
      <c r="N1601" s="22">
        <f t="shared" si="42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420"/>
        <v>0</v>
      </c>
      <c r="J1602" s="5"/>
      <c r="K1602" s="5"/>
      <c r="L1602" s="33">
        <f t="shared" si="421"/>
        <v>0</v>
      </c>
      <c r="M1602" s="33">
        <f t="shared" si="422"/>
        <v>0</v>
      </c>
      <c r="N1602" s="22">
        <f t="shared" si="42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420"/>
        <v>0</v>
      </c>
      <c r="J1603" s="5"/>
      <c r="K1603" s="5"/>
      <c r="L1603" s="33">
        <f t="shared" si="421"/>
        <v>0</v>
      </c>
      <c r="M1603" s="33">
        <f t="shared" si="422"/>
        <v>0</v>
      </c>
      <c r="N1603" s="22">
        <f t="shared" si="42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420"/>
        <v>0</v>
      </c>
      <c r="J1604" s="5"/>
      <c r="K1604" s="5"/>
      <c r="L1604" s="33">
        <f t="shared" si="421"/>
        <v>0</v>
      </c>
      <c r="M1604" s="33">
        <f t="shared" si="422"/>
        <v>0</v>
      </c>
      <c r="N1604" s="22">
        <f t="shared" si="42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420"/>
        <v>0</v>
      </c>
      <c r="J1605" s="5"/>
      <c r="K1605" s="5"/>
      <c r="L1605" s="33">
        <f t="shared" si="421"/>
        <v>0</v>
      </c>
      <c r="M1605" s="33">
        <f t="shared" si="422"/>
        <v>0</v>
      </c>
      <c r="N1605" s="22">
        <f t="shared" si="42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420"/>
        <v>0</v>
      </c>
      <c r="J1606" s="5"/>
      <c r="K1606" s="5"/>
      <c r="L1606" s="33">
        <f t="shared" si="421"/>
        <v>0</v>
      </c>
      <c r="M1606" s="33">
        <f t="shared" si="422"/>
        <v>0</v>
      </c>
      <c r="N1606" s="22">
        <f t="shared" si="42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420"/>
        <v>0</v>
      </c>
      <c r="J1607" s="5"/>
      <c r="K1607" s="5"/>
      <c r="L1607" s="33">
        <f t="shared" si="421"/>
        <v>0</v>
      </c>
      <c r="M1607" s="33">
        <f t="shared" si="422"/>
        <v>0</v>
      </c>
      <c r="N1607" s="22">
        <f t="shared" si="42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420"/>
        <v>0</v>
      </c>
      <c r="J1608" s="5"/>
      <c r="K1608" s="5"/>
      <c r="L1608" s="33">
        <f t="shared" si="421"/>
        <v>0</v>
      </c>
      <c r="M1608" s="33">
        <f t="shared" si="422"/>
        <v>0</v>
      </c>
      <c r="N1608" s="22">
        <f t="shared" si="42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420"/>
        <v>0</v>
      </c>
      <c r="J1609" s="5"/>
      <c r="K1609" s="5"/>
      <c r="L1609" s="33">
        <f t="shared" si="421"/>
        <v>0</v>
      </c>
      <c r="M1609" s="33">
        <f t="shared" si="422"/>
        <v>0</v>
      </c>
      <c r="N1609" s="22">
        <f t="shared" si="42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420"/>
        <v>0</v>
      </c>
      <c r="J1610" s="5"/>
      <c r="K1610" s="5"/>
      <c r="L1610" s="33">
        <f t="shared" si="421"/>
        <v>0</v>
      </c>
      <c r="M1610" s="33">
        <f t="shared" si="422"/>
        <v>0</v>
      </c>
      <c r="N1610" s="22">
        <f t="shared" si="42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420"/>
        <v>0</v>
      </c>
      <c r="J1611" s="5"/>
      <c r="K1611" s="5"/>
      <c r="L1611" s="33">
        <f t="shared" si="421"/>
        <v>0</v>
      </c>
      <c r="M1611" s="33">
        <f t="shared" si="422"/>
        <v>0</v>
      </c>
      <c r="N1611" s="22">
        <f t="shared" si="42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420"/>
        <v>0</v>
      </c>
      <c r="J1612" s="5"/>
      <c r="K1612" s="5"/>
      <c r="L1612" s="33">
        <f t="shared" si="421"/>
        <v>0</v>
      </c>
      <c r="M1612" s="33">
        <f t="shared" si="422"/>
        <v>0</v>
      </c>
      <c r="N1612" s="22">
        <f t="shared" si="42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420"/>
        <v>0</v>
      </c>
      <c r="J1613" s="5"/>
      <c r="K1613" s="5"/>
      <c r="L1613" s="33">
        <f t="shared" si="421"/>
        <v>0</v>
      </c>
      <c r="M1613" s="33">
        <f t="shared" si="422"/>
        <v>0</v>
      </c>
      <c r="N1613" s="22">
        <f t="shared" si="42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420"/>
        <v>0</v>
      </c>
      <c r="J1614" s="5"/>
      <c r="K1614" s="5"/>
      <c r="L1614" s="33">
        <f t="shared" si="421"/>
        <v>0</v>
      </c>
      <c r="M1614" s="33">
        <f t="shared" si="422"/>
        <v>0</v>
      </c>
      <c r="N1614" s="22">
        <f t="shared" si="42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420"/>
        <v>0</v>
      </c>
      <c r="J1615" s="5"/>
      <c r="K1615" s="5"/>
      <c r="L1615" s="33">
        <f t="shared" si="421"/>
        <v>0</v>
      </c>
      <c r="M1615" s="33">
        <f t="shared" si="422"/>
        <v>0</v>
      </c>
      <c r="N1615" s="22">
        <f t="shared" si="42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420"/>
        <v>0</v>
      </c>
      <c r="J1616" s="5"/>
      <c r="K1616" s="5"/>
      <c r="L1616" s="33">
        <f t="shared" si="421"/>
        <v>0</v>
      </c>
      <c r="M1616" s="33">
        <f t="shared" si="422"/>
        <v>0</v>
      </c>
      <c r="N1616" s="22">
        <f t="shared" si="42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424">D1618*(1-H1618)</f>
        <v>64.319999999999993</v>
      </c>
      <c r="J1618" s="5"/>
      <c r="K1618" s="5"/>
      <c r="L1618" s="33">
        <f t="shared" ref="L1618:L1681" si="425">E1618*(1-H1618)</f>
        <v>9471.7899999999991</v>
      </c>
      <c r="M1618" s="33">
        <f t="shared" ref="M1618:M1681" si="426">IF(J1618="",L1618,(E1618/D1618)*J1618)</f>
        <v>9471.7899999999991</v>
      </c>
      <c r="N1618" s="22">
        <f t="shared" ref="N1618:N1681" si="42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424"/>
        <v>32.159999999999997</v>
      </c>
      <c r="J1619" s="5"/>
      <c r="K1619" s="5"/>
      <c r="L1619" s="33">
        <f t="shared" si="425"/>
        <v>3670.2599999999998</v>
      </c>
      <c r="M1619" s="33">
        <f t="shared" si="426"/>
        <v>3670.2599999999998</v>
      </c>
      <c r="N1619" s="22">
        <f t="shared" si="42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424"/>
        <v>32.159999999999997</v>
      </c>
      <c r="J1620" s="5"/>
      <c r="K1620" s="5"/>
      <c r="L1620" s="33">
        <f t="shared" si="425"/>
        <v>3670.2599999999998</v>
      </c>
      <c r="M1620" s="33">
        <f t="shared" si="426"/>
        <v>3670.2599999999998</v>
      </c>
      <c r="N1620" s="22">
        <f t="shared" si="42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424"/>
        <v>8</v>
      </c>
      <c r="J1621" s="5"/>
      <c r="K1621" s="5"/>
      <c r="L1621" s="33">
        <f t="shared" si="425"/>
        <v>1178</v>
      </c>
      <c r="M1621" s="33">
        <f t="shared" si="426"/>
        <v>1178</v>
      </c>
      <c r="N1621" s="22">
        <f t="shared" si="42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424"/>
        <v>20</v>
      </c>
      <c r="J1622" s="5"/>
      <c r="K1622" s="5"/>
      <c r="L1622" s="33">
        <f t="shared" si="425"/>
        <v>3034</v>
      </c>
      <c r="M1622" s="33">
        <f t="shared" si="426"/>
        <v>3034</v>
      </c>
      <c r="N1622" s="22">
        <f t="shared" si="42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424"/>
        <v>16</v>
      </c>
      <c r="J1623" s="5"/>
      <c r="K1623" s="5"/>
      <c r="L1623" s="33">
        <f t="shared" si="425"/>
        <v>1881</v>
      </c>
      <c r="M1623" s="33">
        <f t="shared" si="426"/>
        <v>1881</v>
      </c>
      <c r="N1623" s="22">
        <f t="shared" si="42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424"/>
        <v>16</v>
      </c>
      <c r="J1624" s="5"/>
      <c r="K1624" s="5"/>
      <c r="L1624" s="33">
        <f t="shared" si="425"/>
        <v>1881</v>
      </c>
      <c r="M1624" s="33">
        <f t="shared" si="426"/>
        <v>1881</v>
      </c>
      <c r="N1624" s="22">
        <f t="shared" si="42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424"/>
        <v>32</v>
      </c>
      <c r="J1625" s="5"/>
      <c r="K1625" s="5"/>
      <c r="L1625" s="33">
        <f t="shared" si="425"/>
        <v>4854</v>
      </c>
      <c r="M1625" s="33">
        <f t="shared" si="426"/>
        <v>4854</v>
      </c>
      <c r="N1625" s="22">
        <f t="shared" si="42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424"/>
        <v>72</v>
      </c>
      <c r="J1626" s="5"/>
      <c r="K1626" s="5"/>
      <c r="L1626" s="33">
        <f t="shared" si="425"/>
        <v>8463</v>
      </c>
      <c r="M1626" s="33">
        <f t="shared" si="426"/>
        <v>8463</v>
      </c>
      <c r="N1626" s="22">
        <f t="shared" si="42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424"/>
        <v>24</v>
      </c>
      <c r="J1627" s="5"/>
      <c r="K1627" s="5"/>
      <c r="L1627" s="33">
        <f t="shared" si="425"/>
        <v>3640</v>
      </c>
      <c r="M1627" s="33">
        <f t="shared" si="426"/>
        <v>3640</v>
      </c>
      <c r="N1627" s="22">
        <f t="shared" si="42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424"/>
        <v>24</v>
      </c>
      <c r="J1628" s="5"/>
      <c r="K1628" s="5"/>
      <c r="L1628" s="33">
        <f t="shared" si="425"/>
        <v>2821</v>
      </c>
      <c r="M1628" s="33">
        <f t="shared" si="426"/>
        <v>2821</v>
      </c>
      <c r="N1628" s="22">
        <f t="shared" si="42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424"/>
        <v>96</v>
      </c>
      <c r="J1629" s="5"/>
      <c r="K1629" s="5"/>
      <c r="L1629" s="33">
        <f t="shared" si="425"/>
        <v>14882</v>
      </c>
      <c r="M1629" s="33">
        <f t="shared" si="426"/>
        <v>14882</v>
      </c>
      <c r="N1629" s="22">
        <f t="shared" si="42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424"/>
        <v>96</v>
      </c>
      <c r="J1630" s="5"/>
      <c r="K1630" s="5"/>
      <c r="L1630" s="33">
        <f t="shared" si="425"/>
        <v>11533</v>
      </c>
      <c r="M1630" s="33">
        <f t="shared" si="426"/>
        <v>11533</v>
      </c>
      <c r="N1630" s="22">
        <f t="shared" si="42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424"/>
        <v>16</v>
      </c>
      <c r="J1631" s="5"/>
      <c r="K1631" s="5"/>
      <c r="L1631" s="33">
        <f t="shared" si="425"/>
        <v>2500</v>
      </c>
      <c r="M1631" s="33">
        <f t="shared" si="426"/>
        <v>2500</v>
      </c>
      <c r="N1631" s="22">
        <f t="shared" si="42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424"/>
        <v>16</v>
      </c>
      <c r="J1632" s="5"/>
      <c r="K1632" s="5"/>
      <c r="L1632" s="33">
        <f t="shared" si="425"/>
        <v>1937</v>
      </c>
      <c r="M1632" s="33">
        <f t="shared" si="426"/>
        <v>1937</v>
      </c>
      <c r="N1632" s="22">
        <f t="shared" si="42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424"/>
        <v>8</v>
      </c>
      <c r="J1633" s="5"/>
      <c r="K1633" s="5"/>
      <c r="L1633" s="33">
        <f t="shared" si="425"/>
        <v>969</v>
      </c>
      <c r="M1633" s="33">
        <f t="shared" si="426"/>
        <v>969</v>
      </c>
      <c r="N1633" s="22">
        <f t="shared" si="42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424"/>
        <v>53000</v>
      </c>
      <c r="J1634" s="5"/>
      <c r="K1634" s="5"/>
      <c r="L1634" s="33">
        <f t="shared" si="425"/>
        <v>62419</v>
      </c>
      <c r="M1634" s="33">
        <f t="shared" si="426"/>
        <v>62419</v>
      </c>
      <c r="N1634" s="22">
        <f t="shared" si="42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424"/>
        <v>0</v>
      </c>
      <c r="J1635" s="5"/>
      <c r="K1635" s="5"/>
      <c r="L1635" s="33">
        <f t="shared" si="425"/>
        <v>0</v>
      </c>
      <c r="M1635" s="33">
        <f t="shared" si="426"/>
        <v>0</v>
      </c>
      <c r="N1635" s="22">
        <f t="shared" si="42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424"/>
        <v>0</v>
      </c>
      <c r="J1636" s="5"/>
      <c r="K1636" s="5"/>
      <c r="L1636" s="33">
        <f t="shared" si="425"/>
        <v>0</v>
      </c>
      <c r="M1636" s="33">
        <f t="shared" si="426"/>
        <v>0</v>
      </c>
      <c r="N1636" s="22">
        <f t="shared" si="42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424"/>
        <v>0</v>
      </c>
      <c r="J1637" s="5"/>
      <c r="K1637" s="5"/>
      <c r="L1637" s="33">
        <f t="shared" si="425"/>
        <v>0</v>
      </c>
      <c r="M1637" s="33">
        <f t="shared" si="426"/>
        <v>0</v>
      </c>
      <c r="N1637" s="22">
        <f t="shared" si="42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424"/>
        <v>0</v>
      </c>
      <c r="J1638" s="5"/>
      <c r="K1638" s="5"/>
      <c r="L1638" s="33">
        <f t="shared" si="425"/>
        <v>0</v>
      </c>
      <c r="M1638" s="33">
        <f t="shared" si="426"/>
        <v>0</v>
      </c>
      <c r="N1638" s="22">
        <f t="shared" si="42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424"/>
        <v>0</v>
      </c>
      <c r="J1639" s="5"/>
      <c r="K1639" s="5"/>
      <c r="L1639" s="33">
        <f t="shared" si="425"/>
        <v>0</v>
      </c>
      <c r="M1639" s="33">
        <f t="shared" si="426"/>
        <v>0</v>
      </c>
      <c r="N1639" s="22">
        <f t="shared" si="42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424"/>
        <v>8</v>
      </c>
      <c r="J1640" s="5"/>
      <c r="K1640" s="5"/>
      <c r="L1640" s="33">
        <f t="shared" si="425"/>
        <v>1178</v>
      </c>
      <c r="M1640" s="33">
        <f t="shared" si="426"/>
        <v>1178</v>
      </c>
      <c r="N1640" s="22">
        <f t="shared" si="42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424"/>
        <v>10</v>
      </c>
      <c r="J1641" s="5"/>
      <c r="K1641" s="5"/>
      <c r="L1641" s="33">
        <f t="shared" si="425"/>
        <v>1141</v>
      </c>
      <c r="M1641" s="33">
        <f t="shared" si="426"/>
        <v>1141</v>
      </c>
      <c r="N1641" s="22">
        <f t="shared" si="42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424"/>
        <v>4</v>
      </c>
      <c r="J1642" s="5"/>
      <c r="K1642" s="5"/>
      <c r="L1642" s="33">
        <f t="shared" si="425"/>
        <v>456.5</v>
      </c>
      <c r="M1642" s="33">
        <f t="shared" si="426"/>
        <v>456.5</v>
      </c>
      <c r="N1642" s="22">
        <f t="shared" si="42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424"/>
        <v>4.8</v>
      </c>
      <c r="J1643" s="5"/>
      <c r="K1643" s="5"/>
      <c r="L1643" s="33">
        <f t="shared" si="425"/>
        <v>706.8</v>
      </c>
      <c r="M1643" s="33">
        <f t="shared" si="426"/>
        <v>706.8</v>
      </c>
      <c r="N1643" s="22">
        <f t="shared" si="42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424"/>
        <v>14.399999999999999</v>
      </c>
      <c r="J1644" s="5"/>
      <c r="K1644" s="5"/>
      <c r="L1644" s="33">
        <f t="shared" si="425"/>
        <v>1643.3999999999999</v>
      </c>
      <c r="M1644" s="33">
        <f t="shared" si="426"/>
        <v>1643.3999999999999</v>
      </c>
      <c r="N1644" s="22">
        <f t="shared" si="42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424"/>
        <v>0</v>
      </c>
      <c r="J1645" s="5"/>
      <c r="K1645" s="5"/>
      <c r="L1645" s="33">
        <f t="shared" si="425"/>
        <v>0</v>
      </c>
      <c r="M1645" s="33">
        <f t="shared" si="426"/>
        <v>0</v>
      </c>
      <c r="N1645" s="22">
        <f t="shared" si="42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424"/>
        <v>0</v>
      </c>
      <c r="J1646" s="5"/>
      <c r="K1646" s="5"/>
      <c r="L1646" s="33">
        <f t="shared" si="425"/>
        <v>0</v>
      </c>
      <c r="M1646" s="33">
        <f t="shared" si="426"/>
        <v>0</v>
      </c>
      <c r="N1646" s="22">
        <f t="shared" si="42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424"/>
        <v>2</v>
      </c>
      <c r="J1647" s="5"/>
      <c r="K1647" s="5"/>
      <c r="L1647" s="33">
        <f t="shared" si="425"/>
        <v>294.5</v>
      </c>
      <c r="M1647" s="33">
        <f t="shared" si="426"/>
        <v>294.5</v>
      </c>
      <c r="N1647" s="22">
        <f t="shared" si="42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424"/>
        <v>6</v>
      </c>
      <c r="J1648" s="5"/>
      <c r="K1648" s="5"/>
      <c r="L1648" s="33">
        <f t="shared" si="425"/>
        <v>684.75</v>
      </c>
      <c r="M1648" s="33">
        <f t="shared" si="426"/>
        <v>684.75</v>
      </c>
      <c r="N1648" s="22">
        <f t="shared" si="42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424"/>
        <v>0</v>
      </c>
      <c r="J1649" s="5"/>
      <c r="K1649" s="5"/>
      <c r="L1649" s="33">
        <f t="shared" si="425"/>
        <v>0</v>
      </c>
      <c r="M1649" s="33">
        <f t="shared" si="426"/>
        <v>0</v>
      </c>
      <c r="N1649" s="22">
        <f t="shared" si="42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424"/>
        <v>0</v>
      </c>
      <c r="J1650" s="5"/>
      <c r="K1650" s="5"/>
      <c r="L1650" s="33">
        <f t="shared" si="425"/>
        <v>0</v>
      </c>
      <c r="M1650" s="33">
        <f t="shared" si="426"/>
        <v>0</v>
      </c>
      <c r="N1650" s="22">
        <f t="shared" si="42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424"/>
        <v>4</v>
      </c>
      <c r="J1651" s="5"/>
      <c r="K1651" s="5"/>
      <c r="L1651" s="33">
        <f t="shared" si="425"/>
        <v>589</v>
      </c>
      <c r="M1651" s="33">
        <f t="shared" si="426"/>
        <v>589</v>
      </c>
      <c r="N1651" s="22">
        <f t="shared" si="42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424"/>
        <v>12</v>
      </c>
      <c r="J1652" s="5"/>
      <c r="K1652" s="5"/>
      <c r="L1652" s="33">
        <f t="shared" si="425"/>
        <v>1369.5</v>
      </c>
      <c r="M1652" s="33">
        <f t="shared" si="426"/>
        <v>1369.5</v>
      </c>
      <c r="N1652" s="22">
        <f t="shared" si="42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424"/>
        <v>8</v>
      </c>
      <c r="J1653" s="5"/>
      <c r="K1653" s="5"/>
      <c r="L1653" s="33">
        <f t="shared" si="425"/>
        <v>1178</v>
      </c>
      <c r="M1653" s="33">
        <f t="shared" si="426"/>
        <v>1178</v>
      </c>
      <c r="N1653" s="22">
        <f t="shared" si="42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424"/>
        <v>24</v>
      </c>
      <c r="J1654" s="5"/>
      <c r="K1654" s="5"/>
      <c r="L1654" s="33">
        <f t="shared" si="425"/>
        <v>2739</v>
      </c>
      <c r="M1654" s="33">
        <f t="shared" si="426"/>
        <v>2739</v>
      </c>
      <c r="N1654" s="22">
        <f t="shared" si="42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424"/>
        <v>6.4</v>
      </c>
      <c r="J1655" s="5"/>
      <c r="K1655" s="5"/>
      <c r="L1655" s="33">
        <f t="shared" si="425"/>
        <v>959.2</v>
      </c>
      <c r="M1655" s="33">
        <f t="shared" si="426"/>
        <v>959.2</v>
      </c>
      <c r="N1655" s="22">
        <f t="shared" si="42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424"/>
        <v>19.200000000000003</v>
      </c>
      <c r="J1656" s="5"/>
      <c r="K1656" s="5"/>
      <c r="L1656" s="33">
        <f t="shared" si="425"/>
        <v>2230.4</v>
      </c>
      <c r="M1656" s="33">
        <f t="shared" si="426"/>
        <v>2230.4</v>
      </c>
      <c r="N1656" s="22">
        <f t="shared" si="42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424"/>
        <v>3.2</v>
      </c>
      <c r="J1657" s="5"/>
      <c r="K1657" s="5"/>
      <c r="L1657" s="33">
        <f t="shared" si="425"/>
        <v>485.20000000000005</v>
      </c>
      <c r="M1657" s="33">
        <f t="shared" si="426"/>
        <v>485.20000000000005</v>
      </c>
      <c r="N1657" s="22">
        <f t="shared" si="42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424"/>
        <v>9.6000000000000014</v>
      </c>
      <c r="J1658" s="5"/>
      <c r="K1658" s="5"/>
      <c r="L1658" s="33">
        <f t="shared" si="425"/>
        <v>1128.4000000000001</v>
      </c>
      <c r="M1658" s="33">
        <f t="shared" si="426"/>
        <v>1128.4000000000001</v>
      </c>
      <c r="N1658" s="22">
        <f t="shared" si="42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424"/>
        <v>15.2</v>
      </c>
      <c r="J1659" s="5"/>
      <c r="K1659" s="5"/>
      <c r="L1659" s="33">
        <f t="shared" si="425"/>
        <v>2305.65</v>
      </c>
      <c r="M1659" s="33">
        <f t="shared" si="426"/>
        <v>2305.65</v>
      </c>
      <c r="N1659" s="22">
        <f t="shared" si="42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424"/>
        <v>45.599999999999994</v>
      </c>
      <c r="J1660" s="5"/>
      <c r="K1660" s="5"/>
      <c r="L1660" s="33">
        <f t="shared" si="425"/>
        <v>5359.9</v>
      </c>
      <c r="M1660" s="33">
        <f t="shared" si="426"/>
        <v>5359.9</v>
      </c>
      <c r="N1660" s="22">
        <f t="shared" si="42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424"/>
        <v>0</v>
      </c>
      <c r="J1661" s="5"/>
      <c r="K1661" s="5"/>
      <c r="L1661" s="33">
        <f t="shared" si="425"/>
        <v>0</v>
      </c>
      <c r="M1661" s="33">
        <f t="shared" si="426"/>
        <v>0</v>
      </c>
      <c r="N1661" s="22">
        <f t="shared" si="42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424"/>
        <v>0</v>
      </c>
      <c r="J1662" s="5"/>
      <c r="K1662" s="5"/>
      <c r="L1662" s="33">
        <f t="shared" si="425"/>
        <v>0</v>
      </c>
      <c r="M1662" s="33">
        <f t="shared" si="426"/>
        <v>0</v>
      </c>
      <c r="N1662" s="22">
        <f t="shared" si="42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424"/>
        <v>1.5999999999999996</v>
      </c>
      <c r="J1663" s="5"/>
      <c r="K1663" s="5"/>
      <c r="L1663" s="33">
        <f t="shared" si="425"/>
        <v>242.59999999999994</v>
      </c>
      <c r="M1663" s="33">
        <f t="shared" si="426"/>
        <v>242.59999999999994</v>
      </c>
      <c r="N1663" s="22">
        <f t="shared" si="42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424"/>
        <v>3.1999999999999993</v>
      </c>
      <c r="J1664" s="5"/>
      <c r="K1664" s="5"/>
      <c r="L1664" s="33">
        <f t="shared" si="425"/>
        <v>376.19999999999993</v>
      </c>
      <c r="M1664" s="33">
        <f t="shared" si="426"/>
        <v>376.19999999999993</v>
      </c>
      <c r="N1664" s="22">
        <f t="shared" si="42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424"/>
        <v>3.2</v>
      </c>
      <c r="J1665" s="5"/>
      <c r="K1665" s="5"/>
      <c r="L1665" s="33">
        <f t="shared" si="425"/>
        <v>485.20000000000005</v>
      </c>
      <c r="M1665" s="33">
        <f t="shared" si="426"/>
        <v>485.20000000000005</v>
      </c>
      <c r="N1665" s="22">
        <f t="shared" si="42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424"/>
        <v>6.4</v>
      </c>
      <c r="J1666" s="5"/>
      <c r="K1666" s="5"/>
      <c r="L1666" s="33">
        <f t="shared" si="425"/>
        <v>752.40000000000009</v>
      </c>
      <c r="M1666" s="33">
        <f t="shared" si="426"/>
        <v>752.40000000000009</v>
      </c>
      <c r="N1666" s="22">
        <f t="shared" si="42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424"/>
        <v>5.6</v>
      </c>
      <c r="J1667" s="5"/>
      <c r="K1667" s="5"/>
      <c r="L1667" s="33">
        <f t="shared" si="425"/>
        <v>849.09999999999991</v>
      </c>
      <c r="M1667" s="33">
        <f t="shared" si="426"/>
        <v>849.09999999999991</v>
      </c>
      <c r="N1667" s="22">
        <f t="shared" si="42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424"/>
        <v>11.2</v>
      </c>
      <c r="J1668" s="5"/>
      <c r="K1668" s="5"/>
      <c r="L1668" s="33">
        <f t="shared" si="425"/>
        <v>1316.6999999999998</v>
      </c>
      <c r="M1668" s="33">
        <f t="shared" si="426"/>
        <v>1316.6999999999998</v>
      </c>
      <c r="N1668" s="22">
        <f t="shared" si="42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424"/>
        <v>5.6</v>
      </c>
      <c r="J1669" s="5"/>
      <c r="K1669" s="5"/>
      <c r="L1669" s="33">
        <f t="shared" si="425"/>
        <v>849.09999999999991</v>
      </c>
      <c r="M1669" s="33">
        <f t="shared" si="426"/>
        <v>849.09999999999991</v>
      </c>
      <c r="N1669" s="22">
        <f t="shared" si="42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424"/>
        <v>11.2</v>
      </c>
      <c r="J1670" s="5"/>
      <c r="K1670" s="5"/>
      <c r="L1670" s="33">
        <f t="shared" si="425"/>
        <v>1316.6999999999998</v>
      </c>
      <c r="M1670" s="33">
        <f t="shared" si="426"/>
        <v>1316.6999999999998</v>
      </c>
      <c r="N1670" s="22">
        <f t="shared" si="42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424"/>
        <v>4</v>
      </c>
      <c r="J1671" s="5"/>
      <c r="K1671" s="5"/>
      <c r="L1671" s="33">
        <f t="shared" si="425"/>
        <v>606.5</v>
      </c>
      <c r="M1671" s="33">
        <f t="shared" si="426"/>
        <v>606.5</v>
      </c>
      <c r="N1671" s="22">
        <f t="shared" si="42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424"/>
        <v>8</v>
      </c>
      <c r="J1672" s="5"/>
      <c r="K1672" s="5"/>
      <c r="L1672" s="33">
        <f t="shared" si="425"/>
        <v>940.5</v>
      </c>
      <c r="M1672" s="33">
        <f t="shared" si="426"/>
        <v>940.5</v>
      </c>
      <c r="N1672" s="22">
        <f t="shared" si="42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424"/>
        <v>67.199999999999989</v>
      </c>
      <c r="J1673" s="5"/>
      <c r="K1673" s="5"/>
      <c r="L1673" s="33">
        <f t="shared" si="425"/>
        <v>10193.4</v>
      </c>
      <c r="M1673" s="33">
        <f t="shared" si="426"/>
        <v>10193.4</v>
      </c>
      <c r="N1673" s="22">
        <f t="shared" si="42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424"/>
        <v>33.599999999999994</v>
      </c>
      <c r="J1674" s="5"/>
      <c r="K1674" s="5"/>
      <c r="L1674" s="33">
        <f t="shared" si="425"/>
        <v>3949.3999999999996</v>
      </c>
      <c r="M1674" s="33">
        <f t="shared" si="426"/>
        <v>3949.3999999999996</v>
      </c>
      <c r="N1674" s="22">
        <f t="shared" si="42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424"/>
        <v>33.599999999999994</v>
      </c>
      <c r="J1675" s="5"/>
      <c r="K1675" s="5"/>
      <c r="L1675" s="33">
        <f t="shared" si="425"/>
        <v>3949.3999999999996</v>
      </c>
      <c r="M1675" s="33">
        <f t="shared" si="426"/>
        <v>3949.3999999999996</v>
      </c>
      <c r="N1675" s="22">
        <f t="shared" si="42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424"/>
        <v>8</v>
      </c>
      <c r="J1676" s="5"/>
      <c r="K1676" s="5"/>
      <c r="L1676" s="33">
        <f t="shared" si="425"/>
        <v>1213</v>
      </c>
      <c r="M1676" s="33">
        <f t="shared" si="426"/>
        <v>1213</v>
      </c>
      <c r="N1676" s="22">
        <f t="shared" si="42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424"/>
        <v>16</v>
      </c>
      <c r="J1677" s="5"/>
      <c r="K1677" s="5"/>
      <c r="L1677" s="33">
        <f t="shared" si="425"/>
        <v>1881</v>
      </c>
      <c r="M1677" s="33">
        <f t="shared" si="426"/>
        <v>1881</v>
      </c>
      <c r="N1677" s="22">
        <f t="shared" si="42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424"/>
        <v>20</v>
      </c>
      <c r="J1678" s="5"/>
      <c r="K1678" s="5"/>
      <c r="L1678" s="33">
        <f t="shared" si="425"/>
        <v>3034</v>
      </c>
      <c r="M1678" s="33">
        <f t="shared" si="426"/>
        <v>3034</v>
      </c>
      <c r="N1678" s="22">
        <f t="shared" si="42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424"/>
        <v>8</v>
      </c>
      <c r="J1679" s="5"/>
      <c r="K1679" s="5"/>
      <c r="L1679" s="33">
        <f t="shared" si="425"/>
        <v>940</v>
      </c>
      <c r="M1679" s="33">
        <f t="shared" si="426"/>
        <v>940</v>
      </c>
      <c r="N1679" s="22">
        <f t="shared" si="42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424"/>
        <v>8</v>
      </c>
      <c r="J1680" s="5"/>
      <c r="K1680" s="5"/>
      <c r="L1680" s="33">
        <f t="shared" si="425"/>
        <v>940</v>
      </c>
      <c r="M1680" s="33">
        <f t="shared" si="426"/>
        <v>940</v>
      </c>
      <c r="N1680" s="22">
        <f t="shared" si="42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424"/>
        <v>32</v>
      </c>
      <c r="J1681" s="5"/>
      <c r="K1681" s="5"/>
      <c r="L1681" s="33">
        <f t="shared" si="425"/>
        <v>4854</v>
      </c>
      <c r="M1681" s="33">
        <f t="shared" si="426"/>
        <v>4854</v>
      </c>
      <c r="N1681" s="22">
        <f t="shared" si="42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428">D1682*(1-H1682)</f>
        <v>72</v>
      </c>
      <c r="J1682" s="5"/>
      <c r="K1682" s="5"/>
      <c r="L1682" s="33">
        <f t="shared" ref="L1682:L1693" si="429">E1682*(1-H1682)</f>
        <v>8463</v>
      </c>
      <c r="M1682" s="33">
        <f t="shared" ref="M1682:M1693" si="430">IF(J1682="",L1682,(E1682/D1682)*J1682)</f>
        <v>8463</v>
      </c>
      <c r="N1682" s="22">
        <f t="shared" ref="N1682:N1693" si="43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428"/>
        <v>24</v>
      </c>
      <c r="J1683" s="5"/>
      <c r="K1683" s="5"/>
      <c r="L1683" s="33">
        <f t="shared" si="429"/>
        <v>3648</v>
      </c>
      <c r="M1683" s="33">
        <f t="shared" si="430"/>
        <v>3648</v>
      </c>
      <c r="N1683" s="22">
        <f t="shared" si="43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428"/>
        <v>24</v>
      </c>
      <c r="J1684" s="5"/>
      <c r="K1684" s="5"/>
      <c r="L1684" s="33">
        <f t="shared" si="429"/>
        <v>2827</v>
      </c>
      <c r="M1684" s="33">
        <f t="shared" si="430"/>
        <v>2827</v>
      </c>
      <c r="N1684" s="22">
        <f t="shared" si="43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428"/>
        <v>96</v>
      </c>
      <c r="J1685" s="5"/>
      <c r="K1685" s="5"/>
      <c r="L1685" s="33">
        <f t="shared" si="429"/>
        <v>14998</v>
      </c>
      <c r="M1685" s="33">
        <f t="shared" si="430"/>
        <v>14998</v>
      </c>
      <c r="N1685" s="22">
        <f t="shared" si="43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428"/>
        <v>96</v>
      </c>
      <c r="J1686" s="5"/>
      <c r="K1686" s="5"/>
      <c r="L1686" s="33">
        <f t="shared" si="429"/>
        <v>11623</v>
      </c>
      <c r="M1686" s="33">
        <f t="shared" si="430"/>
        <v>11623</v>
      </c>
      <c r="N1686" s="22">
        <f t="shared" si="43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428"/>
        <v>54000</v>
      </c>
      <c r="J1687" s="5"/>
      <c r="K1687" s="5"/>
      <c r="L1687" s="33">
        <f t="shared" si="429"/>
        <v>63930</v>
      </c>
      <c r="M1687" s="33">
        <f t="shared" si="430"/>
        <v>63930</v>
      </c>
      <c r="N1687" s="22">
        <f t="shared" si="43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428"/>
        <v>16</v>
      </c>
      <c r="J1688" s="5"/>
      <c r="K1688" s="5"/>
      <c r="L1688" s="33">
        <f t="shared" si="429"/>
        <v>2500</v>
      </c>
      <c r="M1688" s="33">
        <f t="shared" si="430"/>
        <v>2500</v>
      </c>
      <c r="N1688" s="22">
        <f t="shared" si="43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428"/>
        <v>16</v>
      </c>
      <c r="J1689" s="5"/>
      <c r="K1689" s="5"/>
      <c r="L1689" s="33">
        <f t="shared" si="429"/>
        <v>1937</v>
      </c>
      <c r="M1689" s="33">
        <f t="shared" si="430"/>
        <v>1937</v>
      </c>
      <c r="N1689" s="22">
        <f t="shared" si="43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428"/>
        <v>8</v>
      </c>
      <c r="J1690" s="5"/>
      <c r="K1690" s="5"/>
      <c r="L1690" s="33">
        <f t="shared" si="429"/>
        <v>969</v>
      </c>
      <c r="M1690" s="33">
        <f t="shared" si="430"/>
        <v>969</v>
      </c>
      <c r="N1690" s="22">
        <f t="shared" si="43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428"/>
        <v>5.6</v>
      </c>
      <c r="J1691" s="5"/>
      <c r="K1691" s="5"/>
      <c r="L1691" s="33">
        <f t="shared" si="429"/>
        <v>849.09999999999991</v>
      </c>
      <c r="M1691" s="33">
        <f t="shared" si="430"/>
        <v>849.09999999999991</v>
      </c>
      <c r="N1691" s="22">
        <f t="shared" si="43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428"/>
        <v>11.2</v>
      </c>
      <c r="J1692" s="5"/>
      <c r="K1692" s="5"/>
      <c r="L1692" s="33">
        <f t="shared" si="429"/>
        <v>1316.6999999999998</v>
      </c>
      <c r="M1692" s="33">
        <f t="shared" si="430"/>
        <v>1316.6999999999998</v>
      </c>
      <c r="N1692" s="22">
        <f t="shared" si="43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428"/>
        <v>16</v>
      </c>
      <c r="J1693" s="5"/>
      <c r="K1693" s="5"/>
      <c r="L1693" s="33">
        <f t="shared" si="429"/>
        <v>2427</v>
      </c>
      <c r="M1693" s="33">
        <f t="shared" si="430"/>
        <v>2427</v>
      </c>
      <c r="N1693" s="22">
        <f t="shared" si="43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432">D1695*(1-H1695)</f>
        <v>0</v>
      </c>
      <c r="J1695" s="5"/>
      <c r="K1695" s="5"/>
      <c r="L1695" s="33">
        <f t="shared" ref="L1695:L1719" si="433">E1695*(1-H1695)</f>
        <v>0</v>
      </c>
      <c r="M1695" s="33">
        <f t="shared" ref="M1695:M1719" si="434">IF(J1695="",L1695,(E1695/D1695)*J1695)</f>
        <v>0</v>
      </c>
      <c r="N1695" s="22">
        <f t="shared" ref="N1695:N1719" si="43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432"/>
        <v>12</v>
      </c>
      <c r="J1696" s="5"/>
      <c r="K1696" s="5"/>
      <c r="L1696" s="33">
        <f t="shared" si="433"/>
        <v>1820</v>
      </c>
      <c r="M1696" s="33">
        <f t="shared" si="434"/>
        <v>1820</v>
      </c>
      <c r="N1696" s="22">
        <f t="shared" si="43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432"/>
        <v>8</v>
      </c>
      <c r="J1697" s="5"/>
      <c r="K1697" s="5"/>
      <c r="L1697" s="33">
        <f t="shared" si="433"/>
        <v>1213</v>
      </c>
      <c r="M1697" s="33">
        <f t="shared" si="434"/>
        <v>1213</v>
      </c>
      <c r="N1697" s="22">
        <f t="shared" si="43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432"/>
        <v>8</v>
      </c>
      <c r="J1698" s="5"/>
      <c r="K1698" s="5"/>
      <c r="L1698" s="33">
        <f t="shared" si="433"/>
        <v>940</v>
      </c>
      <c r="M1698" s="33">
        <f t="shared" si="434"/>
        <v>940</v>
      </c>
      <c r="N1698" s="22">
        <f t="shared" si="43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432"/>
        <v>16</v>
      </c>
      <c r="J1699" s="5"/>
      <c r="K1699" s="5"/>
      <c r="L1699" s="33">
        <f t="shared" si="433"/>
        <v>2427</v>
      </c>
      <c r="M1699" s="33">
        <f t="shared" si="434"/>
        <v>2427</v>
      </c>
      <c r="N1699" s="22">
        <f t="shared" si="43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432"/>
        <v>8</v>
      </c>
      <c r="J1700" s="5"/>
      <c r="K1700" s="5"/>
      <c r="L1700" s="33">
        <f t="shared" si="433"/>
        <v>940</v>
      </c>
      <c r="M1700" s="33">
        <f t="shared" si="434"/>
        <v>940</v>
      </c>
      <c r="N1700" s="22">
        <f t="shared" si="43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432"/>
        <v>8</v>
      </c>
      <c r="J1701" s="5"/>
      <c r="K1701" s="5"/>
      <c r="L1701" s="33">
        <f t="shared" si="433"/>
        <v>1213</v>
      </c>
      <c r="M1701" s="33">
        <f t="shared" si="434"/>
        <v>1213</v>
      </c>
      <c r="N1701" s="22">
        <f t="shared" si="43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432"/>
        <v>24</v>
      </c>
      <c r="J1702" s="5"/>
      <c r="K1702" s="5"/>
      <c r="L1702" s="33">
        <f t="shared" si="433"/>
        <v>2821</v>
      </c>
      <c r="M1702" s="33">
        <f t="shared" si="434"/>
        <v>2821</v>
      </c>
      <c r="N1702" s="22">
        <f t="shared" si="43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432"/>
        <v>24</v>
      </c>
      <c r="J1703" s="5"/>
      <c r="K1703" s="5"/>
      <c r="L1703" s="33">
        <f t="shared" si="433"/>
        <v>3640</v>
      </c>
      <c r="M1703" s="33">
        <f t="shared" si="434"/>
        <v>3640</v>
      </c>
      <c r="N1703" s="22">
        <f t="shared" si="43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432"/>
        <v>48</v>
      </c>
      <c r="J1704" s="5"/>
      <c r="K1704" s="5"/>
      <c r="L1704" s="33">
        <f t="shared" si="433"/>
        <v>5780</v>
      </c>
      <c r="M1704" s="33">
        <f t="shared" si="434"/>
        <v>5780</v>
      </c>
      <c r="N1704" s="22">
        <f t="shared" si="43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432"/>
        <v>48</v>
      </c>
      <c r="J1705" s="5"/>
      <c r="K1705" s="5"/>
      <c r="L1705" s="33">
        <f t="shared" si="433"/>
        <v>7459</v>
      </c>
      <c r="M1705" s="33">
        <f t="shared" si="434"/>
        <v>7459</v>
      </c>
      <c r="N1705" s="22">
        <f t="shared" si="43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432"/>
        <v>4</v>
      </c>
      <c r="J1706" s="5"/>
      <c r="K1706" s="5"/>
      <c r="L1706" s="33">
        <f t="shared" si="433"/>
        <v>484</v>
      </c>
      <c r="M1706" s="33">
        <f t="shared" si="434"/>
        <v>484</v>
      </c>
      <c r="N1706" s="22">
        <f t="shared" si="43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432"/>
        <v>4</v>
      </c>
      <c r="J1707" s="5"/>
      <c r="K1707" s="5"/>
      <c r="L1707" s="33">
        <f t="shared" si="433"/>
        <v>484</v>
      </c>
      <c r="M1707" s="33">
        <f t="shared" si="434"/>
        <v>484</v>
      </c>
      <c r="N1707" s="22">
        <f t="shared" si="43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432"/>
        <v>8</v>
      </c>
      <c r="J1708" s="5"/>
      <c r="K1708" s="5"/>
      <c r="L1708" s="33">
        <f t="shared" si="433"/>
        <v>1250</v>
      </c>
      <c r="M1708" s="33">
        <f t="shared" si="434"/>
        <v>1250</v>
      </c>
      <c r="N1708" s="22">
        <f t="shared" si="43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432"/>
        <v>4</v>
      </c>
      <c r="J1709" s="5"/>
      <c r="K1709" s="5"/>
      <c r="L1709" s="33">
        <f t="shared" si="433"/>
        <v>484</v>
      </c>
      <c r="M1709" s="33">
        <f t="shared" si="434"/>
        <v>484</v>
      </c>
      <c r="N1709" s="22">
        <f t="shared" si="43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432"/>
        <v>12000</v>
      </c>
      <c r="J1710" s="5"/>
      <c r="K1710" s="5"/>
      <c r="L1710" s="33">
        <f t="shared" si="433"/>
        <v>14156</v>
      </c>
      <c r="M1710" s="33">
        <f t="shared" si="434"/>
        <v>14156</v>
      </c>
      <c r="N1710" s="22">
        <f t="shared" si="43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432"/>
        <v>0</v>
      </c>
      <c r="J1711" s="5"/>
      <c r="K1711" s="5"/>
      <c r="L1711" s="33">
        <f t="shared" si="433"/>
        <v>0</v>
      </c>
      <c r="M1711" s="33">
        <f t="shared" si="434"/>
        <v>0</v>
      </c>
      <c r="N1711" s="22">
        <f t="shared" si="43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432"/>
        <v>0</v>
      </c>
      <c r="J1712" s="5"/>
      <c r="K1712" s="5"/>
      <c r="L1712" s="33">
        <f t="shared" si="433"/>
        <v>0</v>
      </c>
      <c r="M1712" s="33">
        <f t="shared" si="434"/>
        <v>0</v>
      </c>
      <c r="N1712" s="22">
        <f t="shared" si="43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432"/>
        <v>0</v>
      </c>
      <c r="J1713" s="5"/>
      <c r="K1713" s="5"/>
      <c r="L1713" s="33">
        <f t="shared" si="433"/>
        <v>0</v>
      </c>
      <c r="M1713" s="33">
        <f t="shared" si="434"/>
        <v>0</v>
      </c>
      <c r="N1713" s="22">
        <f t="shared" si="43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432"/>
        <v>0</v>
      </c>
      <c r="J1714" s="5"/>
      <c r="K1714" s="5"/>
      <c r="L1714" s="33">
        <f t="shared" si="433"/>
        <v>0</v>
      </c>
      <c r="M1714" s="33">
        <f t="shared" si="434"/>
        <v>0</v>
      </c>
      <c r="N1714" s="22">
        <f t="shared" si="43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432"/>
        <v>0</v>
      </c>
      <c r="J1715" s="5"/>
      <c r="K1715" s="5"/>
      <c r="L1715" s="33">
        <f t="shared" si="433"/>
        <v>0</v>
      </c>
      <c r="M1715" s="33">
        <f t="shared" si="434"/>
        <v>0</v>
      </c>
      <c r="N1715" s="22">
        <f t="shared" si="43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432"/>
        <v>24</v>
      </c>
      <c r="J1716" s="5"/>
      <c r="K1716" s="5"/>
      <c r="L1716" s="33">
        <f t="shared" si="433"/>
        <v>2821</v>
      </c>
      <c r="M1716" s="33">
        <f t="shared" si="434"/>
        <v>2821</v>
      </c>
      <c r="N1716" s="22">
        <f t="shared" si="43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432"/>
        <v>48</v>
      </c>
      <c r="J1717" s="5"/>
      <c r="K1717" s="5"/>
      <c r="L1717" s="33">
        <f t="shared" si="433"/>
        <v>7281</v>
      </c>
      <c r="M1717" s="33">
        <f t="shared" si="434"/>
        <v>7281</v>
      </c>
      <c r="N1717" s="22">
        <f t="shared" si="43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432"/>
        <v>8</v>
      </c>
      <c r="J1718" s="5"/>
      <c r="K1718" s="5"/>
      <c r="L1718" s="33">
        <f t="shared" si="433"/>
        <v>940</v>
      </c>
      <c r="M1718" s="33">
        <f t="shared" si="434"/>
        <v>940</v>
      </c>
      <c r="N1718" s="22">
        <f t="shared" si="43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432"/>
        <v>16</v>
      </c>
      <c r="J1719" s="5"/>
      <c r="K1719" s="5"/>
      <c r="L1719" s="33">
        <f t="shared" si="433"/>
        <v>2427</v>
      </c>
      <c r="M1719" s="33">
        <f t="shared" si="434"/>
        <v>2427</v>
      </c>
      <c r="N1719" s="22">
        <f t="shared" si="43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436">D1721*(1-H1721)</f>
        <v>0</v>
      </c>
      <c r="J1721" s="5"/>
      <c r="K1721" s="5"/>
      <c r="L1721" s="33">
        <f t="shared" ref="L1721:L1755" si="437">E1721*(1-H1721)</f>
        <v>0</v>
      </c>
      <c r="M1721" s="33">
        <f t="shared" ref="M1721:M1755" si="438">IF(J1721="",L1721,(E1721/D1721)*J1721)</f>
        <v>0</v>
      </c>
      <c r="N1721" s="22">
        <f t="shared" ref="N1721:N1755" si="43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436"/>
        <v>3.2</v>
      </c>
      <c r="J1722" s="5"/>
      <c r="K1722" s="5"/>
      <c r="L1722" s="33">
        <f t="shared" si="437"/>
        <v>485.20000000000005</v>
      </c>
      <c r="M1722" s="33">
        <f t="shared" si="438"/>
        <v>485.20000000000005</v>
      </c>
      <c r="N1722" s="22">
        <f t="shared" si="43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436"/>
        <v>8</v>
      </c>
      <c r="J1723" s="5"/>
      <c r="K1723" s="5"/>
      <c r="L1723" s="33">
        <f t="shared" si="437"/>
        <v>1213</v>
      </c>
      <c r="M1723" s="33">
        <f t="shared" si="438"/>
        <v>1213</v>
      </c>
      <c r="N1723" s="22">
        <f t="shared" si="43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436"/>
        <v>8</v>
      </c>
      <c r="J1724" s="5"/>
      <c r="K1724" s="5"/>
      <c r="L1724" s="33">
        <f t="shared" si="437"/>
        <v>1213</v>
      </c>
      <c r="M1724" s="33">
        <f t="shared" si="438"/>
        <v>1213</v>
      </c>
      <c r="N1724" s="22">
        <f t="shared" si="43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436"/>
        <v>8</v>
      </c>
      <c r="J1725" s="5"/>
      <c r="K1725" s="5"/>
      <c r="L1725" s="33">
        <f t="shared" si="437"/>
        <v>940</v>
      </c>
      <c r="M1725" s="33">
        <f t="shared" si="438"/>
        <v>940</v>
      </c>
      <c r="N1725" s="22">
        <f t="shared" si="43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436"/>
        <v>2</v>
      </c>
      <c r="J1726" s="5"/>
      <c r="K1726" s="5"/>
      <c r="L1726" s="33">
        <f t="shared" si="437"/>
        <v>303</v>
      </c>
      <c r="M1726" s="33">
        <f t="shared" si="438"/>
        <v>303</v>
      </c>
      <c r="N1726" s="22">
        <f t="shared" si="43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436"/>
        <v>2</v>
      </c>
      <c r="J1727" s="5"/>
      <c r="K1727" s="5"/>
      <c r="L1727" s="33">
        <f t="shared" si="437"/>
        <v>303</v>
      </c>
      <c r="M1727" s="33">
        <f t="shared" si="438"/>
        <v>303</v>
      </c>
      <c r="N1727" s="22">
        <f t="shared" si="43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436"/>
        <v>72</v>
      </c>
      <c r="J1728" s="5"/>
      <c r="K1728" s="5"/>
      <c r="L1728" s="33">
        <f t="shared" si="437"/>
        <v>11205</v>
      </c>
      <c r="M1728" s="33">
        <f t="shared" si="438"/>
        <v>11205</v>
      </c>
      <c r="N1728" s="22">
        <f t="shared" si="43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436"/>
        <v>72</v>
      </c>
      <c r="J1729" s="5"/>
      <c r="K1729" s="5"/>
      <c r="L1729" s="33">
        <f t="shared" si="437"/>
        <v>8683</v>
      </c>
      <c r="M1729" s="33">
        <f t="shared" si="438"/>
        <v>8683</v>
      </c>
      <c r="N1729" s="22">
        <f t="shared" si="43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436"/>
        <v>72</v>
      </c>
      <c r="J1730" s="5"/>
      <c r="K1730" s="5"/>
      <c r="L1730" s="33">
        <f t="shared" si="437"/>
        <v>8683</v>
      </c>
      <c r="M1730" s="33">
        <f t="shared" si="438"/>
        <v>8683</v>
      </c>
      <c r="N1730" s="22">
        <f t="shared" si="43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436"/>
        <v>72</v>
      </c>
      <c r="J1731" s="5"/>
      <c r="K1731" s="5"/>
      <c r="L1731" s="33">
        <f t="shared" si="437"/>
        <v>8683</v>
      </c>
      <c r="M1731" s="33">
        <f t="shared" si="438"/>
        <v>8683</v>
      </c>
      <c r="N1731" s="22">
        <f t="shared" si="43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436"/>
        <v>2</v>
      </c>
      <c r="J1732" s="5"/>
      <c r="K1732" s="5"/>
      <c r="L1732" s="33">
        <f t="shared" si="437"/>
        <v>312</v>
      </c>
      <c r="M1732" s="33">
        <f t="shared" si="438"/>
        <v>312</v>
      </c>
      <c r="N1732" s="22">
        <f t="shared" si="43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436"/>
        <v>10000</v>
      </c>
      <c r="J1733" s="5"/>
      <c r="K1733" s="5"/>
      <c r="L1733" s="33">
        <f t="shared" si="437"/>
        <v>11808</v>
      </c>
      <c r="M1733" s="33">
        <f t="shared" si="438"/>
        <v>11808</v>
      </c>
      <c r="N1733" s="22">
        <f t="shared" si="43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436"/>
        <v>0</v>
      </c>
      <c r="J1734" s="5"/>
      <c r="K1734" s="5"/>
      <c r="L1734" s="33">
        <f t="shared" si="437"/>
        <v>0</v>
      </c>
      <c r="M1734" s="33">
        <f t="shared" si="438"/>
        <v>0</v>
      </c>
      <c r="N1734" s="22">
        <f t="shared" si="43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436"/>
        <v>0</v>
      </c>
      <c r="J1735" s="5"/>
      <c r="K1735" s="5"/>
      <c r="L1735" s="33">
        <f t="shared" si="437"/>
        <v>0</v>
      </c>
      <c r="M1735" s="33">
        <f t="shared" si="438"/>
        <v>0</v>
      </c>
      <c r="N1735" s="22">
        <f t="shared" si="43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436"/>
        <v>0</v>
      </c>
      <c r="J1736" s="5"/>
      <c r="K1736" s="5"/>
      <c r="L1736" s="33">
        <f t="shared" si="437"/>
        <v>0</v>
      </c>
      <c r="M1736" s="33">
        <f t="shared" si="438"/>
        <v>0</v>
      </c>
      <c r="N1736" s="22">
        <f t="shared" si="43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436"/>
        <v>0</v>
      </c>
      <c r="J1737" s="5"/>
      <c r="K1737" s="5"/>
      <c r="L1737" s="33">
        <f t="shared" si="437"/>
        <v>0</v>
      </c>
      <c r="M1737" s="33">
        <f t="shared" si="438"/>
        <v>0</v>
      </c>
      <c r="N1737" s="22">
        <f t="shared" si="43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436"/>
        <v>9.6000000000000014</v>
      </c>
      <c r="J1738" s="5"/>
      <c r="K1738" s="5"/>
      <c r="L1738" s="33">
        <f t="shared" si="437"/>
        <v>1456</v>
      </c>
      <c r="M1738" s="33">
        <f t="shared" si="438"/>
        <v>1456</v>
      </c>
      <c r="N1738" s="22">
        <f t="shared" si="43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436"/>
        <v>24</v>
      </c>
      <c r="J1739" s="5"/>
      <c r="K1739" s="5"/>
      <c r="L1739" s="33">
        <f t="shared" si="437"/>
        <v>2821.2000000000003</v>
      </c>
      <c r="M1739" s="33">
        <f t="shared" si="438"/>
        <v>2821.2000000000003</v>
      </c>
      <c r="N1739" s="22">
        <f t="shared" si="43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436"/>
        <v>9.6000000000000014</v>
      </c>
      <c r="J1740" s="5"/>
      <c r="K1740" s="5"/>
      <c r="L1740" s="33">
        <f t="shared" si="437"/>
        <v>1128.4000000000001</v>
      </c>
      <c r="M1740" s="33">
        <f t="shared" si="438"/>
        <v>1128.4000000000001</v>
      </c>
      <c r="N1740" s="22">
        <f t="shared" si="43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436"/>
        <v>9.6000000000000014</v>
      </c>
      <c r="J1741" s="5"/>
      <c r="K1741" s="5"/>
      <c r="L1741" s="33">
        <f t="shared" si="437"/>
        <v>1128.4000000000001</v>
      </c>
      <c r="M1741" s="33">
        <f t="shared" si="438"/>
        <v>1128.4000000000001</v>
      </c>
      <c r="N1741" s="22">
        <f t="shared" si="43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436"/>
        <v>8</v>
      </c>
      <c r="J1742" s="5"/>
      <c r="K1742" s="5"/>
      <c r="L1742" s="33">
        <f t="shared" si="437"/>
        <v>1213</v>
      </c>
      <c r="M1742" s="33">
        <f t="shared" si="438"/>
        <v>1213</v>
      </c>
      <c r="N1742" s="22">
        <f t="shared" si="43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436"/>
        <v>8</v>
      </c>
      <c r="J1743" s="5"/>
      <c r="K1743" s="5"/>
      <c r="L1743" s="33">
        <f t="shared" si="437"/>
        <v>940</v>
      </c>
      <c r="M1743" s="33">
        <f t="shared" si="438"/>
        <v>940</v>
      </c>
      <c r="N1743" s="22">
        <f t="shared" si="43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436"/>
        <v>24</v>
      </c>
      <c r="J1744" s="5"/>
      <c r="K1744" s="5"/>
      <c r="L1744" s="33">
        <f t="shared" si="437"/>
        <v>3640</v>
      </c>
      <c r="M1744" s="33">
        <f t="shared" si="438"/>
        <v>3640</v>
      </c>
      <c r="N1744" s="22">
        <f t="shared" si="43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436"/>
        <v>24</v>
      </c>
      <c r="J1745" s="5"/>
      <c r="K1745" s="5"/>
      <c r="L1745" s="33">
        <f t="shared" si="437"/>
        <v>2821</v>
      </c>
      <c r="M1745" s="33">
        <f t="shared" si="438"/>
        <v>2821</v>
      </c>
      <c r="N1745" s="22">
        <f t="shared" si="43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436"/>
        <v>24</v>
      </c>
      <c r="J1746" s="5"/>
      <c r="K1746" s="5"/>
      <c r="L1746" s="33">
        <f t="shared" si="437"/>
        <v>2821</v>
      </c>
      <c r="M1746" s="33">
        <f t="shared" si="438"/>
        <v>2821</v>
      </c>
      <c r="N1746" s="22">
        <f t="shared" si="43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436"/>
        <v>24</v>
      </c>
      <c r="J1747" s="5"/>
      <c r="K1747" s="5"/>
      <c r="L1747" s="33">
        <f t="shared" si="437"/>
        <v>2821</v>
      </c>
      <c r="M1747" s="33">
        <f t="shared" si="438"/>
        <v>2821</v>
      </c>
      <c r="N1747" s="22">
        <f t="shared" si="43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436"/>
        <v>24</v>
      </c>
      <c r="J1748" s="5"/>
      <c r="K1748" s="5"/>
      <c r="L1748" s="33">
        <f t="shared" si="437"/>
        <v>3640</v>
      </c>
      <c r="M1748" s="33">
        <f t="shared" si="438"/>
        <v>3640</v>
      </c>
      <c r="N1748" s="22">
        <f t="shared" si="43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436"/>
        <v>24</v>
      </c>
      <c r="J1749" s="5"/>
      <c r="K1749" s="5"/>
      <c r="L1749" s="33">
        <f t="shared" si="437"/>
        <v>2821</v>
      </c>
      <c r="M1749" s="33">
        <f t="shared" si="438"/>
        <v>2821</v>
      </c>
      <c r="N1749" s="22">
        <f t="shared" si="43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436"/>
        <v>24</v>
      </c>
      <c r="J1750" s="5"/>
      <c r="K1750" s="5"/>
      <c r="L1750" s="33">
        <f t="shared" si="437"/>
        <v>2821</v>
      </c>
      <c r="M1750" s="33">
        <f t="shared" si="438"/>
        <v>2821</v>
      </c>
      <c r="N1750" s="22">
        <f t="shared" si="43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436"/>
        <v>24</v>
      </c>
      <c r="J1751" s="5"/>
      <c r="K1751" s="5"/>
      <c r="L1751" s="33">
        <f t="shared" si="437"/>
        <v>2821</v>
      </c>
      <c r="M1751" s="33">
        <f t="shared" si="438"/>
        <v>2821</v>
      </c>
      <c r="N1751" s="22">
        <f t="shared" si="43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436"/>
        <v>8</v>
      </c>
      <c r="J1752" s="5"/>
      <c r="K1752" s="5"/>
      <c r="L1752" s="33">
        <f t="shared" si="437"/>
        <v>1250</v>
      </c>
      <c r="M1752" s="33">
        <f t="shared" si="438"/>
        <v>1250</v>
      </c>
      <c r="N1752" s="22">
        <f t="shared" si="43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436"/>
        <v>8</v>
      </c>
      <c r="J1753" s="5"/>
      <c r="K1753" s="5"/>
      <c r="L1753" s="33">
        <f t="shared" si="437"/>
        <v>969</v>
      </c>
      <c r="M1753" s="33">
        <f t="shared" si="438"/>
        <v>969</v>
      </c>
      <c r="N1753" s="22">
        <f t="shared" si="43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436"/>
        <v>8</v>
      </c>
      <c r="J1754" s="5"/>
      <c r="K1754" s="5"/>
      <c r="L1754" s="33">
        <f t="shared" si="437"/>
        <v>969</v>
      </c>
      <c r="M1754" s="33">
        <f t="shared" si="438"/>
        <v>969</v>
      </c>
      <c r="N1754" s="22">
        <f t="shared" si="43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436"/>
        <v>8</v>
      </c>
      <c r="J1755" s="5"/>
      <c r="K1755" s="5"/>
      <c r="L1755" s="33">
        <f t="shared" si="437"/>
        <v>969</v>
      </c>
      <c r="M1755" s="33">
        <f t="shared" si="438"/>
        <v>969</v>
      </c>
      <c r="N1755" s="22">
        <f t="shared" si="43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440">D1757*(1-H1757)</f>
        <v>0</v>
      </c>
      <c r="J1757" s="5"/>
      <c r="K1757" s="5"/>
      <c r="L1757" s="33">
        <f t="shared" ref="L1757:L1789" si="441">E1757*(1-H1757)</f>
        <v>0</v>
      </c>
      <c r="M1757" s="33">
        <f t="shared" ref="M1757:M1789" si="442">IF(J1757="",L1757,(E1757/D1757)*J1757)</f>
        <v>0</v>
      </c>
      <c r="N1757" s="22">
        <f t="shared" ref="N1757:N1789" si="44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440"/>
        <v>8</v>
      </c>
      <c r="J1758" s="5"/>
      <c r="K1758" s="5"/>
      <c r="L1758" s="33">
        <f t="shared" si="441"/>
        <v>961</v>
      </c>
      <c r="M1758" s="33">
        <f t="shared" si="442"/>
        <v>961</v>
      </c>
      <c r="N1758" s="22">
        <f t="shared" si="44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440"/>
        <v>32</v>
      </c>
      <c r="J1759" s="5"/>
      <c r="K1759" s="5"/>
      <c r="L1759" s="33">
        <f t="shared" si="441"/>
        <v>4959</v>
      </c>
      <c r="M1759" s="33">
        <f t="shared" si="442"/>
        <v>4959</v>
      </c>
      <c r="N1759" s="22">
        <f t="shared" si="44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440"/>
        <v>8</v>
      </c>
      <c r="J1760" s="5"/>
      <c r="K1760" s="5"/>
      <c r="L1760" s="33">
        <f t="shared" si="441"/>
        <v>1461</v>
      </c>
      <c r="M1760" s="33">
        <f t="shared" si="442"/>
        <v>1461</v>
      </c>
      <c r="N1760" s="22">
        <f t="shared" si="44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440"/>
        <v>8</v>
      </c>
      <c r="J1761" s="5"/>
      <c r="K1761" s="5"/>
      <c r="L1761" s="33">
        <f t="shared" si="441"/>
        <v>1250</v>
      </c>
      <c r="M1761" s="33">
        <f t="shared" si="442"/>
        <v>1250</v>
      </c>
      <c r="N1761" s="22">
        <f t="shared" si="44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440"/>
        <v>8</v>
      </c>
      <c r="J1762" s="5"/>
      <c r="K1762" s="5"/>
      <c r="L1762" s="33">
        <f t="shared" si="441"/>
        <v>1461</v>
      </c>
      <c r="M1762" s="33">
        <f t="shared" si="442"/>
        <v>1461</v>
      </c>
      <c r="N1762" s="22">
        <f t="shared" si="44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440"/>
        <v>16</v>
      </c>
      <c r="J1763" s="5"/>
      <c r="K1763" s="5"/>
      <c r="L1763" s="33">
        <f t="shared" si="441"/>
        <v>1937</v>
      </c>
      <c r="M1763" s="33">
        <f t="shared" si="442"/>
        <v>1937</v>
      </c>
      <c r="N1763" s="22">
        <f t="shared" si="44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440"/>
        <v>8</v>
      </c>
      <c r="J1764" s="5"/>
      <c r="K1764" s="5"/>
      <c r="L1764" s="33">
        <f t="shared" si="441"/>
        <v>969</v>
      </c>
      <c r="M1764" s="33">
        <f t="shared" si="442"/>
        <v>969</v>
      </c>
      <c r="N1764" s="22">
        <f t="shared" si="44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440"/>
        <v>8</v>
      </c>
      <c r="J1765" s="5"/>
      <c r="K1765" s="5"/>
      <c r="L1765" s="33">
        <f t="shared" si="441"/>
        <v>1250</v>
      </c>
      <c r="M1765" s="33">
        <f t="shared" si="442"/>
        <v>1250</v>
      </c>
      <c r="N1765" s="22">
        <f t="shared" si="44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440"/>
        <v>8</v>
      </c>
      <c r="J1766" s="5"/>
      <c r="K1766" s="5"/>
      <c r="L1766" s="33">
        <f t="shared" si="441"/>
        <v>969</v>
      </c>
      <c r="M1766" s="33">
        <f t="shared" si="442"/>
        <v>969</v>
      </c>
      <c r="N1766" s="22">
        <f t="shared" si="44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440"/>
        <v>2</v>
      </c>
      <c r="J1767" s="5"/>
      <c r="K1767" s="5"/>
      <c r="L1767" s="33">
        <f t="shared" si="441"/>
        <v>312</v>
      </c>
      <c r="M1767" s="33">
        <f t="shared" si="442"/>
        <v>312</v>
      </c>
      <c r="N1767" s="22">
        <f t="shared" si="44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440"/>
        <v>8</v>
      </c>
      <c r="J1768" s="5"/>
      <c r="K1768" s="5"/>
      <c r="L1768" s="33">
        <f t="shared" si="441"/>
        <v>969</v>
      </c>
      <c r="M1768" s="33">
        <f t="shared" si="442"/>
        <v>969</v>
      </c>
      <c r="N1768" s="22">
        <f t="shared" si="44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440"/>
        <v>16</v>
      </c>
      <c r="J1769" s="5"/>
      <c r="K1769" s="5"/>
      <c r="L1769" s="33">
        <f t="shared" si="441"/>
        <v>1937</v>
      </c>
      <c r="M1769" s="33">
        <f t="shared" si="442"/>
        <v>1937</v>
      </c>
      <c r="N1769" s="22">
        <f t="shared" si="44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440"/>
        <v>16</v>
      </c>
      <c r="J1770" s="5"/>
      <c r="K1770" s="5"/>
      <c r="L1770" s="33">
        <f t="shared" si="441"/>
        <v>2500</v>
      </c>
      <c r="M1770" s="33">
        <f t="shared" si="442"/>
        <v>2500</v>
      </c>
      <c r="N1770" s="22">
        <f t="shared" si="44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440"/>
        <v>16</v>
      </c>
      <c r="J1771" s="5"/>
      <c r="K1771" s="5"/>
      <c r="L1771" s="33">
        <f t="shared" si="441"/>
        <v>1937</v>
      </c>
      <c r="M1771" s="33">
        <f t="shared" si="442"/>
        <v>1937</v>
      </c>
      <c r="N1771" s="22">
        <f t="shared" si="44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440"/>
        <v>24</v>
      </c>
      <c r="J1772" s="5"/>
      <c r="K1772" s="5"/>
      <c r="L1772" s="33">
        <f t="shared" si="441"/>
        <v>2906</v>
      </c>
      <c r="M1772" s="33">
        <f t="shared" si="442"/>
        <v>2906</v>
      </c>
      <c r="N1772" s="22">
        <f t="shared" si="44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440"/>
        <v>48</v>
      </c>
      <c r="J1773" s="5"/>
      <c r="K1773" s="5"/>
      <c r="L1773" s="33">
        <f t="shared" si="441"/>
        <v>5811</v>
      </c>
      <c r="M1773" s="33">
        <f t="shared" si="442"/>
        <v>5811</v>
      </c>
      <c r="N1773" s="22">
        <f t="shared" si="44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440"/>
        <v>48</v>
      </c>
      <c r="J1774" s="5"/>
      <c r="K1774" s="5"/>
      <c r="L1774" s="33">
        <f t="shared" si="441"/>
        <v>7499</v>
      </c>
      <c r="M1774" s="33">
        <f t="shared" si="442"/>
        <v>7499</v>
      </c>
      <c r="N1774" s="22">
        <f t="shared" si="44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440"/>
        <v>48</v>
      </c>
      <c r="J1775" s="5"/>
      <c r="K1775" s="5"/>
      <c r="L1775" s="33">
        <f t="shared" si="441"/>
        <v>5811</v>
      </c>
      <c r="M1775" s="33">
        <f t="shared" si="442"/>
        <v>5811</v>
      </c>
      <c r="N1775" s="22">
        <f t="shared" si="44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440"/>
        <v>8</v>
      </c>
      <c r="J1776" s="5"/>
      <c r="K1776" s="5"/>
      <c r="L1776" s="33">
        <f t="shared" si="441"/>
        <v>1461</v>
      </c>
      <c r="M1776" s="33">
        <f t="shared" si="442"/>
        <v>1461</v>
      </c>
      <c r="N1776" s="22">
        <f t="shared" si="44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440"/>
        <v>4</v>
      </c>
      <c r="J1777" s="5"/>
      <c r="K1777" s="5"/>
      <c r="L1777" s="33">
        <f t="shared" si="441"/>
        <v>484</v>
      </c>
      <c r="M1777" s="33">
        <f t="shared" si="442"/>
        <v>484</v>
      </c>
      <c r="N1777" s="22">
        <f t="shared" si="44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440"/>
        <v>8</v>
      </c>
      <c r="J1778" s="5"/>
      <c r="K1778" s="5"/>
      <c r="L1778" s="33">
        <f t="shared" si="441"/>
        <v>969</v>
      </c>
      <c r="M1778" s="33">
        <f t="shared" si="442"/>
        <v>969</v>
      </c>
      <c r="N1778" s="22">
        <f t="shared" si="44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440"/>
        <v>8</v>
      </c>
      <c r="J1779" s="5"/>
      <c r="K1779" s="5"/>
      <c r="L1779" s="33">
        <f t="shared" si="441"/>
        <v>1250</v>
      </c>
      <c r="M1779" s="33">
        <f t="shared" si="442"/>
        <v>1250</v>
      </c>
      <c r="N1779" s="22">
        <f t="shared" si="44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440"/>
        <v>8</v>
      </c>
      <c r="J1780" s="5"/>
      <c r="K1780" s="5"/>
      <c r="L1780" s="33">
        <f t="shared" si="441"/>
        <v>969</v>
      </c>
      <c r="M1780" s="33">
        <f t="shared" si="442"/>
        <v>969</v>
      </c>
      <c r="N1780" s="22">
        <f t="shared" si="44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440"/>
        <v>20000</v>
      </c>
      <c r="J1781" s="5"/>
      <c r="K1781" s="5"/>
      <c r="L1781" s="33">
        <f t="shared" si="441"/>
        <v>23678</v>
      </c>
      <c r="M1781" s="33">
        <f t="shared" si="442"/>
        <v>23678</v>
      </c>
      <c r="N1781" s="22">
        <f t="shared" si="44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440"/>
        <v>0</v>
      </c>
      <c r="J1782" s="5"/>
      <c r="K1782" s="5"/>
      <c r="L1782" s="33">
        <f t="shared" si="441"/>
        <v>0</v>
      </c>
      <c r="M1782" s="33">
        <f t="shared" si="442"/>
        <v>0</v>
      </c>
      <c r="N1782" s="22">
        <f t="shared" si="44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440"/>
        <v>0</v>
      </c>
      <c r="J1783" s="5"/>
      <c r="K1783" s="5"/>
      <c r="L1783" s="33">
        <f t="shared" si="441"/>
        <v>0</v>
      </c>
      <c r="M1783" s="33">
        <f t="shared" si="442"/>
        <v>0</v>
      </c>
      <c r="N1783" s="22">
        <f t="shared" si="44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440"/>
        <v>0</v>
      </c>
      <c r="J1784" s="5"/>
      <c r="K1784" s="5"/>
      <c r="L1784" s="33">
        <f t="shared" si="441"/>
        <v>0</v>
      </c>
      <c r="M1784" s="33">
        <f t="shared" si="442"/>
        <v>0</v>
      </c>
      <c r="N1784" s="22">
        <f t="shared" si="44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440"/>
        <v>0</v>
      </c>
      <c r="J1785" s="5"/>
      <c r="K1785" s="5"/>
      <c r="L1785" s="33">
        <f t="shared" si="441"/>
        <v>0</v>
      </c>
      <c r="M1785" s="33">
        <f t="shared" si="442"/>
        <v>0</v>
      </c>
      <c r="N1785" s="22">
        <f t="shared" si="44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440"/>
        <v>0</v>
      </c>
      <c r="J1786" s="5"/>
      <c r="K1786" s="5"/>
      <c r="L1786" s="33">
        <f t="shared" si="441"/>
        <v>0</v>
      </c>
      <c r="M1786" s="33">
        <f t="shared" si="442"/>
        <v>0</v>
      </c>
      <c r="N1786" s="22">
        <f t="shared" si="44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440"/>
        <v>24</v>
      </c>
      <c r="J1787" s="5"/>
      <c r="K1787" s="5"/>
      <c r="L1787" s="33">
        <f t="shared" si="441"/>
        <v>2906</v>
      </c>
      <c r="M1787" s="33">
        <f t="shared" si="442"/>
        <v>2906</v>
      </c>
      <c r="N1787" s="22">
        <f t="shared" si="44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440"/>
        <v>24</v>
      </c>
      <c r="J1788" s="5"/>
      <c r="K1788" s="5"/>
      <c r="L1788" s="33">
        <f t="shared" si="441"/>
        <v>3750</v>
      </c>
      <c r="M1788" s="33">
        <f t="shared" si="442"/>
        <v>3750</v>
      </c>
      <c r="N1788" s="22">
        <f t="shared" si="44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440"/>
        <v>24</v>
      </c>
      <c r="J1789" s="5"/>
      <c r="K1789" s="5"/>
      <c r="L1789" s="33">
        <f t="shared" si="441"/>
        <v>2906</v>
      </c>
      <c r="M1789" s="33">
        <f t="shared" si="442"/>
        <v>2906</v>
      </c>
      <c r="N1789" s="22">
        <f t="shared" si="44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444">D1791*(1-H1791)</f>
        <v>4</v>
      </c>
      <c r="J1791" s="5"/>
      <c r="K1791" s="5"/>
      <c r="L1791" s="33">
        <f t="shared" ref="L1791:L1825" si="445">E1791*(1-H1791)</f>
        <v>625</v>
      </c>
      <c r="M1791" s="33">
        <f t="shared" ref="M1791:M1825" si="446">IF(J1791="",L1791,(E1791/D1791)*J1791)</f>
        <v>625</v>
      </c>
      <c r="N1791" s="22">
        <f t="shared" ref="N1791:N1825" si="44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444"/>
        <v>2</v>
      </c>
      <c r="J1792" s="5"/>
      <c r="K1792" s="5"/>
      <c r="L1792" s="33">
        <f t="shared" si="445"/>
        <v>312</v>
      </c>
      <c r="M1792" s="33">
        <f t="shared" si="446"/>
        <v>312</v>
      </c>
      <c r="N1792" s="22">
        <f t="shared" si="44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444"/>
        <v>4</v>
      </c>
      <c r="J1793" s="5"/>
      <c r="K1793" s="5"/>
      <c r="L1793" s="33">
        <f t="shared" si="445"/>
        <v>730</v>
      </c>
      <c r="M1793" s="33">
        <f t="shared" si="446"/>
        <v>730</v>
      </c>
      <c r="N1793" s="22">
        <f t="shared" si="44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444"/>
        <v>4</v>
      </c>
      <c r="J1794" s="5"/>
      <c r="K1794" s="5"/>
      <c r="L1794" s="33">
        <f t="shared" si="445"/>
        <v>625</v>
      </c>
      <c r="M1794" s="33">
        <f t="shared" si="446"/>
        <v>625</v>
      </c>
      <c r="N1794" s="22">
        <f t="shared" si="44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444"/>
        <v>8</v>
      </c>
      <c r="J1795" s="5"/>
      <c r="K1795" s="5"/>
      <c r="L1795" s="33">
        <f t="shared" si="445"/>
        <v>1461</v>
      </c>
      <c r="M1795" s="33">
        <f t="shared" si="446"/>
        <v>1461</v>
      </c>
      <c r="N1795" s="22">
        <f t="shared" si="44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444"/>
        <v>8</v>
      </c>
      <c r="J1796" s="5"/>
      <c r="K1796" s="5"/>
      <c r="L1796" s="33">
        <f t="shared" si="445"/>
        <v>969</v>
      </c>
      <c r="M1796" s="33">
        <f t="shared" si="446"/>
        <v>969</v>
      </c>
      <c r="N1796" s="22">
        <f t="shared" si="44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444"/>
        <v>8</v>
      </c>
      <c r="J1797" s="5"/>
      <c r="K1797" s="5"/>
      <c r="L1797" s="33">
        <f t="shared" si="445"/>
        <v>969</v>
      </c>
      <c r="M1797" s="33">
        <f t="shared" si="446"/>
        <v>969</v>
      </c>
      <c r="N1797" s="22">
        <f t="shared" si="44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444"/>
        <v>8</v>
      </c>
      <c r="J1798" s="5"/>
      <c r="K1798" s="5"/>
      <c r="L1798" s="33">
        <f t="shared" si="445"/>
        <v>1250</v>
      </c>
      <c r="M1798" s="33">
        <f t="shared" si="446"/>
        <v>1250</v>
      </c>
      <c r="N1798" s="22">
        <f t="shared" si="44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444"/>
        <v>8</v>
      </c>
      <c r="J1799" s="5"/>
      <c r="K1799" s="5"/>
      <c r="L1799" s="33">
        <f t="shared" si="445"/>
        <v>969</v>
      </c>
      <c r="M1799" s="33">
        <f t="shared" si="446"/>
        <v>969</v>
      </c>
      <c r="N1799" s="22">
        <f t="shared" si="44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444"/>
        <v>2</v>
      </c>
      <c r="J1800" s="5"/>
      <c r="K1800" s="5"/>
      <c r="L1800" s="33">
        <f t="shared" si="445"/>
        <v>312</v>
      </c>
      <c r="M1800" s="33">
        <f t="shared" si="446"/>
        <v>312</v>
      </c>
      <c r="N1800" s="22">
        <f t="shared" si="44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444"/>
        <v>8</v>
      </c>
      <c r="J1801" s="5"/>
      <c r="K1801" s="5"/>
      <c r="L1801" s="33">
        <f t="shared" si="445"/>
        <v>969</v>
      </c>
      <c r="M1801" s="33">
        <f t="shared" si="446"/>
        <v>969</v>
      </c>
      <c r="N1801" s="22">
        <f t="shared" si="44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444"/>
        <v>8</v>
      </c>
      <c r="J1802" s="5"/>
      <c r="K1802" s="5"/>
      <c r="L1802" s="33">
        <f t="shared" si="445"/>
        <v>969</v>
      </c>
      <c r="M1802" s="33">
        <f t="shared" si="446"/>
        <v>969</v>
      </c>
      <c r="N1802" s="22">
        <f t="shared" si="44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444"/>
        <v>8</v>
      </c>
      <c r="J1803" s="5"/>
      <c r="K1803" s="5"/>
      <c r="L1803" s="33">
        <f t="shared" si="445"/>
        <v>1250</v>
      </c>
      <c r="M1803" s="33">
        <f t="shared" si="446"/>
        <v>1250</v>
      </c>
      <c r="N1803" s="22">
        <f t="shared" si="44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444"/>
        <v>8</v>
      </c>
      <c r="J1804" s="5"/>
      <c r="K1804" s="5"/>
      <c r="L1804" s="33">
        <f t="shared" si="445"/>
        <v>969</v>
      </c>
      <c r="M1804" s="33">
        <f t="shared" si="446"/>
        <v>969</v>
      </c>
      <c r="N1804" s="22">
        <f t="shared" si="44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444"/>
        <v>48</v>
      </c>
      <c r="J1805" s="5"/>
      <c r="K1805" s="5"/>
      <c r="L1805" s="33">
        <f t="shared" si="445"/>
        <v>5811</v>
      </c>
      <c r="M1805" s="33">
        <f t="shared" si="446"/>
        <v>5811</v>
      </c>
      <c r="N1805" s="22">
        <f t="shared" si="44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444"/>
        <v>24</v>
      </c>
      <c r="J1806" s="5"/>
      <c r="K1806" s="5"/>
      <c r="L1806" s="33">
        <f t="shared" si="445"/>
        <v>2906</v>
      </c>
      <c r="M1806" s="33">
        <f t="shared" si="446"/>
        <v>2906</v>
      </c>
      <c r="N1806" s="22">
        <f t="shared" si="44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444"/>
        <v>24</v>
      </c>
      <c r="J1807" s="5"/>
      <c r="K1807" s="5"/>
      <c r="L1807" s="33">
        <f t="shared" si="445"/>
        <v>3750</v>
      </c>
      <c r="M1807" s="33">
        <f t="shared" si="446"/>
        <v>3750</v>
      </c>
      <c r="N1807" s="22">
        <f t="shared" si="44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444"/>
        <v>24</v>
      </c>
      <c r="J1808" s="5"/>
      <c r="K1808" s="5"/>
      <c r="L1808" s="33">
        <f t="shared" si="445"/>
        <v>2906</v>
      </c>
      <c r="M1808" s="33">
        <f t="shared" si="446"/>
        <v>2906</v>
      </c>
      <c r="N1808" s="22">
        <f t="shared" si="44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444"/>
        <v>2</v>
      </c>
      <c r="J1809" s="5"/>
      <c r="K1809" s="5"/>
      <c r="L1809" s="33">
        <f t="shared" si="445"/>
        <v>312</v>
      </c>
      <c r="M1809" s="33">
        <f t="shared" si="446"/>
        <v>312</v>
      </c>
      <c r="N1809" s="22">
        <f t="shared" si="44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444"/>
        <v>50000</v>
      </c>
      <c r="J1810" s="5"/>
      <c r="K1810" s="5"/>
      <c r="L1810" s="33">
        <f t="shared" si="445"/>
        <v>59195</v>
      </c>
      <c r="M1810" s="33">
        <f t="shared" si="446"/>
        <v>59195</v>
      </c>
      <c r="N1810" s="22">
        <f t="shared" si="44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444"/>
        <v>8</v>
      </c>
      <c r="J1811" s="5"/>
      <c r="K1811" s="5"/>
      <c r="L1811" s="33">
        <f t="shared" si="445"/>
        <v>1461</v>
      </c>
      <c r="M1811" s="33">
        <f t="shared" si="446"/>
        <v>1461</v>
      </c>
      <c r="N1811" s="22">
        <f t="shared" si="44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444"/>
        <v>8</v>
      </c>
      <c r="J1812" s="5"/>
      <c r="K1812" s="5"/>
      <c r="L1812" s="33">
        <f t="shared" si="445"/>
        <v>969</v>
      </c>
      <c r="M1812" s="33">
        <f t="shared" si="446"/>
        <v>969</v>
      </c>
      <c r="N1812" s="22">
        <f t="shared" si="44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444"/>
        <v>8</v>
      </c>
      <c r="J1813" s="5"/>
      <c r="K1813" s="5"/>
      <c r="L1813" s="33">
        <f t="shared" si="445"/>
        <v>969</v>
      </c>
      <c r="M1813" s="33">
        <f t="shared" si="446"/>
        <v>969</v>
      </c>
      <c r="N1813" s="22">
        <f t="shared" si="44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444"/>
        <v>8</v>
      </c>
      <c r="J1814" s="5"/>
      <c r="K1814" s="5"/>
      <c r="L1814" s="33">
        <f t="shared" si="445"/>
        <v>969</v>
      </c>
      <c r="M1814" s="33">
        <f t="shared" si="446"/>
        <v>969</v>
      </c>
      <c r="N1814" s="22">
        <f t="shared" si="44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444"/>
        <v>8</v>
      </c>
      <c r="J1815" s="5"/>
      <c r="K1815" s="5"/>
      <c r="L1815" s="33">
        <f t="shared" si="445"/>
        <v>1250</v>
      </c>
      <c r="M1815" s="33">
        <f t="shared" si="446"/>
        <v>1250</v>
      </c>
      <c r="N1815" s="22">
        <f t="shared" si="44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444"/>
        <v>8</v>
      </c>
      <c r="J1816" s="5"/>
      <c r="K1816" s="5"/>
      <c r="L1816" s="33">
        <f t="shared" si="445"/>
        <v>969</v>
      </c>
      <c r="M1816" s="33">
        <f t="shared" si="446"/>
        <v>969</v>
      </c>
      <c r="N1816" s="22">
        <f t="shared" si="44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444"/>
        <v>4</v>
      </c>
      <c r="J1817" s="5"/>
      <c r="K1817" s="5"/>
      <c r="L1817" s="33">
        <f t="shared" si="445"/>
        <v>625</v>
      </c>
      <c r="M1817" s="33">
        <f t="shared" si="446"/>
        <v>625</v>
      </c>
      <c r="N1817" s="22">
        <f t="shared" si="44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444"/>
        <v>24</v>
      </c>
      <c r="J1818" s="5"/>
      <c r="K1818" s="5"/>
      <c r="L1818" s="33">
        <f t="shared" si="445"/>
        <v>2906</v>
      </c>
      <c r="M1818" s="33">
        <f t="shared" si="446"/>
        <v>2906</v>
      </c>
      <c r="N1818" s="22">
        <f t="shared" si="44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444"/>
        <v>24</v>
      </c>
      <c r="J1819" s="5"/>
      <c r="K1819" s="5"/>
      <c r="L1819" s="33">
        <f t="shared" si="445"/>
        <v>3750</v>
      </c>
      <c r="M1819" s="33">
        <f t="shared" si="446"/>
        <v>3750</v>
      </c>
      <c r="N1819" s="22">
        <f t="shared" si="44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444"/>
        <v>24</v>
      </c>
      <c r="J1820" s="5"/>
      <c r="K1820" s="5"/>
      <c r="L1820" s="33">
        <f t="shared" si="445"/>
        <v>2906</v>
      </c>
      <c r="M1820" s="33">
        <f t="shared" si="446"/>
        <v>2906</v>
      </c>
      <c r="N1820" s="22">
        <f t="shared" si="44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444"/>
        <v>8</v>
      </c>
      <c r="J1821" s="5"/>
      <c r="K1821" s="5"/>
      <c r="L1821" s="33">
        <f t="shared" si="445"/>
        <v>1461</v>
      </c>
      <c r="M1821" s="33">
        <f t="shared" si="446"/>
        <v>1461</v>
      </c>
      <c r="N1821" s="22">
        <f t="shared" si="44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444"/>
        <v>4</v>
      </c>
      <c r="J1822" s="5"/>
      <c r="K1822" s="5"/>
      <c r="L1822" s="33">
        <f t="shared" si="445"/>
        <v>484</v>
      </c>
      <c r="M1822" s="33">
        <f t="shared" si="446"/>
        <v>484</v>
      </c>
      <c r="N1822" s="22">
        <f t="shared" si="44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444"/>
        <v>8</v>
      </c>
      <c r="J1823" s="5"/>
      <c r="K1823" s="5"/>
      <c r="L1823" s="33">
        <f t="shared" si="445"/>
        <v>969</v>
      </c>
      <c r="M1823" s="33">
        <f t="shared" si="446"/>
        <v>969</v>
      </c>
      <c r="N1823" s="22">
        <f t="shared" si="44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444"/>
        <v>8</v>
      </c>
      <c r="J1824" s="5"/>
      <c r="K1824" s="5"/>
      <c r="L1824" s="33">
        <f t="shared" si="445"/>
        <v>1250</v>
      </c>
      <c r="M1824" s="33">
        <f t="shared" si="446"/>
        <v>1250</v>
      </c>
      <c r="N1824" s="22">
        <f t="shared" si="44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444"/>
        <v>8</v>
      </c>
      <c r="J1825" s="5"/>
      <c r="K1825" s="5"/>
      <c r="L1825" s="33">
        <f t="shared" si="445"/>
        <v>969</v>
      </c>
      <c r="M1825" s="33">
        <f t="shared" si="446"/>
        <v>969</v>
      </c>
      <c r="N1825" s="22">
        <f t="shared" si="44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 t="shared" ref="I1827:I1831" si="448">D1827*(1-H1827)</f>
        <v>0</v>
      </c>
      <c r="J1827" s="5"/>
      <c r="K1827" s="5"/>
      <c r="L1827" s="33">
        <f t="shared" ref="L1827:L1831" si="449">E1827*(1-H1827)</f>
        <v>0</v>
      </c>
      <c r="M1827" s="33">
        <f t="shared" ref="M1827:M1831" si="450">IF(J1827="",L1827,(E1827/D1827)*J1827)</f>
        <v>0</v>
      </c>
      <c r="N1827" s="22">
        <f t="shared" ref="N1827:N1831" si="451"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 t="shared" si="448"/>
        <v>0</v>
      </c>
      <c r="J1828" s="5"/>
      <c r="K1828" s="5"/>
      <c r="L1828" s="33">
        <f t="shared" si="449"/>
        <v>0</v>
      </c>
      <c r="M1828" s="33">
        <f t="shared" si="450"/>
        <v>0</v>
      </c>
      <c r="N1828" s="22">
        <f t="shared" si="451"/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 t="shared" si="448"/>
        <v>0</v>
      </c>
      <c r="J1829" s="5"/>
      <c r="K1829" s="5"/>
      <c r="L1829" s="33">
        <f t="shared" si="449"/>
        <v>0</v>
      </c>
      <c r="M1829" s="33">
        <f t="shared" si="450"/>
        <v>0</v>
      </c>
      <c r="N1829" s="22">
        <f t="shared" si="451"/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 t="shared" si="448"/>
        <v>0</v>
      </c>
      <c r="J1830" s="5"/>
      <c r="K1830" s="5"/>
      <c r="L1830" s="33">
        <f t="shared" si="449"/>
        <v>0</v>
      </c>
      <c r="M1830" s="33">
        <f t="shared" si="450"/>
        <v>0</v>
      </c>
      <c r="N1830" s="22">
        <f t="shared" si="451"/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 t="shared" si="448"/>
        <v>0</v>
      </c>
      <c r="J1831" s="5"/>
      <c r="K1831" s="5"/>
      <c r="L1831" s="33">
        <f t="shared" si="449"/>
        <v>0</v>
      </c>
      <c r="M1831" s="33">
        <f t="shared" si="450"/>
        <v>0</v>
      </c>
      <c r="N1831" s="22">
        <f t="shared" si="451"/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452">D1833*(1-H1833)</f>
        <v>0</v>
      </c>
      <c r="J1833" s="5"/>
      <c r="K1833" s="5"/>
      <c r="L1833" s="33">
        <f t="shared" ref="L1833:L1856" si="453">E1833*(1-H1833)</f>
        <v>0</v>
      </c>
      <c r="M1833" s="33">
        <f t="shared" ref="M1833:M1856" si="454">IF(J1833="",L1833,(E1833/D1833)*J1833)</f>
        <v>0</v>
      </c>
      <c r="N1833" s="22">
        <f t="shared" ref="N1833:N1856" si="455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452"/>
        <v>0</v>
      </c>
      <c r="J1834" s="5"/>
      <c r="K1834" s="5"/>
      <c r="L1834" s="33">
        <f t="shared" si="453"/>
        <v>0</v>
      </c>
      <c r="M1834" s="33">
        <f t="shared" si="454"/>
        <v>0</v>
      </c>
      <c r="N1834" s="22">
        <f t="shared" si="455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452"/>
        <v>0</v>
      </c>
      <c r="J1835" s="5"/>
      <c r="K1835" s="5"/>
      <c r="L1835" s="33">
        <f t="shared" si="453"/>
        <v>0</v>
      </c>
      <c r="M1835" s="33">
        <f t="shared" si="454"/>
        <v>0</v>
      </c>
      <c r="N1835" s="22">
        <f t="shared" si="455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452"/>
        <v>0</v>
      </c>
      <c r="J1836" s="5"/>
      <c r="K1836" s="5"/>
      <c r="L1836" s="33">
        <f t="shared" si="453"/>
        <v>0</v>
      </c>
      <c r="M1836" s="33">
        <f t="shared" si="454"/>
        <v>0</v>
      </c>
      <c r="N1836" s="22">
        <f t="shared" si="455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452"/>
        <v>0</v>
      </c>
      <c r="J1837" s="5"/>
      <c r="K1837" s="5"/>
      <c r="L1837" s="33">
        <f t="shared" si="453"/>
        <v>0</v>
      </c>
      <c r="M1837" s="33">
        <f t="shared" si="454"/>
        <v>0</v>
      </c>
      <c r="N1837" s="22">
        <f t="shared" si="455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452"/>
        <v>0</v>
      </c>
      <c r="J1838" s="5"/>
      <c r="K1838" s="5"/>
      <c r="L1838" s="33">
        <f t="shared" si="453"/>
        <v>0</v>
      </c>
      <c r="M1838" s="33">
        <f t="shared" si="454"/>
        <v>0</v>
      </c>
      <c r="N1838" s="22">
        <f t="shared" si="455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452"/>
        <v>0</v>
      </c>
      <c r="J1839" s="5"/>
      <c r="K1839" s="5"/>
      <c r="L1839" s="33">
        <f t="shared" si="453"/>
        <v>0</v>
      </c>
      <c r="M1839" s="33">
        <f t="shared" si="454"/>
        <v>0</v>
      </c>
      <c r="N1839" s="22">
        <f t="shared" si="455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452"/>
        <v>0</v>
      </c>
      <c r="J1840" s="5"/>
      <c r="K1840" s="5"/>
      <c r="L1840" s="33">
        <f t="shared" si="453"/>
        <v>0</v>
      </c>
      <c r="M1840" s="33">
        <f t="shared" si="454"/>
        <v>0</v>
      </c>
      <c r="N1840" s="22">
        <f t="shared" si="455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452"/>
        <v>0</v>
      </c>
      <c r="J1841" s="5"/>
      <c r="K1841" s="5"/>
      <c r="L1841" s="33">
        <f t="shared" si="453"/>
        <v>0</v>
      </c>
      <c r="M1841" s="33">
        <f t="shared" si="454"/>
        <v>0</v>
      </c>
      <c r="N1841" s="22">
        <f t="shared" si="455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452"/>
        <v>0</v>
      </c>
      <c r="J1842" s="5"/>
      <c r="K1842" s="5"/>
      <c r="L1842" s="33">
        <f t="shared" si="453"/>
        <v>0</v>
      </c>
      <c r="M1842" s="33">
        <f t="shared" si="454"/>
        <v>0</v>
      </c>
      <c r="N1842" s="22">
        <f t="shared" si="455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452"/>
        <v>0</v>
      </c>
      <c r="J1843" s="5"/>
      <c r="K1843" s="5"/>
      <c r="L1843" s="33">
        <f t="shared" si="453"/>
        <v>0</v>
      </c>
      <c r="M1843" s="33">
        <f t="shared" si="454"/>
        <v>0</v>
      </c>
      <c r="N1843" s="22">
        <f t="shared" si="455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452"/>
        <v>0</v>
      </c>
      <c r="J1844" s="5"/>
      <c r="K1844" s="5"/>
      <c r="L1844" s="33">
        <f t="shared" si="453"/>
        <v>0</v>
      </c>
      <c r="M1844" s="33">
        <f t="shared" si="454"/>
        <v>0</v>
      </c>
      <c r="N1844" s="22">
        <f t="shared" si="455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452"/>
        <v>0</v>
      </c>
      <c r="J1845" s="5"/>
      <c r="K1845" s="5"/>
      <c r="L1845" s="33">
        <f t="shared" si="453"/>
        <v>0</v>
      </c>
      <c r="M1845" s="33">
        <f t="shared" si="454"/>
        <v>0</v>
      </c>
      <c r="N1845" s="22">
        <f t="shared" si="455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452"/>
        <v>0</v>
      </c>
      <c r="J1846" s="5"/>
      <c r="K1846" s="5"/>
      <c r="L1846" s="33">
        <f t="shared" si="453"/>
        <v>0</v>
      </c>
      <c r="M1846" s="33">
        <f t="shared" si="454"/>
        <v>0</v>
      </c>
      <c r="N1846" s="22">
        <f t="shared" si="455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452"/>
        <v>0</v>
      </c>
      <c r="J1847" s="5"/>
      <c r="K1847" s="5"/>
      <c r="L1847" s="33">
        <f t="shared" si="453"/>
        <v>0</v>
      </c>
      <c r="M1847" s="33">
        <f t="shared" si="454"/>
        <v>0</v>
      </c>
      <c r="N1847" s="22">
        <f t="shared" si="455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452"/>
        <v>0</v>
      </c>
      <c r="J1848" s="5"/>
      <c r="K1848" s="5"/>
      <c r="L1848" s="33">
        <f t="shared" si="453"/>
        <v>0</v>
      </c>
      <c r="M1848" s="33">
        <f t="shared" si="454"/>
        <v>0</v>
      </c>
      <c r="N1848" s="22">
        <f t="shared" si="455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452"/>
        <v>0</v>
      </c>
      <c r="J1849" s="5"/>
      <c r="K1849" s="5"/>
      <c r="L1849" s="33">
        <f t="shared" si="453"/>
        <v>0</v>
      </c>
      <c r="M1849" s="33">
        <f t="shared" si="454"/>
        <v>0</v>
      </c>
      <c r="N1849" s="22">
        <f t="shared" si="455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452"/>
        <v>0</v>
      </c>
      <c r="J1850" s="5"/>
      <c r="K1850" s="5"/>
      <c r="L1850" s="33">
        <f t="shared" si="453"/>
        <v>0</v>
      </c>
      <c r="M1850" s="33">
        <f t="shared" si="454"/>
        <v>0</v>
      </c>
      <c r="N1850" s="22">
        <f t="shared" si="455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452"/>
        <v>0</v>
      </c>
      <c r="J1851" s="5"/>
      <c r="K1851" s="5"/>
      <c r="L1851" s="33">
        <f t="shared" si="453"/>
        <v>0</v>
      </c>
      <c r="M1851" s="33">
        <f t="shared" si="454"/>
        <v>0</v>
      </c>
      <c r="N1851" s="22">
        <f t="shared" si="455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452"/>
        <v>0</v>
      </c>
      <c r="J1852" s="5"/>
      <c r="K1852" s="5"/>
      <c r="L1852" s="33">
        <f t="shared" si="453"/>
        <v>0</v>
      </c>
      <c r="M1852" s="33">
        <f t="shared" si="454"/>
        <v>0</v>
      </c>
      <c r="N1852" s="22">
        <f t="shared" si="455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452"/>
        <v>0</v>
      </c>
      <c r="J1853" s="5"/>
      <c r="K1853" s="5"/>
      <c r="L1853" s="33">
        <f t="shared" si="453"/>
        <v>0</v>
      </c>
      <c r="M1853" s="33">
        <f t="shared" si="454"/>
        <v>0</v>
      </c>
      <c r="N1853" s="22">
        <f t="shared" si="455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452"/>
        <v>0</v>
      </c>
      <c r="J1854" s="5"/>
      <c r="K1854" s="5"/>
      <c r="L1854" s="33">
        <f t="shared" si="453"/>
        <v>0</v>
      </c>
      <c r="M1854" s="33">
        <f t="shared" si="454"/>
        <v>0</v>
      </c>
      <c r="N1854" s="22">
        <f t="shared" si="455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452"/>
        <v>352</v>
      </c>
      <c r="J1855" s="5"/>
      <c r="K1855" s="5"/>
      <c r="L1855" s="33">
        <f t="shared" si="453"/>
        <v>37426</v>
      </c>
      <c r="M1855" s="33">
        <f t="shared" si="454"/>
        <v>37426</v>
      </c>
      <c r="N1855" s="22">
        <f t="shared" si="455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452"/>
        <v>113</v>
      </c>
      <c r="J1856" s="5"/>
      <c r="K1856" s="5"/>
      <c r="L1856" s="33">
        <f t="shared" si="453"/>
        <v>12375</v>
      </c>
      <c r="M1856" s="33">
        <f t="shared" si="454"/>
        <v>12375</v>
      </c>
      <c r="N1856" s="22">
        <f t="shared" si="455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456">D1858*(1-H1858)</f>
        <v>0</v>
      </c>
      <c r="J1858" s="5"/>
      <c r="K1858" s="5"/>
      <c r="L1858" s="33">
        <f t="shared" ref="L1858:L1880" si="457">E1858*(1-H1858)</f>
        <v>0</v>
      </c>
      <c r="M1858" s="33">
        <f t="shared" ref="M1858:M1880" si="458">IF(J1858="",L1858,(E1858/D1858)*J1858)</f>
        <v>0</v>
      </c>
      <c r="N1858" s="22">
        <f t="shared" ref="N1858:N1880" si="459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456"/>
        <v>0</v>
      </c>
      <c r="J1859" s="5"/>
      <c r="K1859" s="5"/>
      <c r="L1859" s="33">
        <f t="shared" si="457"/>
        <v>0</v>
      </c>
      <c r="M1859" s="33">
        <f t="shared" si="458"/>
        <v>0</v>
      </c>
      <c r="N1859" s="22">
        <f t="shared" si="459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456"/>
        <v>0</v>
      </c>
      <c r="J1860" s="5"/>
      <c r="K1860" s="5"/>
      <c r="L1860" s="33">
        <f t="shared" si="457"/>
        <v>0</v>
      </c>
      <c r="M1860" s="33">
        <f t="shared" si="458"/>
        <v>0</v>
      </c>
      <c r="N1860" s="22">
        <f t="shared" si="459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456"/>
        <v>0</v>
      </c>
      <c r="J1861" s="5"/>
      <c r="K1861" s="5"/>
      <c r="L1861" s="33">
        <f t="shared" si="457"/>
        <v>0</v>
      </c>
      <c r="M1861" s="33">
        <f t="shared" si="458"/>
        <v>0</v>
      </c>
      <c r="N1861" s="22">
        <f t="shared" si="459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456"/>
        <v>0</v>
      </c>
      <c r="J1862" s="5"/>
      <c r="K1862" s="5"/>
      <c r="L1862" s="33">
        <f t="shared" si="457"/>
        <v>0</v>
      </c>
      <c r="M1862" s="33">
        <f t="shared" si="458"/>
        <v>0</v>
      </c>
      <c r="N1862" s="22">
        <f t="shared" si="459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456"/>
        <v>0</v>
      </c>
      <c r="J1863" s="5"/>
      <c r="K1863" s="5"/>
      <c r="L1863" s="33">
        <f t="shared" si="457"/>
        <v>0</v>
      </c>
      <c r="M1863" s="33">
        <f t="shared" si="458"/>
        <v>0</v>
      </c>
      <c r="N1863" s="22">
        <f t="shared" si="459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456"/>
        <v>0</v>
      </c>
      <c r="J1864" s="5"/>
      <c r="K1864" s="5"/>
      <c r="L1864" s="33">
        <f t="shared" si="457"/>
        <v>0</v>
      </c>
      <c r="M1864" s="33">
        <f t="shared" si="458"/>
        <v>0</v>
      </c>
      <c r="N1864" s="22">
        <f t="shared" si="459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456"/>
        <v>0</v>
      </c>
      <c r="J1865" s="5"/>
      <c r="K1865" s="5"/>
      <c r="L1865" s="33">
        <f t="shared" si="457"/>
        <v>0</v>
      </c>
      <c r="M1865" s="33">
        <f t="shared" si="458"/>
        <v>0</v>
      </c>
      <c r="N1865" s="22">
        <f t="shared" si="459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456"/>
        <v>0</v>
      </c>
      <c r="J1866" s="5"/>
      <c r="K1866" s="5"/>
      <c r="L1866" s="33">
        <f t="shared" si="457"/>
        <v>0</v>
      </c>
      <c r="M1866" s="33">
        <f t="shared" si="458"/>
        <v>0</v>
      </c>
      <c r="N1866" s="22">
        <f t="shared" si="459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456"/>
        <v>0</v>
      </c>
      <c r="J1867" s="5"/>
      <c r="K1867" s="5"/>
      <c r="L1867" s="33">
        <f t="shared" si="457"/>
        <v>0</v>
      </c>
      <c r="M1867" s="33">
        <f t="shared" si="458"/>
        <v>0</v>
      </c>
      <c r="N1867" s="22">
        <f t="shared" si="459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456"/>
        <v>0</v>
      </c>
      <c r="J1868" s="5"/>
      <c r="K1868" s="5"/>
      <c r="L1868" s="33">
        <f t="shared" si="457"/>
        <v>0</v>
      </c>
      <c r="M1868" s="33">
        <f t="shared" si="458"/>
        <v>0</v>
      </c>
      <c r="N1868" s="22">
        <f t="shared" si="459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456"/>
        <v>8</v>
      </c>
      <c r="J1869" s="5"/>
      <c r="K1869" s="5"/>
      <c r="L1869" s="33">
        <f t="shared" si="457"/>
        <v>965</v>
      </c>
      <c r="M1869" s="33">
        <f t="shared" si="458"/>
        <v>965</v>
      </c>
      <c r="N1869" s="22">
        <f t="shared" si="459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456"/>
        <v>0</v>
      </c>
      <c r="J1870" s="5"/>
      <c r="K1870" s="5"/>
      <c r="L1870" s="33">
        <f t="shared" si="457"/>
        <v>0</v>
      </c>
      <c r="M1870" s="33">
        <f t="shared" si="458"/>
        <v>0</v>
      </c>
      <c r="N1870" s="22">
        <f t="shared" si="459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456"/>
        <v>0</v>
      </c>
      <c r="J1871" s="5"/>
      <c r="K1871" s="5"/>
      <c r="L1871" s="33">
        <f t="shared" si="457"/>
        <v>0</v>
      </c>
      <c r="M1871" s="33">
        <f t="shared" si="458"/>
        <v>0</v>
      </c>
      <c r="N1871" s="22">
        <f t="shared" si="459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456"/>
        <v>0</v>
      </c>
      <c r="J1872" s="5"/>
      <c r="K1872" s="5"/>
      <c r="L1872" s="33">
        <f t="shared" si="457"/>
        <v>0</v>
      </c>
      <c r="M1872" s="33">
        <f t="shared" si="458"/>
        <v>0</v>
      </c>
      <c r="N1872" s="22">
        <f t="shared" si="459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456"/>
        <v>0</v>
      </c>
      <c r="J1873" s="5"/>
      <c r="K1873" s="5"/>
      <c r="L1873" s="33">
        <f t="shared" si="457"/>
        <v>0</v>
      </c>
      <c r="M1873" s="33">
        <f t="shared" si="458"/>
        <v>0</v>
      </c>
      <c r="N1873" s="22">
        <f t="shared" si="459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456"/>
        <v>0</v>
      </c>
      <c r="J1874" s="5"/>
      <c r="K1874" s="5"/>
      <c r="L1874" s="33">
        <f t="shared" si="457"/>
        <v>0</v>
      </c>
      <c r="M1874" s="33">
        <f t="shared" si="458"/>
        <v>0</v>
      </c>
      <c r="N1874" s="22">
        <f t="shared" si="459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456"/>
        <v>0</v>
      </c>
      <c r="J1875" s="5"/>
      <c r="K1875" s="5"/>
      <c r="L1875" s="33">
        <f t="shared" si="457"/>
        <v>0</v>
      </c>
      <c r="M1875" s="33">
        <f t="shared" si="458"/>
        <v>0</v>
      </c>
      <c r="N1875" s="22">
        <f t="shared" si="459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456"/>
        <v>0</v>
      </c>
      <c r="J1876" s="5"/>
      <c r="K1876" s="5"/>
      <c r="L1876" s="33">
        <f t="shared" si="457"/>
        <v>0</v>
      </c>
      <c r="M1876" s="33">
        <f t="shared" si="458"/>
        <v>0</v>
      </c>
      <c r="N1876" s="22">
        <f t="shared" si="459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456"/>
        <v>0</v>
      </c>
      <c r="J1877" s="5"/>
      <c r="K1877" s="5"/>
      <c r="L1877" s="33">
        <f t="shared" si="457"/>
        <v>0</v>
      </c>
      <c r="M1877" s="33">
        <f t="shared" si="458"/>
        <v>0</v>
      </c>
      <c r="N1877" s="22">
        <f t="shared" si="459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456"/>
        <v>40</v>
      </c>
      <c r="J1878" s="5"/>
      <c r="K1878" s="5"/>
      <c r="L1878" s="33">
        <f t="shared" si="457"/>
        <v>4824</v>
      </c>
      <c r="M1878" s="33">
        <f t="shared" si="458"/>
        <v>4824</v>
      </c>
      <c r="N1878" s="22">
        <f t="shared" si="459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456"/>
        <v>16</v>
      </c>
      <c r="J1879" s="5"/>
      <c r="K1879" s="5"/>
      <c r="L1879" s="33">
        <f t="shared" si="457"/>
        <v>2490</v>
      </c>
      <c r="M1879" s="33">
        <f t="shared" si="458"/>
        <v>2490</v>
      </c>
      <c r="N1879" s="22">
        <f t="shared" si="459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456"/>
        <v>100000</v>
      </c>
      <c r="J1880" s="5"/>
      <c r="K1880" s="5"/>
      <c r="L1880" s="33">
        <f t="shared" si="457"/>
        <v>111561</v>
      </c>
      <c r="M1880" s="33">
        <f t="shared" si="458"/>
        <v>111561</v>
      </c>
      <c r="N1880" s="22">
        <f t="shared" si="459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460">D1882*(1-H1882)</f>
        <v>0</v>
      </c>
      <c r="J1882" s="5"/>
      <c r="K1882" s="5"/>
      <c r="L1882" s="33">
        <f t="shared" ref="L1882:L1908" si="461">E1882*(1-H1882)</f>
        <v>0</v>
      </c>
      <c r="M1882" s="33">
        <f t="shared" ref="M1882:M1908" si="462">IF(J1882="",L1882,(E1882/D1882)*J1882)</f>
        <v>0</v>
      </c>
      <c r="N1882" s="22">
        <f t="shared" ref="N1882:N1908" si="463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460"/>
        <v>0</v>
      </c>
      <c r="J1883" s="5"/>
      <c r="K1883" s="5"/>
      <c r="L1883" s="33">
        <f t="shared" si="461"/>
        <v>0</v>
      </c>
      <c r="M1883" s="33">
        <f t="shared" si="462"/>
        <v>0</v>
      </c>
      <c r="N1883" s="22">
        <f t="shared" si="463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460"/>
        <v>0</v>
      </c>
      <c r="J1884" s="5"/>
      <c r="K1884" s="5"/>
      <c r="L1884" s="33">
        <f t="shared" si="461"/>
        <v>0</v>
      </c>
      <c r="M1884" s="33">
        <f t="shared" si="462"/>
        <v>0</v>
      </c>
      <c r="N1884" s="22">
        <f t="shared" si="463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460"/>
        <v>0</v>
      </c>
      <c r="J1885" s="5"/>
      <c r="K1885" s="5"/>
      <c r="L1885" s="33">
        <f t="shared" si="461"/>
        <v>0</v>
      </c>
      <c r="M1885" s="33">
        <f t="shared" si="462"/>
        <v>0</v>
      </c>
      <c r="N1885" s="22">
        <f t="shared" si="463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460"/>
        <v>0</v>
      </c>
      <c r="J1886" s="5"/>
      <c r="K1886" s="5"/>
      <c r="L1886" s="33">
        <f t="shared" si="461"/>
        <v>0</v>
      </c>
      <c r="M1886" s="33">
        <f t="shared" si="462"/>
        <v>0</v>
      </c>
      <c r="N1886" s="22">
        <f t="shared" si="463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460"/>
        <v>4</v>
      </c>
      <c r="J1887" s="5"/>
      <c r="K1887" s="5"/>
      <c r="L1887" s="33">
        <f t="shared" si="461"/>
        <v>538</v>
      </c>
      <c r="M1887" s="33">
        <f t="shared" si="462"/>
        <v>538</v>
      </c>
      <c r="N1887" s="22">
        <f t="shared" si="463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460"/>
        <v>16</v>
      </c>
      <c r="J1888" s="5"/>
      <c r="K1888" s="5"/>
      <c r="L1888" s="33">
        <f t="shared" si="461"/>
        <v>1651.5</v>
      </c>
      <c r="M1888" s="33">
        <f t="shared" si="462"/>
        <v>1651.5</v>
      </c>
      <c r="N1888" s="22">
        <f t="shared" si="463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460"/>
        <v>4</v>
      </c>
      <c r="J1889" s="5"/>
      <c r="K1889" s="5"/>
      <c r="L1889" s="33">
        <f t="shared" si="461"/>
        <v>606.5</v>
      </c>
      <c r="M1889" s="33">
        <f t="shared" si="462"/>
        <v>606.5</v>
      </c>
      <c r="N1889" s="22">
        <f t="shared" si="463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460"/>
        <v>4</v>
      </c>
      <c r="J1890" s="5"/>
      <c r="K1890" s="5"/>
      <c r="L1890" s="33">
        <f t="shared" si="461"/>
        <v>538</v>
      </c>
      <c r="M1890" s="33">
        <f t="shared" si="462"/>
        <v>538</v>
      </c>
      <c r="N1890" s="22">
        <f t="shared" si="463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460"/>
        <v>8</v>
      </c>
      <c r="J1891" s="5"/>
      <c r="K1891" s="5"/>
      <c r="L1891" s="33">
        <f t="shared" si="461"/>
        <v>826</v>
      </c>
      <c r="M1891" s="33">
        <f t="shared" si="462"/>
        <v>826</v>
      </c>
      <c r="N1891" s="22">
        <f t="shared" si="463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460"/>
        <v>4</v>
      </c>
      <c r="J1892" s="5"/>
      <c r="K1892" s="5"/>
      <c r="L1892" s="33">
        <f t="shared" si="461"/>
        <v>607</v>
      </c>
      <c r="M1892" s="33">
        <f t="shared" si="462"/>
        <v>607</v>
      </c>
      <c r="N1892" s="22">
        <f t="shared" si="463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460"/>
        <v>8</v>
      </c>
      <c r="J1893" s="5"/>
      <c r="K1893" s="5"/>
      <c r="L1893" s="33">
        <f t="shared" si="461"/>
        <v>1076</v>
      </c>
      <c r="M1893" s="33">
        <f t="shared" si="462"/>
        <v>1076</v>
      </c>
      <c r="N1893" s="22">
        <f t="shared" si="463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460"/>
        <v>16</v>
      </c>
      <c r="J1894" s="5"/>
      <c r="K1894" s="5"/>
      <c r="L1894" s="33">
        <f t="shared" si="461"/>
        <v>1652</v>
      </c>
      <c r="M1894" s="33">
        <f t="shared" si="462"/>
        <v>1652</v>
      </c>
      <c r="N1894" s="22">
        <f t="shared" si="463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460"/>
        <v>8</v>
      </c>
      <c r="J1895" s="5"/>
      <c r="K1895" s="5"/>
      <c r="L1895" s="33">
        <f t="shared" si="461"/>
        <v>1213</v>
      </c>
      <c r="M1895" s="33">
        <f t="shared" si="462"/>
        <v>1213</v>
      </c>
      <c r="N1895" s="22">
        <f t="shared" si="463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460"/>
        <v>16</v>
      </c>
      <c r="J1896" s="5"/>
      <c r="K1896" s="5"/>
      <c r="L1896" s="33">
        <f t="shared" si="461"/>
        <v>2152</v>
      </c>
      <c r="M1896" s="33">
        <f t="shared" si="462"/>
        <v>2152</v>
      </c>
      <c r="N1896" s="22">
        <f t="shared" si="463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460"/>
        <v>32</v>
      </c>
      <c r="J1897" s="5"/>
      <c r="K1897" s="5"/>
      <c r="L1897" s="33">
        <f t="shared" si="461"/>
        <v>3303</v>
      </c>
      <c r="M1897" s="33">
        <f t="shared" si="462"/>
        <v>3303</v>
      </c>
      <c r="N1897" s="22">
        <f t="shared" si="463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460"/>
        <v>4</v>
      </c>
      <c r="J1898" s="5"/>
      <c r="K1898" s="5"/>
      <c r="L1898" s="33">
        <f t="shared" si="461"/>
        <v>607</v>
      </c>
      <c r="M1898" s="33">
        <f t="shared" si="462"/>
        <v>607</v>
      </c>
      <c r="N1898" s="22">
        <f t="shared" si="463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460"/>
        <v>16</v>
      </c>
      <c r="J1899" s="5"/>
      <c r="K1899" s="5"/>
      <c r="L1899" s="33">
        <f t="shared" si="461"/>
        <v>2152</v>
      </c>
      <c r="M1899" s="33">
        <f t="shared" si="462"/>
        <v>2152</v>
      </c>
      <c r="N1899" s="22">
        <f t="shared" si="463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460"/>
        <v>32</v>
      </c>
      <c r="J1900" s="5"/>
      <c r="K1900" s="5"/>
      <c r="L1900" s="33">
        <f t="shared" si="461"/>
        <v>3303</v>
      </c>
      <c r="M1900" s="33">
        <f t="shared" si="462"/>
        <v>3303</v>
      </c>
      <c r="N1900" s="22">
        <f t="shared" si="463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460"/>
        <v>4</v>
      </c>
      <c r="J1901" s="5"/>
      <c r="K1901" s="5"/>
      <c r="L1901" s="33">
        <f t="shared" si="461"/>
        <v>607</v>
      </c>
      <c r="M1901" s="33">
        <f t="shared" si="462"/>
        <v>607</v>
      </c>
      <c r="N1901" s="22">
        <f t="shared" si="463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460"/>
        <v>48</v>
      </c>
      <c r="J1902" s="5"/>
      <c r="K1902" s="5"/>
      <c r="L1902" s="33">
        <f t="shared" si="461"/>
        <v>6457</v>
      </c>
      <c r="M1902" s="33">
        <f t="shared" si="462"/>
        <v>6457</v>
      </c>
      <c r="N1902" s="22">
        <f t="shared" si="463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460"/>
        <v>96</v>
      </c>
      <c r="J1903" s="5"/>
      <c r="K1903" s="5"/>
      <c r="L1903" s="33">
        <f t="shared" si="461"/>
        <v>9910</v>
      </c>
      <c r="M1903" s="33">
        <f t="shared" si="462"/>
        <v>9910</v>
      </c>
      <c r="N1903" s="22">
        <f t="shared" si="463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460"/>
        <v>40</v>
      </c>
      <c r="J1904" s="5"/>
      <c r="K1904" s="5"/>
      <c r="L1904" s="33">
        <f t="shared" si="461"/>
        <v>4702</v>
      </c>
      <c r="M1904" s="33">
        <f t="shared" si="462"/>
        <v>4702</v>
      </c>
      <c r="N1904" s="22">
        <f t="shared" si="463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460"/>
        <v>8</v>
      </c>
      <c r="J1905" s="5"/>
      <c r="K1905" s="5"/>
      <c r="L1905" s="33">
        <f t="shared" si="461"/>
        <v>1076</v>
      </c>
      <c r="M1905" s="33">
        <f t="shared" si="462"/>
        <v>1076</v>
      </c>
      <c r="N1905" s="22">
        <f t="shared" si="463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460"/>
        <v>16</v>
      </c>
      <c r="J1906" s="5"/>
      <c r="K1906" s="5"/>
      <c r="L1906" s="33">
        <f t="shared" si="461"/>
        <v>1652</v>
      </c>
      <c r="M1906" s="33">
        <f t="shared" si="462"/>
        <v>1652</v>
      </c>
      <c r="N1906" s="22">
        <f t="shared" si="463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460"/>
        <v>2</v>
      </c>
      <c r="J1907" s="5"/>
      <c r="K1907" s="5"/>
      <c r="L1907" s="33">
        <f t="shared" si="461"/>
        <v>303</v>
      </c>
      <c r="M1907" s="33">
        <f t="shared" si="462"/>
        <v>303</v>
      </c>
      <c r="N1907" s="22">
        <f t="shared" si="463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460"/>
        <v>35000</v>
      </c>
      <c r="J1908" s="5"/>
      <c r="K1908" s="5"/>
      <c r="L1908" s="33">
        <f t="shared" si="461"/>
        <v>40624</v>
      </c>
      <c r="M1908" s="33">
        <f t="shared" si="462"/>
        <v>40624</v>
      </c>
      <c r="N1908" s="22">
        <f t="shared" si="463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464">D1910*(1-H1910)</f>
        <v>6.3999999999999986</v>
      </c>
      <c r="J1910" s="5"/>
      <c r="K1910" s="5"/>
      <c r="L1910" s="33">
        <f t="shared" ref="L1910:L1937" si="465">E1910*(1-H1910)</f>
        <v>860.79999999999984</v>
      </c>
      <c r="M1910" s="33">
        <f t="shared" ref="M1910:M1937" si="466">IF(J1910="",L1910,(E1910/D1910)*J1910)</f>
        <v>860.79999999999984</v>
      </c>
      <c r="N1910" s="22">
        <f t="shared" ref="N1910:N1937" si="467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464"/>
        <v>12.799999999999997</v>
      </c>
      <c r="J1911" s="5"/>
      <c r="K1911" s="5"/>
      <c r="L1911" s="33">
        <f t="shared" si="465"/>
        <v>1321.1999999999998</v>
      </c>
      <c r="M1911" s="33">
        <f t="shared" si="466"/>
        <v>1321.1999999999998</v>
      </c>
      <c r="N1911" s="22">
        <f t="shared" si="467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464"/>
        <v>0.79999999999999982</v>
      </c>
      <c r="J1912" s="5"/>
      <c r="K1912" s="5"/>
      <c r="L1912" s="33">
        <f t="shared" si="465"/>
        <v>121.39999999999998</v>
      </c>
      <c r="M1912" s="33">
        <f t="shared" si="466"/>
        <v>121.39999999999998</v>
      </c>
      <c r="N1912" s="22">
        <f t="shared" si="467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464"/>
        <v>8</v>
      </c>
      <c r="J1913" s="5"/>
      <c r="K1913" s="5"/>
      <c r="L1913" s="33">
        <f t="shared" si="465"/>
        <v>1076</v>
      </c>
      <c r="M1913" s="33">
        <f t="shared" si="466"/>
        <v>1076</v>
      </c>
      <c r="N1913" s="22">
        <f t="shared" si="467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464"/>
        <v>16</v>
      </c>
      <c r="J1914" s="5"/>
      <c r="K1914" s="5"/>
      <c r="L1914" s="33">
        <f t="shared" si="465"/>
        <v>1652</v>
      </c>
      <c r="M1914" s="33">
        <f t="shared" si="466"/>
        <v>1652</v>
      </c>
      <c r="N1914" s="22">
        <f t="shared" si="467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464"/>
        <v>4</v>
      </c>
      <c r="J1915" s="5"/>
      <c r="K1915" s="5"/>
      <c r="L1915" s="33">
        <f t="shared" si="465"/>
        <v>607</v>
      </c>
      <c r="M1915" s="33">
        <f t="shared" si="466"/>
        <v>607</v>
      </c>
      <c r="N1915" s="22">
        <f t="shared" si="467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464"/>
        <v>8</v>
      </c>
      <c r="J1916" s="5"/>
      <c r="K1916" s="5"/>
      <c r="L1916" s="33">
        <f t="shared" si="465"/>
        <v>1076</v>
      </c>
      <c r="M1916" s="33">
        <f t="shared" si="466"/>
        <v>1076</v>
      </c>
      <c r="N1916" s="22">
        <f t="shared" si="467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464"/>
        <v>16</v>
      </c>
      <c r="J1917" s="5"/>
      <c r="K1917" s="5"/>
      <c r="L1917" s="33">
        <f t="shared" si="465"/>
        <v>1652</v>
      </c>
      <c r="M1917" s="33">
        <f t="shared" si="466"/>
        <v>1652</v>
      </c>
      <c r="N1917" s="22">
        <f t="shared" si="467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464"/>
        <v>2</v>
      </c>
      <c r="J1918" s="5"/>
      <c r="K1918" s="5"/>
      <c r="L1918" s="33">
        <f t="shared" si="465"/>
        <v>303</v>
      </c>
      <c r="M1918" s="33">
        <f t="shared" si="466"/>
        <v>303</v>
      </c>
      <c r="N1918" s="22">
        <f t="shared" si="467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464"/>
        <v>16</v>
      </c>
      <c r="J1919" s="5"/>
      <c r="K1919" s="5"/>
      <c r="L1919" s="33">
        <f t="shared" si="465"/>
        <v>2152</v>
      </c>
      <c r="M1919" s="33">
        <f t="shared" si="466"/>
        <v>2152</v>
      </c>
      <c r="N1919" s="22">
        <f t="shared" si="467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464"/>
        <v>32</v>
      </c>
      <c r="J1920" s="5"/>
      <c r="K1920" s="5"/>
      <c r="L1920" s="33">
        <f t="shared" si="465"/>
        <v>3303</v>
      </c>
      <c r="M1920" s="33">
        <f t="shared" si="466"/>
        <v>3303</v>
      </c>
      <c r="N1920" s="22">
        <f t="shared" si="467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464"/>
        <v>4</v>
      </c>
      <c r="J1921" s="5"/>
      <c r="K1921" s="5"/>
      <c r="L1921" s="33">
        <f t="shared" si="465"/>
        <v>607</v>
      </c>
      <c r="M1921" s="33">
        <f t="shared" si="466"/>
        <v>607</v>
      </c>
      <c r="N1921" s="22">
        <f t="shared" si="467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464"/>
        <v>16</v>
      </c>
      <c r="J1922" s="5"/>
      <c r="K1922" s="5"/>
      <c r="L1922" s="33">
        <f t="shared" si="465"/>
        <v>2152</v>
      </c>
      <c r="M1922" s="33">
        <f t="shared" si="466"/>
        <v>2152</v>
      </c>
      <c r="N1922" s="22">
        <f t="shared" si="467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464"/>
        <v>32</v>
      </c>
      <c r="J1923" s="5"/>
      <c r="K1923" s="5"/>
      <c r="L1923" s="33">
        <f t="shared" si="465"/>
        <v>3303</v>
      </c>
      <c r="M1923" s="33">
        <f t="shared" si="466"/>
        <v>3303</v>
      </c>
      <c r="N1923" s="22">
        <f t="shared" si="467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464"/>
        <v>4</v>
      </c>
      <c r="J1924" s="5"/>
      <c r="K1924" s="5"/>
      <c r="L1924" s="33">
        <f t="shared" si="465"/>
        <v>607</v>
      </c>
      <c r="M1924" s="33">
        <f t="shared" si="466"/>
        <v>607</v>
      </c>
      <c r="N1924" s="22">
        <f t="shared" si="467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464"/>
        <v>20</v>
      </c>
      <c r="J1925" s="5"/>
      <c r="K1925" s="5"/>
      <c r="L1925" s="33">
        <f t="shared" si="465"/>
        <v>2763</v>
      </c>
      <c r="M1925" s="33">
        <f t="shared" si="466"/>
        <v>2763</v>
      </c>
      <c r="N1925" s="22">
        <f t="shared" si="467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464"/>
        <v>40</v>
      </c>
      <c r="J1926" s="5"/>
      <c r="K1926" s="5"/>
      <c r="L1926" s="33">
        <f t="shared" si="465"/>
        <v>4240.5</v>
      </c>
      <c r="M1926" s="33">
        <f t="shared" si="466"/>
        <v>4240.5</v>
      </c>
      <c r="N1926" s="22">
        <f t="shared" si="467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464"/>
        <v>1</v>
      </c>
      <c r="J1927" s="5"/>
      <c r="K1927" s="5"/>
      <c r="L1927" s="33">
        <f t="shared" si="465"/>
        <v>156</v>
      </c>
      <c r="M1927" s="33">
        <f t="shared" si="466"/>
        <v>156</v>
      </c>
      <c r="N1927" s="22">
        <f t="shared" si="467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464"/>
        <v>20</v>
      </c>
      <c r="J1928" s="5"/>
      <c r="K1928" s="5"/>
      <c r="L1928" s="33">
        <f t="shared" si="465"/>
        <v>2421</v>
      </c>
      <c r="M1928" s="33">
        <f t="shared" si="466"/>
        <v>2421</v>
      </c>
      <c r="N1928" s="22">
        <f t="shared" si="467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464"/>
        <v>4</v>
      </c>
      <c r="J1929" s="5"/>
      <c r="K1929" s="5"/>
      <c r="L1929" s="33">
        <f t="shared" si="465"/>
        <v>554</v>
      </c>
      <c r="M1929" s="33">
        <f t="shared" si="466"/>
        <v>554</v>
      </c>
      <c r="N1929" s="22">
        <f t="shared" si="467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464"/>
        <v>8</v>
      </c>
      <c r="J1930" s="5"/>
      <c r="K1930" s="5"/>
      <c r="L1930" s="33">
        <f t="shared" si="465"/>
        <v>851</v>
      </c>
      <c r="M1930" s="33">
        <f t="shared" si="466"/>
        <v>851</v>
      </c>
      <c r="N1930" s="22">
        <f t="shared" si="467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464"/>
        <v>4</v>
      </c>
      <c r="J1931" s="5"/>
      <c r="K1931" s="5"/>
      <c r="L1931" s="33">
        <f t="shared" si="465"/>
        <v>625</v>
      </c>
      <c r="M1931" s="33">
        <f t="shared" si="466"/>
        <v>625</v>
      </c>
      <c r="N1931" s="22">
        <f t="shared" si="467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464"/>
        <v>32500</v>
      </c>
      <c r="J1932" s="5"/>
      <c r="K1932" s="5"/>
      <c r="L1932" s="33">
        <f t="shared" si="465"/>
        <v>38476.5</v>
      </c>
      <c r="M1932" s="33">
        <f t="shared" si="466"/>
        <v>38476.5</v>
      </c>
      <c r="N1932" s="22">
        <f t="shared" si="467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464"/>
        <v>0</v>
      </c>
      <c r="J1933" s="5"/>
      <c r="K1933" s="5"/>
      <c r="L1933" s="33">
        <f t="shared" si="465"/>
        <v>0</v>
      </c>
      <c r="M1933" s="33">
        <f t="shared" si="466"/>
        <v>0</v>
      </c>
      <c r="N1933" s="22">
        <f t="shared" si="467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464"/>
        <v>0</v>
      </c>
      <c r="J1934" s="5"/>
      <c r="K1934" s="5"/>
      <c r="L1934" s="33">
        <f t="shared" si="465"/>
        <v>0</v>
      </c>
      <c r="M1934" s="33">
        <f t="shared" si="466"/>
        <v>0</v>
      </c>
      <c r="N1934" s="22">
        <f t="shared" si="467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464"/>
        <v>0</v>
      </c>
      <c r="J1935" s="5"/>
      <c r="K1935" s="5"/>
      <c r="L1935" s="33">
        <f t="shared" si="465"/>
        <v>0</v>
      </c>
      <c r="M1935" s="33">
        <f t="shared" si="466"/>
        <v>0</v>
      </c>
      <c r="N1935" s="22">
        <f t="shared" si="467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464"/>
        <v>0</v>
      </c>
      <c r="J1936" s="5"/>
      <c r="K1936" s="5"/>
      <c r="L1936" s="33">
        <f t="shared" si="465"/>
        <v>0</v>
      </c>
      <c r="M1936" s="33">
        <f t="shared" si="466"/>
        <v>0</v>
      </c>
      <c r="N1936" s="22">
        <f t="shared" si="467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464"/>
        <v>0</v>
      </c>
      <c r="J1937" s="5"/>
      <c r="K1937" s="5"/>
      <c r="L1937" s="33">
        <f t="shared" si="465"/>
        <v>0</v>
      </c>
      <c r="M1937" s="33">
        <f t="shared" si="466"/>
        <v>0</v>
      </c>
      <c r="N1937" s="22">
        <f t="shared" si="467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468">D1939*(1-H1939)</f>
        <v>2.25</v>
      </c>
      <c r="J1939" s="5"/>
      <c r="K1939" s="5"/>
      <c r="L1939" s="33">
        <f t="shared" ref="L1939:L1964" si="469">E1939*(1-H1939)</f>
        <v>399</v>
      </c>
      <c r="M1939" s="33">
        <f t="shared" ref="M1939:M1964" si="470">IF(J1939="",L1939,(E1939/D1939)*J1939)</f>
        <v>399</v>
      </c>
      <c r="N1939" s="22">
        <f t="shared" ref="N1939:N1964" si="471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468"/>
        <v>60</v>
      </c>
      <c r="J1940" s="5"/>
      <c r="K1940" s="5"/>
      <c r="L1940" s="33">
        <f t="shared" si="469"/>
        <v>8071</v>
      </c>
      <c r="M1940" s="33">
        <f t="shared" si="470"/>
        <v>8071</v>
      </c>
      <c r="N1940" s="22">
        <f t="shared" si="471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468"/>
        <v>96</v>
      </c>
      <c r="J1941" s="5"/>
      <c r="K1941" s="5"/>
      <c r="L1941" s="33">
        <f t="shared" si="469"/>
        <v>9910</v>
      </c>
      <c r="M1941" s="33">
        <f t="shared" si="470"/>
        <v>9910</v>
      </c>
      <c r="N1941" s="22">
        <f t="shared" si="471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468"/>
        <v>8</v>
      </c>
      <c r="J1942" s="5"/>
      <c r="K1942" s="5"/>
      <c r="L1942" s="33">
        <f t="shared" si="469"/>
        <v>1213</v>
      </c>
      <c r="M1942" s="33">
        <f t="shared" si="470"/>
        <v>1213</v>
      </c>
      <c r="N1942" s="22">
        <f t="shared" si="471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468"/>
        <v>8</v>
      </c>
      <c r="J1943" s="5"/>
      <c r="K1943" s="5"/>
      <c r="L1943" s="33">
        <f t="shared" si="469"/>
        <v>1076</v>
      </c>
      <c r="M1943" s="33">
        <f t="shared" si="470"/>
        <v>1076</v>
      </c>
      <c r="N1943" s="22">
        <f t="shared" si="471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468"/>
        <v>32</v>
      </c>
      <c r="J1944" s="5"/>
      <c r="K1944" s="5"/>
      <c r="L1944" s="33">
        <f t="shared" si="469"/>
        <v>3303</v>
      </c>
      <c r="M1944" s="33">
        <f t="shared" si="470"/>
        <v>3303</v>
      </c>
      <c r="N1944" s="22">
        <f t="shared" si="471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468"/>
        <v>8</v>
      </c>
      <c r="J1945" s="5"/>
      <c r="K1945" s="5"/>
      <c r="L1945" s="33">
        <f t="shared" si="469"/>
        <v>1213</v>
      </c>
      <c r="M1945" s="33">
        <f t="shared" si="470"/>
        <v>1213</v>
      </c>
      <c r="N1945" s="22">
        <f t="shared" si="471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468"/>
        <v>8</v>
      </c>
      <c r="J1946" s="5"/>
      <c r="K1946" s="5"/>
      <c r="L1946" s="33">
        <f t="shared" si="469"/>
        <v>1076</v>
      </c>
      <c r="M1946" s="33">
        <f t="shared" si="470"/>
        <v>1076</v>
      </c>
      <c r="N1946" s="22">
        <f t="shared" si="471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468"/>
        <v>32</v>
      </c>
      <c r="J1947" s="5"/>
      <c r="K1947" s="5"/>
      <c r="L1947" s="33">
        <f t="shared" si="469"/>
        <v>3303</v>
      </c>
      <c r="M1947" s="33">
        <f t="shared" si="470"/>
        <v>3303</v>
      </c>
      <c r="N1947" s="22">
        <f t="shared" si="471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468"/>
        <v>4</v>
      </c>
      <c r="J1948" s="5"/>
      <c r="K1948" s="5"/>
      <c r="L1948" s="33">
        <f t="shared" si="469"/>
        <v>607</v>
      </c>
      <c r="M1948" s="33">
        <f t="shared" si="470"/>
        <v>607</v>
      </c>
      <c r="N1948" s="22">
        <f t="shared" si="471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468"/>
        <v>8</v>
      </c>
      <c r="J1949" s="5"/>
      <c r="K1949" s="5"/>
      <c r="L1949" s="33">
        <f t="shared" si="469"/>
        <v>1076</v>
      </c>
      <c r="M1949" s="33">
        <f t="shared" si="470"/>
        <v>1076</v>
      </c>
      <c r="N1949" s="22">
        <f t="shared" si="471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468"/>
        <v>16</v>
      </c>
      <c r="J1950" s="5"/>
      <c r="K1950" s="5"/>
      <c r="L1950" s="33">
        <f t="shared" si="469"/>
        <v>1652</v>
      </c>
      <c r="M1950" s="33">
        <f t="shared" si="470"/>
        <v>1652</v>
      </c>
      <c r="N1950" s="22">
        <f t="shared" si="471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468"/>
        <v>4</v>
      </c>
      <c r="J1951" s="5"/>
      <c r="K1951" s="5"/>
      <c r="L1951" s="33">
        <f t="shared" si="469"/>
        <v>607</v>
      </c>
      <c r="M1951" s="33">
        <f t="shared" si="470"/>
        <v>607</v>
      </c>
      <c r="N1951" s="22">
        <f t="shared" si="471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468"/>
        <v>24</v>
      </c>
      <c r="J1952" s="5"/>
      <c r="K1952" s="5"/>
      <c r="L1952" s="33">
        <f t="shared" si="469"/>
        <v>3228</v>
      </c>
      <c r="M1952" s="33">
        <f t="shared" si="470"/>
        <v>3228</v>
      </c>
      <c r="N1952" s="22">
        <f t="shared" si="471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468"/>
        <v>48</v>
      </c>
      <c r="J1953" s="5"/>
      <c r="K1953" s="5"/>
      <c r="L1953" s="33">
        <f t="shared" si="469"/>
        <v>4955</v>
      </c>
      <c r="M1953" s="33">
        <f t="shared" si="470"/>
        <v>4955</v>
      </c>
      <c r="N1953" s="22">
        <f t="shared" si="471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468"/>
        <v>4</v>
      </c>
      <c r="J1954" s="5"/>
      <c r="K1954" s="5"/>
      <c r="L1954" s="33">
        <f t="shared" si="469"/>
        <v>607</v>
      </c>
      <c r="M1954" s="33">
        <f t="shared" si="470"/>
        <v>607</v>
      </c>
      <c r="N1954" s="22">
        <f t="shared" si="471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468"/>
        <v>48</v>
      </c>
      <c r="J1955" s="5"/>
      <c r="K1955" s="5"/>
      <c r="L1955" s="33">
        <f t="shared" si="469"/>
        <v>6457</v>
      </c>
      <c r="M1955" s="33">
        <f t="shared" si="470"/>
        <v>6457</v>
      </c>
      <c r="N1955" s="22">
        <f t="shared" si="471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468"/>
        <v>96</v>
      </c>
      <c r="J1956" s="5"/>
      <c r="K1956" s="5"/>
      <c r="L1956" s="33">
        <f t="shared" si="469"/>
        <v>9910</v>
      </c>
      <c r="M1956" s="33">
        <f t="shared" si="470"/>
        <v>9910</v>
      </c>
      <c r="N1956" s="22">
        <f t="shared" si="471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468"/>
        <v>2</v>
      </c>
      <c r="J1957" s="5"/>
      <c r="K1957" s="5"/>
      <c r="L1957" s="33">
        <f t="shared" si="469"/>
        <v>303</v>
      </c>
      <c r="M1957" s="33">
        <f t="shared" si="470"/>
        <v>303</v>
      </c>
      <c r="N1957" s="22">
        <f t="shared" si="471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468"/>
        <v>88</v>
      </c>
      <c r="J1958" s="5"/>
      <c r="K1958" s="5"/>
      <c r="L1958" s="33">
        <f t="shared" si="469"/>
        <v>11837</v>
      </c>
      <c r="M1958" s="33">
        <f t="shared" si="470"/>
        <v>11837</v>
      </c>
      <c r="N1958" s="22">
        <f t="shared" si="471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468"/>
        <v>16</v>
      </c>
      <c r="J1959" s="5"/>
      <c r="K1959" s="5"/>
      <c r="L1959" s="33">
        <f t="shared" si="469"/>
        <v>1652</v>
      </c>
      <c r="M1959" s="33">
        <f t="shared" si="470"/>
        <v>1652</v>
      </c>
      <c r="N1959" s="22">
        <f t="shared" si="471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468"/>
        <v>4</v>
      </c>
      <c r="J1960" s="5"/>
      <c r="K1960" s="5"/>
      <c r="L1960" s="33">
        <f t="shared" si="469"/>
        <v>607</v>
      </c>
      <c r="M1960" s="33">
        <f t="shared" si="470"/>
        <v>607</v>
      </c>
      <c r="N1960" s="22">
        <f t="shared" si="471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468"/>
        <v>32000</v>
      </c>
      <c r="J1961" s="5"/>
      <c r="K1961" s="5"/>
      <c r="L1961" s="33">
        <f t="shared" si="469"/>
        <v>37142</v>
      </c>
      <c r="M1961" s="33">
        <f t="shared" si="470"/>
        <v>37142</v>
      </c>
      <c r="N1961" s="22">
        <f t="shared" si="471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468"/>
        <v>54</v>
      </c>
      <c r="J1962" s="5"/>
      <c r="K1962" s="5"/>
      <c r="L1962" s="33">
        <f t="shared" si="469"/>
        <v>7263.75</v>
      </c>
      <c r="M1962" s="33">
        <f t="shared" si="470"/>
        <v>7263.75</v>
      </c>
      <c r="N1962" s="22">
        <f t="shared" si="471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468"/>
        <v>72</v>
      </c>
      <c r="J1963" s="5"/>
      <c r="K1963" s="5"/>
      <c r="L1963" s="33">
        <f t="shared" si="469"/>
        <v>7432.5</v>
      </c>
      <c r="M1963" s="33">
        <f t="shared" si="470"/>
        <v>7432.5</v>
      </c>
      <c r="N1963" s="22">
        <f t="shared" si="471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468"/>
        <v>7.5</v>
      </c>
      <c r="J1964" s="5"/>
      <c r="K1964" s="5"/>
      <c r="L1964" s="33">
        <f t="shared" si="469"/>
        <v>1137.75</v>
      </c>
      <c r="M1964" s="33">
        <f t="shared" si="470"/>
        <v>1137.75</v>
      </c>
      <c r="N1964" s="22">
        <f t="shared" si="471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472">D1966*(1-H1966)</f>
        <v>0</v>
      </c>
      <c r="J1966" s="5"/>
      <c r="K1966" s="5"/>
      <c r="L1966" s="33">
        <f t="shared" ref="L1966:L2029" si="473">E1966*(1-H1966)</f>
        <v>0</v>
      </c>
      <c r="M1966" s="33">
        <f t="shared" ref="M1966:M2029" si="474">IF(J1966="",L1966,(E1966/D1966)*J1966)</f>
        <v>0</v>
      </c>
      <c r="N1966" s="22">
        <f t="shared" ref="N1966:N2029" si="475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472"/>
        <v>0</v>
      </c>
      <c r="J1967" s="5"/>
      <c r="K1967" s="5"/>
      <c r="L1967" s="33">
        <f t="shared" si="473"/>
        <v>0</v>
      </c>
      <c r="M1967" s="33">
        <f t="shared" si="474"/>
        <v>0</v>
      </c>
      <c r="N1967" s="22">
        <f t="shared" si="475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472"/>
        <v>0</v>
      </c>
      <c r="J1968" s="5"/>
      <c r="K1968" s="5"/>
      <c r="L1968" s="33">
        <f t="shared" si="473"/>
        <v>0</v>
      </c>
      <c r="M1968" s="33">
        <f t="shared" si="474"/>
        <v>0</v>
      </c>
      <c r="N1968" s="22">
        <f t="shared" si="475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472"/>
        <v>24</v>
      </c>
      <c r="J1969" s="5"/>
      <c r="K1969" s="5"/>
      <c r="L1969" s="33">
        <f t="shared" si="473"/>
        <v>3228</v>
      </c>
      <c r="M1969" s="33">
        <f t="shared" si="474"/>
        <v>3228</v>
      </c>
      <c r="N1969" s="22">
        <f t="shared" si="475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472"/>
        <v>48</v>
      </c>
      <c r="J1970" s="5"/>
      <c r="K1970" s="5"/>
      <c r="L1970" s="33">
        <f t="shared" si="473"/>
        <v>4955</v>
      </c>
      <c r="M1970" s="33">
        <f t="shared" si="474"/>
        <v>4955</v>
      </c>
      <c r="N1970" s="22">
        <f t="shared" si="475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472"/>
        <v>20</v>
      </c>
      <c r="J1971" s="5"/>
      <c r="K1971" s="5"/>
      <c r="L1971" s="33">
        <f t="shared" si="473"/>
        <v>3034</v>
      </c>
      <c r="M1971" s="33">
        <f t="shared" si="474"/>
        <v>3034</v>
      </c>
      <c r="N1971" s="22">
        <f t="shared" si="475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472"/>
        <v>8</v>
      </c>
      <c r="J1972" s="5"/>
      <c r="K1972" s="5"/>
      <c r="L1972" s="33">
        <f t="shared" si="473"/>
        <v>1076</v>
      </c>
      <c r="M1972" s="33">
        <f t="shared" si="474"/>
        <v>1076</v>
      </c>
      <c r="N1972" s="22">
        <f t="shared" si="475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472"/>
        <v>16</v>
      </c>
      <c r="J1973" s="5"/>
      <c r="K1973" s="5"/>
      <c r="L1973" s="33">
        <f t="shared" si="473"/>
        <v>1652</v>
      </c>
      <c r="M1973" s="33">
        <f t="shared" si="474"/>
        <v>1652</v>
      </c>
      <c r="N1973" s="22">
        <f t="shared" si="475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472"/>
        <v>5</v>
      </c>
      <c r="J1974" s="5"/>
      <c r="K1974" s="5"/>
      <c r="L1974" s="33">
        <f t="shared" si="473"/>
        <v>758</v>
      </c>
      <c r="M1974" s="33">
        <f t="shared" si="474"/>
        <v>758</v>
      </c>
      <c r="N1974" s="22">
        <f t="shared" si="475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472"/>
        <v>8</v>
      </c>
      <c r="J1975" s="5"/>
      <c r="K1975" s="5"/>
      <c r="L1975" s="33">
        <f t="shared" si="473"/>
        <v>1076</v>
      </c>
      <c r="M1975" s="33">
        <f t="shared" si="474"/>
        <v>1076</v>
      </c>
      <c r="N1975" s="22">
        <f t="shared" si="475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472"/>
        <v>16</v>
      </c>
      <c r="J1976" s="5"/>
      <c r="K1976" s="5"/>
      <c r="L1976" s="33">
        <f t="shared" si="473"/>
        <v>1652</v>
      </c>
      <c r="M1976" s="33">
        <f t="shared" si="474"/>
        <v>1652</v>
      </c>
      <c r="N1976" s="22">
        <f t="shared" si="475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472"/>
        <v>5</v>
      </c>
      <c r="J1977" s="5"/>
      <c r="K1977" s="5"/>
      <c r="L1977" s="33">
        <f t="shared" si="473"/>
        <v>758</v>
      </c>
      <c r="M1977" s="33">
        <f t="shared" si="474"/>
        <v>758</v>
      </c>
      <c r="N1977" s="22">
        <f t="shared" si="475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472"/>
        <v>72</v>
      </c>
      <c r="J1978" s="5"/>
      <c r="K1978" s="5"/>
      <c r="L1978" s="33">
        <f t="shared" si="473"/>
        <v>9685</v>
      </c>
      <c r="M1978" s="33">
        <f t="shared" si="474"/>
        <v>9685</v>
      </c>
      <c r="N1978" s="22">
        <f t="shared" si="475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472"/>
        <v>48</v>
      </c>
      <c r="J1979" s="5"/>
      <c r="K1979" s="5"/>
      <c r="L1979" s="33">
        <f t="shared" si="473"/>
        <v>4955</v>
      </c>
      <c r="M1979" s="33">
        <f t="shared" si="474"/>
        <v>4955</v>
      </c>
      <c r="N1979" s="22">
        <f t="shared" si="475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472"/>
        <v>4</v>
      </c>
      <c r="J1980" s="5"/>
      <c r="K1980" s="5"/>
      <c r="L1980" s="33">
        <f t="shared" si="473"/>
        <v>607</v>
      </c>
      <c r="M1980" s="33">
        <f t="shared" si="474"/>
        <v>607</v>
      </c>
      <c r="N1980" s="22">
        <f t="shared" si="475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472"/>
        <v>72</v>
      </c>
      <c r="J1981" s="5"/>
      <c r="K1981" s="5"/>
      <c r="L1981" s="33">
        <f t="shared" si="473"/>
        <v>9685</v>
      </c>
      <c r="M1981" s="33">
        <f t="shared" si="474"/>
        <v>9685</v>
      </c>
      <c r="N1981" s="22">
        <f t="shared" si="475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472"/>
        <v>48</v>
      </c>
      <c r="J1982" s="5"/>
      <c r="K1982" s="5"/>
      <c r="L1982" s="33">
        <f t="shared" si="473"/>
        <v>4955</v>
      </c>
      <c r="M1982" s="33">
        <f t="shared" si="474"/>
        <v>4955</v>
      </c>
      <c r="N1982" s="22">
        <f t="shared" si="475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472"/>
        <v>2</v>
      </c>
      <c r="J1983" s="5"/>
      <c r="K1983" s="5"/>
      <c r="L1983" s="33">
        <f t="shared" si="473"/>
        <v>303</v>
      </c>
      <c r="M1983" s="33">
        <f t="shared" si="474"/>
        <v>303</v>
      </c>
      <c r="N1983" s="22">
        <f t="shared" si="475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472"/>
        <v>72</v>
      </c>
      <c r="J1984" s="5"/>
      <c r="K1984" s="5"/>
      <c r="L1984" s="33">
        <f t="shared" si="473"/>
        <v>9685</v>
      </c>
      <c r="M1984" s="33">
        <f t="shared" si="474"/>
        <v>9685</v>
      </c>
      <c r="N1984" s="22">
        <f t="shared" si="475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472"/>
        <v>144</v>
      </c>
      <c r="J1985" s="5"/>
      <c r="K1985" s="5"/>
      <c r="L1985" s="33">
        <f t="shared" si="473"/>
        <v>14865</v>
      </c>
      <c r="M1985" s="33">
        <f t="shared" si="474"/>
        <v>14865</v>
      </c>
      <c r="N1985" s="22">
        <f t="shared" si="475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472"/>
        <v>8</v>
      </c>
      <c r="J1986" s="5"/>
      <c r="K1986" s="5"/>
      <c r="L1986" s="33">
        <f t="shared" si="473"/>
        <v>1213</v>
      </c>
      <c r="M1986" s="33">
        <f t="shared" si="474"/>
        <v>1213</v>
      </c>
      <c r="N1986" s="22">
        <f t="shared" si="475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472"/>
        <v>24</v>
      </c>
      <c r="J1987" s="5"/>
      <c r="K1987" s="5"/>
      <c r="L1987" s="33">
        <f t="shared" si="473"/>
        <v>3228</v>
      </c>
      <c r="M1987" s="33">
        <f t="shared" si="474"/>
        <v>3228</v>
      </c>
      <c r="N1987" s="22">
        <f t="shared" si="475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472"/>
        <v>16</v>
      </c>
      <c r="J1988" s="5"/>
      <c r="K1988" s="5"/>
      <c r="L1988" s="33">
        <f t="shared" si="473"/>
        <v>1652</v>
      </c>
      <c r="M1988" s="33">
        <f t="shared" si="474"/>
        <v>1652</v>
      </c>
      <c r="N1988" s="22">
        <f t="shared" si="475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472"/>
        <v>10000</v>
      </c>
      <c r="J1989" s="5"/>
      <c r="K1989" s="5"/>
      <c r="L1989" s="33">
        <f t="shared" si="473"/>
        <v>11607</v>
      </c>
      <c r="M1989" s="33">
        <f t="shared" si="474"/>
        <v>11607</v>
      </c>
      <c r="N1989" s="22">
        <f t="shared" si="475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472"/>
        <v>0</v>
      </c>
      <c r="J1990" s="5"/>
      <c r="K1990" s="5"/>
      <c r="L1990" s="33">
        <f t="shared" si="473"/>
        <v>0</v>
      </c>
      <c r="M1990" s="33">
        <f t="shared" si="474"/>
        <v>0</v>
      </c>
      <c r="N1990" s="22">
        <f t="shared" si="475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472"/>
        <v>0</v>
      </c>
      <c r="J1991" s="5"/>
      <c r="K1991" s="5"/>
      <c r="L1991" s="33">
        <f t="shared" si="473"/>
        <v>0</v>
      </c>
      <c r="M1991" s="33">
        <f t="shared" si="474"/>
        <v>0</v>
      </c>
      <c r="N1991" s="22">
        <f t="shared" si="475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472"/>
        <v>0</v>
      </c>
      <c r="J1992" s="5"/>
      <c r="K1992" s="5"/>
      <c r="L1992" s="33">
        <f t="shared" si="473"/>
        <v>0</v>
      </c>
      <c r="M1992" s="33">
        <f t="shared" si="474"/>
        <v>0</v>
      </c>
      <c r="N1992" s="22">
        <f t="shared" si="475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472"/>
        <v>0</v>
      </c>
      <c r="J1993" s="5"/>
      <c r="K1993" s="5"/>
      <c r="L1993" s="33">
        <f t="shared" si="473"/>
        <v>0</v>
      </c>
      <c r="M1993" s="33">
        <f t="shared" si="474"/>
        <v>0</v>
      </c>
      <c r="N1993" s="22">
        <f t="shared" si="475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472"/>
        <v>0</v>
      </c>
      <c r="J1994" s="5"/>
      <c r="K1994" s="5"/>
      <c r="L1994" s="33">
        <f t="shared" si="473"/>
        <v>0</v>
      </c>
      <c r="M1994" s="33">
        <f t="shared" si="474"/>
        <v>0</v>
      </c>
      <c r="N1994" s="22">
        <f t="shared" si="475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472"/>
        <v>0</v>
      </c>
      <c r="J1995" s="5"/>
      <c r="K1995" s="5"/>
      <c r="L1995" s="33">
        <f t="shared" si="473"/>
        <v>0</v>
      </c>
      <c r="M1995" s="33">
        <f t="shared" si="474"/>
        <v>0</v>
      </c>
      <c r="N1995" s="22">
        <f t="shared" si="475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472"/>
        <v>0</v>
      </c>
      <c r="J1996" s="5"/>
      <c r="K1996" s="5"/>
      <c r="L1996" s="33">
        <f t="shared" si="473"/>
        <v>0</v>
      </c>
      <c r="M1996" s="33">
        <f t="shared" si="474"/>
        <v>0</v>
      </c>
      <c r="N1996" s="22">
        <f t="shared" si="475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472"/>
        <v>0</v>
      </c>
      <c r="J1997" s="5"/>
      <c r="K1997" s="5"/>
      <c r="L1997" s="33">
        <f t="shared" si="473"/>
        <v>0</v>
      </c>
      <c r="M1997" s="33">
        <f t="shared" si="474"/>
        <v>0</v>
      </c>
      <c r="N1997" s="22">
        <f t="shared" si="475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472"/>
        <v>0</v>
      </c>
      <c r="J1998" s="5"/>
      <c r="K1998" s="5"/>
      <c r="L1998" s="33">
        <f t="shared" si="473"/>
        <v>0</v>
      </c>
      <c r="M1998" s="33">
        <f t="shared" si="474"/>
        <v>0</v>
      </c>
      <c r="N1998" s="22">
        <f t="shared" si="475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472"/>
        <v>0</v>
      </c>
      <c r="J1999" s="5"/>
      <c r="K1999" s="5"/>
      <c r="L1999" s="33">
        <f t="shared" si="473"/>
        <v>0</v>
      </c>
      <c r="M1999" s="33">
        <f t="shared" si="474"/>
        <v>0</v>
      </c>
      <c r="N1999" s="22">
        <f t="shared" si="475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472"/>
        <v>0</v>
      </c>
      <c r="J2000" s="5"/>
      <c r="K2000" s="5"/>
      <c r="L2000" s="33">
        <f t="shared" si="473"/>
        <v>0</v>
      </c>
      <c r="M2000" s="33">
        <f t="shared" si="474"/>
        <v>0</v>
      </c>
      <c r="N2000" s="22">
        <f t="shared" si="475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472"/>
        <v>0</v>
      </c>
      <c r="J2001" s="5"/>
      <c r="K2001" s="5"/>
      <c r="L2001" s="33">
        <f t="shared" si="473"/>
        <v>0</v>
      </c>
      <c r="M2001" s="33">
        <f t="shared" si="474"/>
        <v>0</v>
      </c>
      <c r="N2001" s="22">
        <f t="shared" si="475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472"/>
        <v>0</v>
      </c>
      <c r="J2002" s="5"/>
      <c r="K2002" s="5"/>
      <c r="L2002" s="33">
        <f t="shared" si="473"/>
        <v>0</v>
      </c>
      <c r="M2002" s="33">
        <f t="shared" si="474"/>
        <v>0</v>
      </c>
      <c r="N2002" s="22">
        <f t="shared" si="475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472"/>
        <v>0</v>
      </c>
      <c r="J2003" s="5"/>
      <c r="K2003" s="5"/>
      <c r="L2003" s="33">
        <f t="shared" si="473"/>
        <v>0</v>
      </c>
      <c r="M2003" s="33">
        <f t="shared" si="474"/>
        <v>0</v>
      </c>
      <c r="N2003" s="22">
        <f t="shared" si="475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472"/>
        <v>0</v>
      </c>
      <c r="J2004" s="5"/>
      <c r="K2004" s="5"/>
      <c r="L2004" s="33">
        <f t="shared" si="473"/>
        <v>0</v>
      </c>
      <c r="M2004" s="33">
        <f t="shared" si="474"/>
        <v>0</v>
      </c>
      <c r="N2004" s="22">
        <f t="shared" si="475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472"/>
        <v>0</v>
      </c>
      <c r="J2005" s="5"/>
      <c r="K2005" s="5"/>
      <c r="L2005" s="33">
        <f t="shared" si="473"/>
        <v>0</v>
      </c>
      <c r="M2005" s="33">
        <f t="shared" si="474"/>
        <v>0</v>
      </c>
      <c r="N2005" s="22">
        <f t="shared" si="475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472"/>
        <v>0</v>
      </c>
      <c r="J2006" s="5"/>
      <c r="K2006" s="5"/>
      <c r="L2006" s="33">
        <f t="shared" si="473"/>
        <v>0</v>
      </c>
      <c r="M2006" s="33">
        <f t="shared" si="474"/>
        <v>0</v>
      </c>
      <c r="N2006" s="22">
        <f t="shared" si="475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472"/>
        <v>0</v>
      </c>
      <c r="J2007" s="5"/>
      <c r="K2007" s="5"/>
      <c r="L2007" s="33">
        <f t="shared" si="473"/>
        <v>0</v>
      </c>
      <c r="M2007" s="33">
        <f t="shared" si="474"/>
        <v>0</v>
      </c>
      <c r="N2007" s="22">
        <f t="shared" si="475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472"/>
        <v>0</v>
      </c>
      <c r="J2008" s="5"/>
      <c r="K2008" s="5"/>
      <c r="L2008" s="33">
        <f t="shared" si="473"/>
        <v>0</v>
      </c>
      <c r="M2008" s="33">
        <f t="shared" si="474"/>
        <v>0</v>
      </c>
      <c r="N2008" s="22">
        <f t="shared" si="475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472"/>
        <v>0</v>
      </c>
      <c r="J2009" s="5"/>
      <c r="K2009" s="5"/>
      <c r="L2009" s="33">
        <f t="shared" si="473"/>
        <v>0</v>
      </c>
      <c r="M2009" s="33">
        <f t="shared" si="474"/>
        <v>0</v>
      </c>
      <c r="N2009" s="22">
        <f t="shared" si="475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472"/>
        <v>0</v>
      </c>
      <c r="J2010" s="5"/>
      <c r="K2010" s="5"/>
      <c r="L2010" s="33">
        <f t="shared" si="473"/>
        <v>0</v>
      </c>
      <c r="M2010" s="33">
        <f t="shared" si="474"/>
        <v>0</v>
      </c>
      <c r="N2010" s="22">
        <f t="shared" si="475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472"/>
        <v>0</v>
      </c>
      <c r="J2011" s="5"/>
      <c r="K2011" s="5"/>
      <c r="L2011" s="33">
        <f t="shared" si="473"/>
        <v>0</v>
      </c>
      <c r="M2011" s="33">
        <f t="shared" si="474"/>
        <v>0</v>
      </c>
      <c r="N2011" s="22">
        <f t="shared" si="475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472"/>
        <v>108</v>
      </c>
      <c r="J2012" s="5"/>
      <c r="K2012" s="5"/>
      <c r="L2012" s="33">
        <f t="shared" si="473"/>
        <v>13663</v>
      </c>
      <c r="M2012" s="33">
        <f t="shared" si="474"/>
        <v>13663</v>
      </c>
      <c r="N2012" s="22">
        <f t="shared" si="475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472"/>
        <v>24</v>
      </c>
      <c r="J2013" s="5"/>
      <c r="K2013" s="5"/>
      <c r="L2013" s="33">
        <f t="shared" si="473"/>
        <v>3534</v>
      </c>
      <c r="M2013" s="33">
        <f t="shared" si="474"/>
        <v>3534</v>
      </c>
      <c r="N2013" s="22">
        <f t="shared" si="475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472"/>
        <v>0</v>
      </c>
      <c r="J2014" s="5"/>
      <c r="K2014" s="5"/>
      <c r="L2014" s="33">
        <f t="shared" si="473"/>
        <v>0</v>
      </c>
      <c r="M2014" s="33">
        <f t="shared" si="474"/>
        <v>0</v>
      </c>
      <c r="N2014" s="22">
        <f t="shared" si="475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472"/>
        <v>0</v>
      </c>
      <c r="J2015" s="5"/>
      <c r="K2015" s="5"/>
      <c r="L2015" s="33">
        <f t="shared" si="473"/>
        <v>0</v>
      </c>
      <c r="M2015" s="33">
        <f t="shared" si="474"/>
        <v>0</v>
      </c>
      <c r="N2015" s="22">
        <f t="shared" si="475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472"/>
        <v>0</v>
      </c>
      <c r="J2016" s="5"/>
      <c r="K2016" s="5"/>
      <c r="L2016" s="33">
        <f t="shared" si="473"/>
        <v>0</v>
      </c>
      <c r="M2016" s="33">
        <f t="shared" si="474"/>
        <v>0</v>
      </c>
      <c r="N2016" s="22">
        <f t="shared" si="475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472"/>
        <v>0</v>
      </c>
      <c r="J2017" s="5"/>
      <c r="K2017" s="5"/>
      <c r="L2017" s="33">
        <f t="shared" si="473"/>
        <v>0</v>
      </c>
      <c r="M2017" s="33">
        <f t="shared" si="474"/>
        <v>0</v>
      </c>
      <c r="N2017" s="22">
        <f t="shared" si="475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472"/>
        <v>16</v>
      </c>
      <c r="J2018" s="5"/>
      <c r="K2018" s="5"/>
      <c r="L2018" s="33">
        <f t="shared" si="473"/>
        <v>2024</v>
      </c>
      <c r="M2018" s="33">
        <f t="shared" si="474"/>
        <v>2024</v>
      </c>
      <c r="N2018" s="22">
        <f t="shared" si="475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472"/>
        <v>8</v>
      </c>
      <c r="J2019" s="5"/>
      <c r="K2019" s="5"/>
      <c r="L2019" s="33">
        <f t="shared" si="473"/>
        <v>1178</v>
      </c>
      <c r="M2019" s="33">
        <f t="shared" si="474"/>
        <v>1178</v>
      </c>
      <c r="N2019" s="22">
        <f t="shared" si="475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472"/>
        <v>0</v>
      </c>
      <c r="J2020" s="5"/>
      <c r="K2020" s="5"/>
      <c r="L2020" s="33">
        <f t="shared" si="473"/>
        <v>0</v>
      </c>
      <c r="M2020" s="33">
        <f t="shared" si="474"/>
        <v>0</v>
      </c>
      <c r="N2020" s="22">
        <f t="shared" si="475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472"/>
        <v>0</v>
      </c>
      <c r="J2021" s="5"/>
      <c r="K2021" s="5"/>
      <c r="L2021" s="33">
        <f t="shared" si="473"/>
        <v>0</v>
      </c>
      <c r="M2021" s="33">
        <f t="shared" si="474"/>
        <v>0</v>
      </c>
      <c r="N2021" s="22">
        <f t="shared" si="475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472"/>
        <v>0</v>
      </c>
      <c r="J2022" s="5"/>
      <c r="K2022" s="5"/>
      <c r="L2022" s="33">
        <f t="shared" si="473"/>
        <v>0</v>
      </c>
      <c r="M2022" s="33">
        <f t="shared" si="474"/>
        <v>0</v>
      </c>
      <c r="N2022" s="22">
        <f t="shared" si="475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472"/>
        <v>0</v>
      </c>
      <c r="J2023" s="5"/>
      <c r="K2023" s="5"/>
      <c r="L2023" s="33">
        <f t="shared" si="473"/>
        <v>0</v>
      </c>
      <c r="M2023" s="33">
        <f t="shared" si="474"/>
        <v>0</v>
      </c>
      <c r="N2023" s="22">
        <f t="shared" si="475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472"/>
        <v>0</v>
      </c>
      <c r="J2024" s="5"/>
      <c r="K2024" s="5"/>
      <c r="L2024" s="33">
        <f t="shared" si="473"/>
        <v>0</v>
      </c>
      <c r="M2024" s="33">
        <f t="shared" si="474"/>
        <v>0</v>
      </c>
      <c r="N2024" s="22">
        <f t="shared" si="475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472"/>
        <v>0</v>
      </c>
      <c r="J2025" s="5"/>
      <c r="K2025" s="5"/>
      <c r="L2025" s="33">
        <f t="shared" si="473"/>
        <v>0</v>
      </c>
      <c r="M2025" s="33">
        <f t="shared" si="474"/>
        <v>0</v>
      </c>
      <c r="N2025" s="22">
        <f t="shared" si="475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472"/>
        <v>0</v>
      </c>
      <c r="J2026" s="5"/>
      <c r="K2026" s="5"/>
      <c r="L2026" s="33">
        <f t="shared" si="473"/>
        <v>0</v>
      </c>
      <c r="M2026" s="33">
        <f t="shared" si="474"/>
        <v>0</v>
      </c>
      <c r="N2026" s="22">
        <f t="shared" si="475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472"/>
        <v>0</v>
      </c>
      <c r="J2027" s="5"/>
      <c r="K2027" s="5"/>
      <c r="L2027" s="33">
        <f t="shared" si="473"/>
        <v>0</v>
      </c>
      <c r="M2027" s="33">
        <f t="shared" si="474"/>
        <v>0</v>
      </c>
      <c r="N2027" s="22">
        <f t="shared" si="475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472"/>
        <v>0</v>
      </c>
      <c r="J2028" s="5"/>
      <c r="K2028" s="5"/>
      <c r="L2028" s="33">
        <f t="shared" si="473"/>
        <v>0</v>
      </c>
      <c r="M2028" s="33">
        <f t="shared" si="474"/>
        <v>0</v>
      </c>
      <c r="N2028" s="22">
        <f t="shared" si="475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472"/>
        <v>0</v>
      </c>
      <c r="J2029" s="5"/>
      <c r="K2029" s="5"/>
      <c r="L2029" s="33">
        <f t="shared" si="473"/>
        <v>0</v>
      </c>
      <c r="M2029" s="33">
        <f t="shared" si="474"/>
        <v>0</v>
      </c>
      <c r="N2029" s="22">
        <f t="shared" si="475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476">D2030*(1-H2030)</f>
        <v>0</v>
      </c>
      <c r="J2030" s="5"/>
      <c r="K2030" s="5"/>
      <c r="L2030" s="33">
        <f t="shared" ref="L2030:L2042" si="477">E2030*(1-H2030)</f>
        <v>0</v>
      </c>
      <c r="M2030" s="33">
        <f t="shared" ref="M2030:M2042" si="478">IF(J2030="",L2030,(E2030/D2030)*J2030)</f>
        <v>0</v>
      </c>
      <c r="N2030" s="22">
        <f t="shared" ref="N2030:N2042" si="479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476"/>
        <v>0</v>
      </c>
      <c r="J2031" s="5"/>
      <c r="K2031" s="5"/>
      <c r="L2031" s="33">
        <f t="shared" si="477"/>
        <v>0</v>
      </c>
      <c r="M2031" s="33">
        <f t="shared" si="478"/>
        <v>0</v>
      </c>
      <c r="N2031" s="22">
        <f t="shared" si="479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476"/>
        <v>0</v>
      </c>
      <c r="J2032" s="5"/>
      <c r="K2032" s="5"/>
      <c r="L2032" s="33">
        <f t="shared" si="477"/>
        <v>0</v>
      </c>
      <c r="M2032" s="33">
        <f t="shared" si="478"/>
        <v>0</v>
      </c>
      <c r="N2032" s="22">
        <f t="shared" si="479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476"/>
        <v>0</v>
      </c>
      <c r="J2033" s="5"/>
      <c r="K2033" s="5"/>
      <c r="L2033" s="33">
        <f t="shared" si="477"/>
        <v>0</v>
      </c>
      <c r="M2033" s="33">
        <f t="shared" si="478"/>
        <v>0</v>
      </c>
      <c r="N2033" s="22">
        <f t="shared" si="479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476"/>
        <v>0</v>
      </c>
      <c r="J2034" s="5"/>
      <c r="K2034" s="5"/>
      <c r="L2034" s="33">
        <f t="shared" si="477"/>
        <v>0</v>
      </c>
      <c r="M2034" s="33">
        <f t="shared" si="478"/>
        <v>0</v>
      </c>
      <c r="N2034" s="22">
        <f t="shared" si="479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476"/>
        <v>0</v>
      </c>
      <c r="J2035" s="5"/>
      <c r="K2035" s="5"/>
      <c r="L2035" s="33">
        <f t="shared" si="477"/>
        <v>0</v>
      </c>
      <c r="M2035" s="33">
        <f t="shared" si="478"/>
        <v>0</v>
      </c>
      <c r="N2035" s="22">
        <f t="shared" si="479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476"/>
        <v>0</v>
      </c>
      <c r="J2036" s="5"/>
      <c r="K2036" s="5"/>
      <c r="L2036" s="33">
        <f t="shared" si="477"/>
        <v>0</v>
      </c>
      <c r="M2036" s="33">
        <f t="shared" si="478"/>
        <v>0</v>
      </c>
      <c r="N2036" s="22">
        <f t="shared" si="479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476"/>
        <v>0</v>
      </c>
      <c r="J2037" s="5"/>
      <c r="K2037" s="5"/>
      <c r="L2037" s="33">
        <f t="shared" si="477"/>
        <v>0</v>
      </c>
      <c r="M2037" s="33">
        <f t="shared" si="478"/>
        <v>0</v>
      </c>
      <c r="N2037" s="22">
        <f t="shared" si="479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476"/>
        <v>0</v>
      </c>
      <c r="J2038" s="5"/>
      <c r="K2038" s="5"/>
      <c r="L2038" s="33">
        <f t="shared" si="477"/>
        <v>0</v>
      </c>
      <c r="M2038" s="33">
        <f t="shared" si="478"/>
        <v>0</v>
      </c>
      <c r="N2038" s="22">
        <f t="shared" si="479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476"/>
        <v>140000</v>
      </c>
      <c r="J2039" s="5"/>
      <c r="K2039" s="5"/>
      <c r="L2039" s="33">
        <f t="shared" si="477"/>
        <v>162496</v>
      </c>
      <c r="M2039" s="33">
        <f t="shared" si="478"/>
        <v>162496</v>
      </c>
      <c r="N2039" s="22">
        <f t="shared" si="479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476"/>
        <v>0</v>
      </c>
      <c r="J2040" s="5"/>
      <c r="K2040" s="5"/>
      <c r="L2040" s="33">
        <f t="shared" si="477"/>
        <v>0</v>
      </c>
      <c r="M2040" s="33">
        <f t="shared" si="478"/>
        <v>0</v>
      </c>
      <c r="N2040" s="22">
        <f t="shared" si="479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476"/>
        <v>0</v>
      </c>
      <c r="J2041" s="5"/>
      <c r="K2041" s="5"/>
      <c r="L2041" s="33">
        <f t="shared" si="477"/>
        <v>0</v>
      </c>
      <c r="M2041" s="33">
        <f t="shared" si="478"/>
        <v>0</v>
      </c>
      <c r="N2041" s="22">
        <f t="shared" si="479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476"/>
        <v>550000</v>
      </c>
      <c r="J2042" s="5"/>
      <c r="K2042" s="5"/>
      <c r="L2042" s="33">
        <f t="shared" si="477"/>
        <v>613587</v>
      </c>
      <c r="M2042" s="33">
        <f t="shared" si="478"/>
        <v>613587</v>
      </c>
      <c r="N2042" s="22">
        <f t="shared" si="479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480">D2044*(1-H2044)</f>
        <v>0</v>
      </c>
      <c r="J2044" s="5"/>
      <c r="K2044" s="5"/>
      <c r="L2044" s="33">
        <f t="shared" ref="L2044:L2051" si="481">E2044*(1-H2044)</f>
        <v>0</v>
      </c>
      <c r="M2044" s="33">
        <f t="shared" ref="M2044:M2051" si="482">IF(J2044="",L2044,(E2044/D2044)*J2044)</f>
        <v>0</v>
      </c>
      <c r="N2044" s="22">
        <f t="shared" ref="N2044:N2051" si="483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480"/>
        <v>0</v>
      </c>
      <c r="J2045" s="5"/>
      <c r="K2045" s="5"/>
      <c r="L2045" s="33">
        <f t="shared" si="481"/>
        <v>0</v>
      </c>
      <c r="M2045" s="33">
        <f t="shared" si="482"/>
        <v>0</v>
      </c>
      <c r="N2045" s="22">
        <f t="shared" si="483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480"/>
        <v>0</v>
      </c>
      <c r="J2046" s="5"/>
      <c r="K2046" s="5"/>
      <c r="L2046" s="33">
        <f t="shared" si="481"/>
        <v>0</v>
      </c>
      <c r="M2046" s="33">
        <f t="shared" si="482"/>
        <v>0</v>
      </c>
      <c r="N2046" s="22">
        <f t="shared" si="483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480"/>
        <v>0</v>
      </c>
      <c r="J2047" s="5"/>
      <c r="K2047" s="5"/>
      <c r="L2047" s="33">
        <f t="shared" si="481"/>
        <v>0</v>
      </c>
      <c r="M2047" s="33">
        <f t="shared" si="482"/>
        <v>0</v>
      </c>
      <c r="N2047" s="22">
        <f t="shared" si="483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480"/>
        <v>0</v>
      </c>
      <c r="J2048" s="5"/>
      <c r="K2048" s="5"/>
      <c r="L2048" s="33">
        <f t="shared" si="481"/>
        <v>0</v>
      </c>
      <c r="M2048" s="33">
        <f t="shared" si="482"/>
        <v>0</v>
      </c>
      <c r="N2048" s="22">
        <f t="shared" si="483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480"/>
        <v>0</v>
      </c>
      <c r="J2049" s="5"/>
      <c r="K2049" s="5"/>
      <c r="L2049" s="33">
        <f t="shared" si="481"/>
        <v>0</v>
      </c>
      <c r="M2049" s="33">
        <f t="shared" si="482"/>
        <v>0</v>
      </c>
      <c r="N2049" s="22">
        <f t="shared" si="483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480"/>
        <v>0</v>
      </c>
      <c r="J2050" s="5"/>
      <c r="K2050" s="5"/>
      <c r="L2050" s="33">
        <f t="shared" si="481"/>
        <v>0</v>
      </c>
      <c r="M2050" s="33">
        <f t="shared" si="482"/>
        <v>0</v>
      </c>
      <c r="N2050" s="22">
        <f t="shared" si="483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480"/>
        <v>0</v>
      </c>
      <c r="J2051" s="5"/>
      <c r="K2051" s="5"/>
      <c r="L2051" s="33">
        <f t="shared" si="481"/>
        <v>0</v>
      </c>
      <c r="M2051" s="33">
        <f t="shared" si="482"/>
        <v>0</v>
      </c>
      <c r="N2051" s="22">
        <f t="shared" si="483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484">D2053*(1-H2053)</f>
        <v>0</v>
      </c>
      <c r="J2053" s="5"/>
      <c r="K2053" s="5"/>
      <c r="L2053" s="33">
        <f t="shared" ref="L2053:L2072" si="485">E2053*(1-H2053)</f>
        <v>0</v>
      </c>
      <c r="M2053" s="33">
        <f t="shared" ref="M2053:M2072" si="486">IF(J2053="",L2053,(E2053/D2053)*J2053)</f>
        <v>0</v>
      </c>
      <c r="N2053" s="22">
        <f t="shared" ref="N2053:N2072" si="487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484"/>
        <v>0</v>
      </c>
      <c r="J2054" s="5"/>
      <c r="K2054" s="5"/>
      <c r="L2054" s="33">
        <f t="shared" si="485"/>
        <v>0</v>
      </c>
      <c r="M2054" s="33">
        <f t="shared" si="486"/>
        <v>0</v>
      </c>
      <c r="N2054" s="22">
        <f t="shared" si="487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484"/>
        <v>0</v>
      </c>
      <c r="J2055" s="5"/>
      <c r="K2055" s="5"/>
      <c r="L2055" s="33">
        <f t="shared" si="485"/>
        <v>0</v>
      </c>
      <c r="M2055" s="33">
        <f t="shared" si="486"/>
        <v>0</v>
      </c>
      <c r="N2055" s="22">
        <f t="shared" si="487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484"/>
        <v>0</v>
      </c>
      <c r="J2056" s="5"/>
      <c r="K2056" s="5"/>
      <c r="L2056" s="33">
        <f t="shared" si="485"/>
        <v>0</v>
      </c>
      <c r="M2056" s="33">
        <f t="shared" si="486"/>
        <v>0</v>
      </c>
      <c r="N2056" s="22">
        <f t="shared" si="487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484"/>
        <v>0</v>
      </c>
      <c r="J2057" s="5"/>
      <c r="K2057" s="5"/>
      <c r="L2057" s="33">
        <f t="shared" si="485"/>
        <v>0</v>
      </c>
      <c r="M2057" s="33">
        <f t="shared" si="486"/>
        <v>0</v>
      </c>
      <c r="N2057" s="22">
        <f t="shared" si="487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484"/>
        <v>0</v>
      </c>
      <c r="J2058" s="5"/>
      <c r="K2058" s="5"/>
      <c r="L2058" s="33">
        <f t="shared" si="485"/>
        <v>0</v>
      </c>
      <c r="M2058" s="33">
        <f t="shared" si="486"/>
        <v>0</v>
      </c>
      <c r="N2058" s="22">
        <f t="shared" si="487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484"/>
        <v>0</v>
      </c>
      <c r="J2059" s="5"/>
      <c r="K2059" s="5"/>
      <c r="L2059" s="33">
        <f t="shared" si="485"/>
        <v>0</v>
      </c>
      <c r="M2059" s="33">
        <f t="shared" si="486"/>
        <v>0</v>
      </c>
      <c r="N2059" s="22">
        <f t="shared" si="487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484"/>
        <v>0</v>
      </c>
      <c r="J2060" s="5"/>
      <c r="K2060" s="5"/>
      <c r="L2060" s="33">
        <f t="shared" si="485"/>
        <v>0</v>
      </c>
      <c r="M2060" s="33">
        <f t="shared" si="486"/>
        <v>0</v>
      </c>
      <c r="N2060" s="22">
        <f t="shared" si="487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484"/>
        <v>0</v>
      </c>
      <c r="J2061" s="5"/>
      <c r="K2061" s="5"/>
      <c r="L2061" s="33">
        <f t="shared" si="485"/>
        <v>0</v>
      </c>
      <c r="M2061" s="33">
        <f t="shared" si="486"/>
        <v>0</v>
      </c>
      <c r="N2061" s="22">
        <f t="shared" si="487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484"/>
        <v>0</v>
      </c>
      <c r="J2062" s="5"/>
      <c r="K2062" s="5"/>
      <c r="L2062" s="33">
        <f t="shared" si="485"/>
        <v>0</v>
      </c>
      <c r="M2062" s="33">
        <f t="shared" si="486"/>
        <v>0</v>
      </c>
      <c r="N2062" s="22">
        <f t="shared" si="487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484"/>
        <v>0</v>
      </c>
      <c r="J2063" s="5"/>
      <c r="K2063" s="5"/>
      <c r="L2063" s="33">
        <f t="shared" si="485"/>
        <v>0</v>
      </c>
      <c r="M2063" s="33">
        <f t="shared" si="486"/>
        <v>0</v>
      </c>
      <c r="N2063" s="22">
        <f t="shared" si="487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484"/>
        <v>0</v>
      </c>
      <c r="J2064" s="5"/>
      <c r="K2064" s="5"/>
      <c r="L2064" s="33">
        <f t="shared" si="485"/>
        <v>0</v>
      </c>
      <c r="M2064" s="33">
        <f t="shared" si="486"/>
        <v>0</v>
      </c>
      <c r="N2064" s="22">
        <f t="shared" si="487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484"/>
        <v>0</v>
      </c>
      <c r="J2065" s="5"/>
      <c r="K2065" s="5"/>
      <c r="L2065" s="33">
        <f t="shared" si="485"/>
        <v>0</v>
      </c>
      <c r="M2065" s="33">
        <f t="shared" si="486"/>
        <v>0</v>
      </c>
      <c r="N2065" s="22">
        <f t="shared" si="487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484"/>
        <v>0</v>
      </c>
      <c r="J2066" s="5"/>
      <c r="K2066" s="5"/>
      <c r="L2066" s="33">
        <f t="shared" si="485"/>
        <v>0</v>
      </c>
      <c r="M2066" s="33">
        <f t="shared" si="486"/>
        <v>0</v>
      </c>
      <c r="N2066" s="22">
        <f t="shared" si="487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484"/>
        <v>0</v>
      </c>
      <c r="J2067" s="5"/>
      <c r="K2067" s="5"/>
      <c r="L2067" s="33">
        <f t="shared" si="485"/>
        <v>0</v>
      </c>
      <c r="M2067" s="33">
        <f t="shared" si="486"/>
        <v>0</v>
      </c>
      <c r="N2067" s="22">
        <f t="shared" si="487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484"/>
        <v>0</v>
      </c>
      <c r="J2068" s="5"/>
      <c r="K2068" s="5"/>
      <c r="L2068" s="33">
        <f t="shared" si="485"/>
        <v>0</v>
      </c>
      <c r="M2068" s="33">
        <f t="shared" si="486"/>
        <v>0</v>
      </c>
      <c r="N2068" s="22">
        <f t="shared" si="487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484"/>
        <v>0</v>
      </c>
      <c r="J2069" s="5"/>
      <c r="K2069" s="5"/>
      <c r="L2069" s="33">
        <f t="shared" si="485"/>
        <v>0</v>
      </c>
      <c r="M2069" s="33">
        <f t="shared" si="486"/>
        <v>0</v>
      </c>
      <c r="N2069" s="22">
        <f t="shared" si="487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484"/>
        <v>0</v>
      </c>
      <c r="J2070" s="5"/>
      <c r="K2070" s="5"/>
      <c r="L2070" s="33">
        <f t="shared" si="485"/>
        <v>0</v>
      </c>
      <c r="M2070" s="33">
        <f t="shared" si="486"/>
        <v>0</v>
      </c>
      <c r="N2070" s="22">
        <f t="shared" si="487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484"/>
        <v>0</v>
      </c>
      <c r="J2071" s="5"/>
      <c r="K2071" s="5"/>
      <c r="L2071" s="33">
        <f t="shared" si="485"/>
        <v>0</v>
      </c>
      <c r="M2071" s="33">
        <f t="shared" si="486"/>
        <v>0</v>
      </c>
      <c r="N2071" s="22">
        <f t="shared" si="487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484"/>
        <v>0</v>
      </c>
      <c r="J2072" s="5"/>
      <c r="K2072" s="5"/>
      <c r="L2072" s="33">
        <f t="shared" si="485"/>
        <v>0</v>
      </c>
      <c r="M2072" s="33">
        <f t="shared" si="486"/>
        <v>0</v>
      </c>
      <c r="N2072" s="22">
        <f t="shared" si="487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488">D2074*(1-H2074)</f>
        <v>32</v>
      </c>
      <c r="J2074" s="5"/>
      <c r="K2074" s="5"/>
      <c r="L2074" s="33">
        <f t="shared" ref="L2074:L2137" si="489">E2074*(1-H2074)</f>
        <v>4961</v>
      </c>
      <c r="M2074" s="33">
        <f t="shared" ref="M2074:M2137" si="490">IF(J2074="",L2074,(E2074/D2074)*J2074)</f>
        <v>4961</v>
      </c>
      <c r="N2074" s="22">
        <f t="shared" ref="N2074:N2137" si="491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488"/>
        <v>0</v>
      </c>
      <c r="J2075" s="5"/>
      <c r="K2075" s="5"/>
      <c r="L2075" s="33">
        <f t="shared" si="489"/>
        <v>0</v>
      </c>
      <c r="M2075" s="33">
        <f t="shared" si="490"/>
        <v>0</v>
      </c>
      <c r="N2075" s="22">
        <f t="shared" si="491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488"/>
        <v>0</v>
      </c>
      <c r="J2076" s="5"/>
      <c r="K2076" s="5"/>
      <c r="L2076" s="33">
        <f t="shared" si="489"/>
        <v>0</v>
      </c>
      <c r="M2076" s="33">
        <f t="shared" si="490"/>
        <v>0</v>
      </c>
      <c r="N2076" s="22">
        <f t="shared" si="491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488"/>
        <v>0</v>
      </c>
      <c r="J2077" s="5"/>
      <c r="K2077" s="5"/>
      <c r="L2077" s="33">
        <f t="shared" si="489"/>
        <v>0</v>
      </c>
      <c r="M2077" s="33">
        <f t="shared" si="490"/>
        <v>0</v>
      </c>
      <c r="N2077" s="22">
        <f t="shared" si="491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488"/>
        <v>20</v>
      </c>
      <c r="J2078" s="5"/>
      <c r="K2078" s="5"/>
      <c r="L2078" s="33">
        <f t="shared" si="489"/>
        <v>3125</v>
      </c>
      <c r="M2078" s="33">
        <f t="shared" si="490"/>
        <v>3125</v>
      </c>
      <c r="N2078" s="22">
        <f t="shared" si="491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488"/>
        <v>40</v>
      </c>
      <c r="J2079" s="5"/>
      <c r="K2079" s="5"/>
      <c r="L2079" s="33">
        <f t="shared" si="489"/>
        <v>4843</v>
      </c>
      <c r="M2079" s="33">
        <f t="shared" si="490"/>
        <v>4843</v>
      </c>
      <c r="N2079" s="22">
        <f t="shared" si="491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488"/>
        <v>16</v>
      </c>
      <c r="J2080" s="5"/>
      <c r="K2080" s="5"/>
      <c r="L2080" s="33">
        <f t="shared" si="489"/>
        <v>1937</v>
      </c>
      <c r="M2080" s="33">
        <f t="shared" si="490"/>
        <v>1937</v>
      </c>
      <c r="N2080" s="22">
        <f t="shared" si="491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488"/>
        <v>40</v>
      </c>
      <c r="J2081" s="5"/>
      <c r="K2081" s="5"/>
      <c r="L2081" s="33">
        <f t="shared" si="489"/>
        <v>4702</v>
      </c>
      <c r="M2081" s="33">
        <f t="shared" si="490"/>
        <v>4702</v>
      </c>
      <c r="N2081" s="22">
        <f t="shared" si="491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488"/>
        <v>64</v>
      </c>
      <c r="J2082" s="5"/>
      <c r="K2082" s="5"/>
      <c r="L2082" s="33">
        <f t="shared" si="489"/>
        <v>8245</v>
      </c>
      <c r="M2082" s="33">
        <f t="shared" si="490"/>
        <v>8245</v>
      </c>
      <c r="N2082" s="22">
        <f t="shared" si="491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488"/>
        <v>40</v>
      </c>
      <c r="J2083" s="5"/>
      <c r="K2083" s="5"/>
      <c r="L2083" s="33">
        <f t="shared" si="489"/>
        <v>4129</v>
      </c>
      <c r="M2083" s="33">
        <f t="shared" si="490"/>
        <v>4129</v>
      </c>
      <c r="N2083" s="22">
        <f t="shared" si="491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488"/>
        <v>40</v>
      </c>
      <c r="J2084" s="5"/>
      <c r="K2084" s="5"/>
      <c r="L2084" s="33">
        <f t="shared" si="489"/>
        <v>6067</v>
      </c>
      <c r="M2084" s="33">
        <f t="shared" si="490"/>
        <v>6067</v>
      </c>
      <c r="N2084" s="22">
        <f t="shared" si="491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488"/>
        <v>80</v>
      </c>
      <c r="J2085" s="5"/>
      <c r="K2085" s="5"/>
      <c r="L2085" s="33">
        <f t="shared" si="489"/>
        <v>9686</v>
      </c>
      <c r="M2085" s="33">
        <f t="shared" si="490"/>
        <v>9686</v>
      </c>
      <c r="N2085" s="22">
        <f t="shared" si="491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488"/>
        <v>80</v>
      </c>
      <c r="J2086" s="5"/>
      <c r="K2086" s="5"/>
      <c r="L2086" s="33">
        <f t="shared" si="489"/>
        <v>10615</v>
      </c>
      <c r="M2086" s="33">
        <f t="shared" si="490"/>
        <v>10615</v>
      </c>
      <c r="N2086" s="22">
        <f t="shared" si="491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488"/>
        <v>20</v>
      </c>
      <c r="J2087" s="5"/>
      <c r="K2087" s="5"/>
      <c r="L2087" s="33">
        <f t="shared" si="489"/>
        <v>2126</v>
      </c>
      <c r="M2087" s="33">
        <f t="shared" si="490"/>
        <v>2126</v>
      </c>
      <c r="N2087" s="22">
        <f t="shared" si="491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488"/>
        <v>8</v>
      </c>
      <c r="J2088" s="5"/>
      <c r="K2088" s="5"/>
      <c r="L2088" s="33">
        <f t="shared" si="489"/>
        <v>1250</v>
      </c>
      <c r="M2088" s="33">
        <f t="shared" si="490"/>
        <v>1250</v>
      </c>
      <c r="N2088" s="22">
        <f t="shared" si="491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488"/>
        <v>80</v>
      </c>
      <c r="J2089" s="5"/>
      <c r="K2089" s="5"/>
      <c r="L2089" s="33">
        <f t="shared" si="489"/>
        <v>9686</v>
      </c>
      <c r="M2089" s="33">
        <f t="shared" si="490"/>
        <v>9686</v>
      </c>
      <c r="N2089" s="22">
        <f t="shared" si="491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488"/>
        <v>40</v>
      </c>
      <c r="J2090" s="5"/>
      <c r="K2090" s="5"/>
      <c r="L2090" s="33">
        <f t="shared" si="489"/>
        <v>4843</v>
      </c>
      <c r="M2090" s="33">
        <f t="shared" si="490"/>
        <v>4843</v>
      </c>
      <c r="N2090" s="22">
        <f t="shared" si="491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488"/>
        <v>20</v>
      </c>
      <c r="J2091" s="5"/>
      <c r="K2091" s="5"/>
      <c r="L2091" s="33">
        <f t="shared" si="489"/>
        <v>3125</v>
      </c>
      <c r="M2091" s="33">
        <f t="shared" si="490"/>
        <v>3125</v>
      </c>
      <c r="N2091" s="22">
        <f t="shared" si="491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488"/>
        <v>20</v>
      </c>
      <c r="J2092" s="5"/>
      <c r="K2092" s="5"/>
      <c r="L2092" s="33">
        <f t="shared" si="489"/>
        <v>3125</v>
      </c>
      <c r="M2092" s="33">
        <f t="shared" si="490"/>
        <v>3125</v>
      </c>
      <c r="N2092" s="22">
        <f t="shared" si="491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488"/>
        <v>40</v>
      </c>
      <c r="J2093" s="5"/>
      <c r="K2093" s="5"/>
      <c r="L2093" s="33">
        <f t="shared" si="489"/>
        <v>4253</v>
      </c>
      <c r="M2093" s="33">
        <f t="shared" si="490"/>
        <v>4253</v>
      </c>
      <c r="N2093" s="22">
        <f t="shared" si="491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488"/>
        <v>120</v>
      </c>
      <c r="J2094" s="5"/>
      <c r="K2094" s="5"/>
      <c r="L2094" s="33">
        <f t="shared" si="489"/>
        <v>18748</v>
      </c>
      <c r="M2094" s="33">
        <f t="shared" si="490"/>
        <v>18748</v>
      </c>
      <c r="N2094" s="22">
        <f t="shared" si="491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488"/>
        <v>280</v>
      </c>
      <c r="J2095" s="5"/>
      <c r="K2095" s="5"/>
      <c r="L2095" s="33">
        <f t="shared" si="489"/>
        <v>33900</v>
      </c>
      <c r="M2095" s="33">
        <f t="shared" si="490"/>
        <v>33900</v>
      </c>
      <c r="N2095" s="22">
        <f t="shared" si="491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488"/>
        <v>280</v>
      </c>
      <c r="J2096" s="5"/>
      <c r="K2096" s="5"/>
      <c r="L2096" s="33">
        <f t="shared" si="489"/>
        <v>33900</v>
      </c>
      <c r="M2096" s="33">
        <f t="shared" si="490"/>
        <v>33900</v>
      </c>
      <c r="N2096" s="22">
        <f t="shared" si="491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488"/>
        <v>48</v>
      </c>
      <c r="J2097" s="5"/>
      <c r="K2097" s="5"/>
      <c r="L2097" s="33">
        <f t="shared" si="489"/>
        <v>5811</v>
      </c>
      <c r="M2097" s="33">
        <f t="shared" si="490"/>
        <v>5811</v>
      </c>
      <c r="N2097" s="22">
        <f t="shared" si="491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488"/>
        <v>120</v>
      </c>
      <c r="J2098" s="5"/>
      <c r="K2098" s="5"/>
      <c r="L2098" s="33">
        <f t="shared" si="489"/>
        <v>18748</v>
      </c>
      <c r="M2098" s="33">
        <f t="shared" si="490"/>
        <v>18748</v>
      </c>
      <c r="N2098" s="22">
        <f t="shared" si="491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488"/>
        <v>120</v>
      </c>
      <c r="J2099" s="5"/>
      <c r="K2099" s="5"/>
      <c r="L2099" s="33">
        <f t="shared" si="489"/>
        <v>18748</v>
      </c>
      <c r="M2099" s="33">
        <f t="shared" si="490"/>
        <v>18748</v>
      </c>
      <c r="N2099" s="22">
        <f t="shared" si="491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488"/>
        <v>720</v>
      </c>
      <c r="J2100" s="5"/>
      <c r="K2100" s="5"/>
      <c r="L2100" s="33">
        <f t="shared" si="489"/>
        <v>87172</v>
      </c>
      <c r="M2100" s="33">
        <f t="shared" si="490"/>
        <v>87172</v>
      </c>
      <c r="N2100" s="22">
        <f t="shared" si="491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488"/>
        <v>96</v>
      </c>
      <c r="J2101" s="5"/>
      <c r="K2101" s="5"/>
      <c r="L2101" s="33">
        <f t="shared" si="489"/>
        <v>11623</v>
      </c>
      <c r="M2101" s="33">
        <f t="shared" si="490"/>
        <v>11623</v>
      </c>
      <c r="N2101" s="22">
        <f t="shared" si="491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488"/>
        <v>80</v>
      </c>
      <c r="J2102" s="5"/>
      <c r="K2102" s="5"/>
      <c r="L2102" s="33">
        <f t="shared" si="489"/>
        <v>12499</v>
      </c>
      <c r="M2102" s="33">
        <f t="shared" si="490"/>
        <v>12499</v>
      </c>
      <c r="N2102" s="22">
        <f t="shared" si="491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488"/>
        <v>160</v>
      </c>
      <c r="J2103" s="5"/>
      <c r="K2103" s="5"/>
      <c r="L2103" s="33">
        <f t="shared" si="489"/>
        <v>19372</v>
      </c>
      <c r="M2103" s="33">
        <f t="shared" si="490"/>
        <v>19372</v>
      </c>
      <c r="N2103" s="22">
        <f t="shared" si="491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488"/>
        <v>160</v>
      </c>
      <c r="J2104" s="5"/>
      <c r="K2104" s="5"/>
      <c r="L2104" s="33">
        <f t="shared" si="489"/>
        <v>19372</v>
      </c>
      <c r="M2104" s="33">
        <f t="shared" si="490"/>
        <v>19372</v>
      </c>
      <c r="N2104" s="22">
        <f t="shared" si="491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488"/>
        <v>40</v>
      </c>
      <c r="J2105" s="5"/>
      <c r="K2105" s="5"/>
      <c r="L2105" s="33">
        <f t="shared" si="489"/>
        <v>4843</v>
      </c>
      <c r="M2105" s="33">
        <f t="shared" si="490"/>
        <v>4843</v>
      </c>
      <c r="N2105" s="22">
        <f t="shared" si="491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488"/>
        <v>80</v>
      </c>
      <c r="J2106" s="5"/>
      <c r="K2106" s="5"/>
      <c r="L2106" s="33">
        <f t="shared" si="489"/>
        <v>12499</v>
      </c>
      <c r="M2106" s="33">
        <f t="shared" si="490"/>
        <v>12499</v>
      </c>
      <c r="N2106" s="22">
        <f t="shared" si="491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488"/>
        <v>500</v>
      </c>
      <c r="J2107" s="5"/>
      <c r="K2107" s="5"/>
      <c r="L2107" s="33">
        <f t="shared" si="489"/>
        <v>589</v>
      </c>
      <c r="M2107" s="33">
        <f t="shared" si="490"/>
        <v>589</v>
      </c>
      <c r="N2107" s="22">
        <f t="shared" si="491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488"/>
        <v>0</v>
      </c>
      <c r="J2108" s="5"/>
      <c r="K2108" s="5"/>
      <c r="L2108" s="33">
        <f t="shared" si="489"/>
        <v>0</v>
      </c>
      <c r="M2108" s="33">
        <f t="shared" si="490"/>
        <v>0</v>
      </c>
      <c r="N2108" s="22">
        <f t="shared" si="491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488"/>
        <v>500</v>
      </c>
      <c r="J2109" s="5"/>
      <c r="K2109" s="5"/>
      <c r="L2109" s="33">
        <f t="shared" si="489"/>
        <v>592</v>
      </c>
      <c r="M2109" s="33">
        <f t="shared" si="490"/>
        <v>592</v>
      </c>
      <c r="N2109" s="22">
        <f t="shared" si="491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488"/>
        <v>500</v>
      </c>
      <c r="J2110" s="5"/>
      <c r="K2110" s="5"/>
      <c r="L2110" s="33">
        <f t="shared" si="489"/>
        <v>580</v>
      </c>
      <c r="M2110" s="33">
        <f t="shared" si="490"/>
        <v>580</v>
      </c>
      <c r="N2110" s="22">
        <f t="shared" si="491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488"/>
        <v>500</v>
      </c>
      <c r="J2111" s="5"/>
      <c r="K2111" s="5"/>
      <c r="L2111" s="33">
        <f t="shared" si="489"/>
        <v>592</v>
      </c>
      <c r="M2111" s="33">
        <f t="shared" si="490"/>
        <v>592</v>
      </c>
      <c r="N2111" s="22">
        <f t="shared" si="491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488"/>
        <v>500</v>
      </c>
      <c r="J2112" s="5"/>
      <c r="K2112" s="5"/>
      <c r="L2112" s="33">
        <f t="shared" si="489"/>
        <v>592</v>
      </c>
      <c r="M2112" s="33">
        <f t="shared" si="490"/>
        <v>592</v>
      </c>
      <c r="N2112" s="22">
        <f t="shared" si="491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488"/>
        <v>500</v>
      </c>
      <c r="J2113" s="5"/>
      <c r="K2113" s="5"/>
      <c r="L2113" s="33">
        <f t="shared" si="489"/>
        <v>592</v>
      </c>
      <c r="M2113" s="33">
        <f t="shared" si="490"/>
        <v>592</v>
      </c>
      <c r="N2113" s="22">
        <f t="shared" si="491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488"/>
        <v>500</v>
      </c>
      <c r="J2114" s="5"/>
      <c r="K2114" s="5"/>
      <c r="L2114" s="33">
        <f t="shared" si="489"/>
        <v>592</v>
      </c>
      <c r="M2114" s="33">
        <f t="shared" si="490"/>
        <v>592</v>
      </c>
      <c r="N2114" s="22">
        <f t="shared" si="491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488"/>
        <v>500</v>
      </c>
      <c r="J2115" s="5"/>
      <c r="K2115" s="5"/>
      <c r="L2115" s="33">
        <f t="shared" si="489"/>
        <v>592</v>
      </c>
      <c r="M2115" s="33">
        <f t="shared" si="490"/>
        <v>592</v>
      </c>
      <c r="N2115" s="22">
        <f t="shared" si="491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488"/>
        <v>500</v>
      </c>
      <c r="J2116" s="5"/>
      <c r="K2116" s="5"/>
      <c r="L2116" s="33">
        <f t="shared" si="489"/>
        <v>592</v>
      </c>
      <c r="M2116" s="33">
        <f t="shared" si="490"/>
        <v>592</v>
      </c>
      <c r="N2116" s="22">
        <f t="shared" si="491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488"/>
        <v>80</v>
      </c>
      <c r="J2117" s="5"/>
      <c r="K2117" s="5"/>
      <c r="L2117" s="33">
        <f t="shared" si="489"/>
        <v>9404</v>
      </c>
      <c r="M2117" s="33">
        <f t="shared" si="490"/>
        <v>9404</v>
      </c>
      <c r="N2117" s="22">
        <f t="shared" si="491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488"/>
        <v>16</v>
      </c>
      <c r="J2118" s="5"/>
      <c r="K2118" s="5"/>
      <c r="L2118" s="33">
        <f t="shared" si="489"/>
        <v>2427</v>
      </c>
      <c r="M2118" s="33">
        <f t="shared" si="490"/>
        <v>2427</v>
      </c>
      <c r="N2118" s="22">
        <f t="shared" si="491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488"/>
        <v>40</v>
      </c>
      <c r="J2119" s="5"/>
      <c r="K2119" s="5"/>
      <c r="L2119" s="33">
        <f t="shared" si="489"/>
        <v>4129</v>
      </c>
      <c r="M2119" s="33">
        <f t="shared" si="490"/>
        <v>4129</v>
      </c>
      <c r="N2119" s="22">
        <f t="shared" si="491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488"/>
        <v>24</v>
      </c>
      <c r="J2120" s="5"/>
      <c r="K2120" s="5"/>
      <c r="L2120" s="33">
        <f t="shared" si="489"/>
        <v>3092</v>
      </c>
      <c r="M2120" s="33">
        <f t="shared" si="490"/>
        <v>3092</v>
      </c>
      <c r="N2120" s="22">
        <f t="shared" si="491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488"/>
        <v>32</v>
      </c>
      <c r="J2121" s="5"/>
      <c r="K2121" s="5"/>
      <c r="L2121" s="33">
        <f t="shared" si="489"/>
        <v>4999</v>
      </c>
      <c r="M2121" s="33">
        <f t="shared" si="490"/>
        <v>4999</v>
      </c>
      <c r="N2121" s="22">
        <f t="shared" si="491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488"/>
        <v>4</v>
      </c>
      <c r="J2122" s="5"/>
      <c r="K2122" s="5"/>
      <c r="L2122" s="33">
        <f t="shared" si="489"/>
        <v>819</v>
      </c>
      <c r="M2122" s="33">
        <f t="shared" si="490"/>
        <v>819</v>
      </c>
      <c r="N2122" s="22">
        <f t="shared" si="491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488"/>
        <v>120</v>
      </c>
      <c r="J2123" s="5"/>
      <c r="K2123" s="5"/>
      <c r="L2123" s="33">
        <f t="shared" si="489"/>
        <v>18748</v>
      </c>
      <c r="M2123" s="33">
        <f t="shared" si="490"/>
        <v>18748</v>
      </c>
      <c r="N2123" s="22">
        <f t="shared" si="491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488"/>
        <v>280</v>
      </c>
      <c r="J2124" s="5"/>
      <c r="K2124" s="5"/>
      <c r="L2124" s="33">
        <f t="shared" si="489"/>
        <v>33900</v>
      </c>
      <c r="M2124" s="33">
        <f t="shared" si="490"/>
        <v>33900</v>
      </c>
      <c r="N2124" s="22">
        <f t="shared" si="491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488"/>
        <v>280</v>
      </c>
      <c r="J2125" s="5"/>
      <c r="K2125" s="5"/>
      <c r="L2125" s="33">
        <f t="shared" si="489"/>
        <v>33900</v>
      </c>
      <c r="M2125" s="33">
        <f t="shared" si="490"/>
        <v>33900</v>
      </c>
      <c r="N2125" s="22">
        <f t="shared" si="491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488"/>
        <v>48</v>
      </c>
      <c r="J2126" s="5"/>
      <c r="K2126" s="5"/>
      <c r="L2126" s="33">
        <f t="shared" si="489"/>
        <v>5811</v>
      </c>
      <c r="M2126" s="33">
        <f t="shared" si="490"/>
        <v>5811</v>
      </c>
      <c r="N2126" s="22">
        <f t="shared" si="491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488"/>
        <v>120</v>
      </c>
      <c r="J2127" s="5"/>
      <c r="K2127" s="5"/>
      <c r="L2127" s="33">
        <f t="shared" si="489"/>
        <v>18748</v>
      </c>
      <c r="M2127" s="33">
        <f t="shared" si="490"/>
        <v>18748</v>
      </c>
      <c r="N2127" s="22">
        <f t="shared" si="491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488"/>
        <v>80</v>
      </c>
      <c r="J2128" s="5"/>
      <c r="K2128" s="5"/>
      <c r="L2128" s="33">
        <f t="shared" si="489"/>
        <v>9686</v>
      </c>
      <c r="M2128" s="33">
        <f t="shared" si="490"/>
        <v>9686</v>
      </c>
      <c r="N2128" s="22">
        <f t="shared" si="491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488"/>
        <v>16</v>
      </c>
      <c r="J2129" s="5"/>
      <c r="K2129" s="5"/>
      <c r="L2129" s="33">
        <f t="shared" si="489"/>
        <v>1937</v>
      </c>
      <c r="M2129" s="33">
        <f t="shared" si="490"/>
        <v>1937</v>
      </c>
      <c r="N2129" s="22">
        <f t="shared" si="491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488"/>
        <v>32</v>
      </c>
      <c r="J2130" s="5"/>
      <c r="K2130" s="5"/>
      <c r="L2130" s="33">
        <f t="shared" si="489"/>
        <v>4246</v>
      </c>
      <c r="M2130" s="33">
        <f t="shared" si="490"/>
        <v>4246</v>
      </c>
      <c r="N2130" s="22">
        <f t="shared" si="491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488"/>
        <v>20</v>
      </c>
      <c r="J2131" s="5"/>
      <c r="K2131" s="5"/>
      <c r="L2131" s="33">
        <f t="shared" si="489"/>
        <v>3125</v>
      </c>
      <c r="M2131" s="33">
        <f t="shared" si="490"/>
        <v>3125</v>
      </c>
      <c r="N2131" s="22">
        <f t="shared" si="491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488"/>
        <v>500</v>
      </c>
      <c r="J2132" s="5"/>
      <c r="K2132" s="5"/>
      <c r="L2132" s="33">
        <f t="shared" si="489"/>
        <v>580</v>
      </c>
      <c r="M2132" s="33">
        <f t="shared" si="490"/>
        <v>580</v>
      </c>
      <c r="N2132" s="22">
        <f t="shared" si="491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488"/>
        <v>500</v>
      </c>
      <c r="J2133" s="5"/>
      <c r="K2133" s="5"/>
      <c r="L2133" s="33">
        <f t="shared" si="489"/>
        <v>592</v>
      </c>
      <c r="M2133" s="33">
        <f t="shared" si="490"/>
        <v>592</v>
      </c>
      <c r="N2133" s="22">
        <f t="shared" si="491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488"/>
        <v>500</v>
      </c>
      <c r="J2134" s="5"/>
      <c r="K2134" s="5"/>
      <c r="L2134" s="33">
        <f t="shared" si="489"/>
        <v>592</v>
      </c>
      <c r="M2134" s="33">
        <f t="shared" si="490"/>
        <v>592</v>
      </c>
      <c r="N2134" s="22">
        <f t="shared" si="491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488"/>
        <v>500</v>
      </c>
      <c r="J2135" s="5"/>
      <c r="K2135" s="5"/>
      <c r="L2135" s="33">
        <f t="shared" si="489"/>
        <v>592</v>
      </c>
      <c r="M2135" s="33">
        <f t="shared" si="490"/>
        <v>592</v>
      </c>
      <c r="N2135" s="22">
        <f t="shared" si="491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488"/>
        <v>0</v>
      </c>
      <c r="J2136" s="5"/>
      <c r="K2136" s="5"/>
      <c r="L2136" s="33">
        <f t="shared" si="489"/>
        <v>0</v>
      </c>
      <c r="M2136" s="33">
        <f t="shared" si="490"/>
        <v>0</v>
      </c>
      <c r="N2136" s="22">
        <f t="shared" si="491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488"/>
        <v>0</v>
      </c>
      <c r="J2137" s="5"/>
      <c r="K2137" s="5"/>
      <c r="L2137" s="33">
        <f t="shared" si="489"/>
        <v>0</v>
      </c>
      <c r="M2137" s="33">
        <f t="shared" si="490"/>
        <v>0</v>
      </c>
      <c r="N2137" s="22">
        <f t="shared" si="491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492">D2138*(1-H2138)</f>
        <v>0</v>
      </c>
      <c r="J2138" s="5"/>
      <c r="K2138" s="5"/>
      <c r="L2138" s="33">
        <f t="shared" ref="L2138:L2158" si="493">E2138*(1-H2138)</f>
        <v>0</v>
      </c>
      <c r="M2138" s="33">
        <f t="shared" ref="M2138:M2158" si="494">IF(J2138="",L2138,(E2138/D2138)*J2138)</f>
        <v>0</v>
      </c>
      <c r="N2138" s="22">
        <f t="shared" ref="N2138:N2158" si="495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492"/>
        <v>0</v>
      </c>
      <c r="J2139" s="5"/>
      <c r="K2139" s="5"/>
      <c r="L2139" s="33">
        <f t="shared" si="493"/>
        <v>0</v>
      </c>
      <c r="M2139" s="33">
        <f t="shared" si="494"/>
        <v>0</v>
      </c>
      <c r="N2139" s="22">
        <f t="shared" si="495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492"/>
        <v>0</v>
      </c>
      <c r="J2140" s="5"/>
      <c r="K2140" s="5"/>
      <c r="L2140" s="33">
        <f t="shared" si="493"/>
        <v>0</v>
      </c>
      <c r="M2140" s="33">
        <f t="shared" si="494"/>
        <v>0</v>
      </c>
      <c r="N2140" s="22">
        <f t="shared" si="495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492"/>
        <v>80</v>
      </c>
      <c r="J2141" s="5"/>
      <c r="K2141" s="5"/>
      <c r="L2141" s="33">
        <f t="shared" si="493"/>
        <v>9686</v>
      </c>
      <c r="M2141" s="33">
        <f t="shared" si="494"/>
        <v>9686</v>
      </c>
      <c r="N2141" s="22">
        <f t="shared" si="495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492"/>
        <v>80</v>
      </c>
      <c r="J2142" s="5"/>
      <c r="K2142" s="5"/>
      <c r="L2142" s="33">
        <f t="shared" si="493"/>
        <v>8506</v>
      </c>
      <c r="M2142" s="33">
        <f t="shared" si="494"/>
        <v>8506</v>
      </c>
      <c r="N2142" s="22">
        <f t="shared" si="495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492"/>
        <v>24</v>
      </c>
      <c r="J2143" s="5"/>
      <c r="K2143" s="5"/>
      <c r="L2143" s="33">
        <f t="shared" si="493"/>
        <v>2906</v>
      </c>
      <c r="M2143" s="33">
        <f t="shared" si="494"/>
        <v>2906</v>
      </c>
      <c r="N2143" s="22">
        <f t="shared" si="495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492"/>
        <v>40</v>
      </c>
      <c r="J2144" s="5"/>
      <c r="K2144" s="5"/>
      <c r="L2144" s="33">
        <f t="shared" si="493"/>
        <v>6249</v>
      </c>
      <c r="M2144" s="33">
        <f t="shared" si="494"/>
        <v>6249</v>
      </c>
      <c r="N2144" s="22">
        <f t="shared" si="495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492"/>
        <v>160</v>
      </c>
      <c r="J2145" s="5"/>
      <c r="K2145" s="5"/>
      <c r="L2145" s="33">
        <f t="shared" si="493"/>
        <v>19372</v>
      </c>
      <c r="M2145" s="33">
        <f t="shared" si="494"/>
        <v>19372</v>
      </c>
      <c r="N2145" s="22">
        <f t="shared" si="495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492"/>
        <v>160</v>
      </c>
      <c r="J2146" s="5"/>
      <c r="K2146" s="5"/>
      <c r="L2146" s="33">
        <f t="shared" si="493"/>
        <v>21230</v>
      </c>
      <c r="M2146" s="33">
        <f t="shared" si="494"/>
        <v>21230</v>
      </c>
      <c r="N2146" s="22">
        <f t="shared" si="495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492"/>
        <v>20</v>
      </c>
      <c r="J2147" s="5"/>
      <c r="K2147" s="5"/>
      <c r="L2147" s="33">
        <f t="shared" si="493"/>
        <v>2126</v>
      </c>
      <c r="M2147" s="33">
        <f t="shared" si="494"/>
        <v>2126</v>
      </c>
      <c r="N2147" s="22">
        <f t="shared" si="495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492"/>
        <v>8</v>
      </c>
      <c r="J2148" s="5"/>
      <c r="K2148" s="5"/>
      <c r="L2148" s="33">
        <f t="shared" si="493"/>
        <v>1250</v>
      </c>
      <c r="M2148" s="33">
        <f t="shared" si="494"/>
        <v>1250</v>
      </c>
      <c r="N2148" s="22">
        <f t="shared" si="495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492"/>
        <v>32</v>
      </c>
      <c r="J2149" s="5"/>
      <c r="K2149" s="5"/>
      <c r="L2149" s="33">
        <f t="shared" si="493"/>
        <v>3874</v>
      </c>
      <c r="M2149" s="33">
        <f t="shared" si="494"/>
        <v>3874</v>
      </c>
      <c r="N2149" s="22">
        <f t="shared" si="495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492"/>
        <v>200</v>
      </c>
      <c r="J2150" s="5"/>
      <c r="K2150" s="5"/>
      <c r="L2150" s="33">
        <f t="shared" si="493"/>
        <v>26538</v>
      </c>
      <c r="M2150" s="33">
        <f t="shared" si="494"/>
        <v>26538</v>
      </c>
      <c r="N2150" s="22">
        <f t="shared" si="495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492"/>
        <v>80</v>
      </c>
      <c r="J2151" s="5"/>
      <c r="K2151" s="5"/>
      <c r="L2151" s="33">
        <f t="shared" si="493"/>
        <v>12499</v>
      </c>
      <c r="M2151" s="33">
        <f t="shared" si="494"/>
        <v>12499</v>
      </c>
      <c r="N2151" s="22">
        <f t="shared" si="495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492"/>
        <v>200</v>
      </c>
      <c r="J2152" s="5"/>
      <c r="K2152" s="5"/>
      <c r="L2152" s="33">
        <f t="shared" si="493"/>
        <v>24214</v>
      </c>
      <c r="M2152" s="33">
        <f t="shared" si="494"/>
        <v>24214</v>
      </c>
      <c r="N2152" s="22">
        <f t="shared" si="495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492"/>
        <v>200</v>
      </c>
      <c r="J2153" s="5"/>
      <c r="K2153" s="5"/>
      <c r="L2153" s="33">
        <f t="shared" si="493"/>
        <v>24214</v>
      </c>
      <c r="M2153" s="33">
        <f t="shared" si="494"/>
        <v>24214</v>
      </c>
      <c r="N2153" s="22">
        <f t="shared" si="495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492"/>
        <v>160</v>
      </c>
      <c r="J2154" s="5"/>
      <c r="K2154" s="5"/>
      <c r="L2154" s="33">
        <f t="shared" si="493"/>
        <v>21065</v>
      </c>
      <c r="M2154" s="33">
        <f t="shared" si="494"/>
        <v>21065</v>
      </c>
      <c r="N2154" s="22">
        <f t="shared" si="495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492"/>
        <v>40</v>
      </c>
      <c r="J2155" s="5"/>
      <c r="K2155" s="5"/>
      <c r="L2155" s="33">
        <f t="shared" si="493"/>
        <v>6201</v>
      </c>
      <c r="M2155" s="33">
        <f t="shared" si="494"/>
        <v>6201</v>
      </c>
      <c r="N2155" s="22">
        <f t="shared" si="495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492"/>
        <v>4</v>
      </c>
      <c r="J2156" s="5"/>
      <c r="K2156" s="5"/>
      <c r="L2156" s="33">
        <f t="shared" si="493"/>
        <v>813</v>
      </c>
      <c r="M2156" s="33">
        <f t="shared" si="494"/>
        <v>813</v>
      </c>
      <c r="N2156" s="22">
        <f t="shared" si="495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492"/>
        <v>80</v>
      </c>
      <c r="J2157" s="5"/>
      <c r="K2157" s="5"/>
      <c r="L2157" s="33">
        <f t="shared" si="493"/>
        <v>10615</v>
      </c>
      <c r="M2157" s="33">
        <f t="shared" si="494"/>
        <v>10615</v>
      </c>
      <c r="N2157" s="22">
        <f t="shared" si="495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492"/>
        <v>40</v>
      </c>
      <c r="J2158" s="5"/>
      <c r="K2158" s="5"/>
      <c r="L2158" s="33">
        <f t="shared" si="493"/>
        <v>6249</v>
      </c>
      <c r="M2158" s="33">
        <f t="shared" si="494"/>
        <v>6249</v>
      </c>
      <c r="N2158" s="22">
        <f t="shared" si="495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496">D2160*(1-H2160)</f>
        <v>0</v>
      </c>
      <c r="J2160" s="5"/>
      <c r="K2160" s="5"/>
      <c r="L2160" s="33">
        <f t="shared" ref="L2160:L2212" si="497">E2160*(1-H2160)</f>
        <v>0</v>
      </c>
      <c r="M2160" s="33">
        <f t="shared" ref="M2160:M2212" si="498">IF(J2160="",L2160,(E2160/D2160)*J2160)</f>
        <v>0</v>
      </c>
      <c r="N2160" s="22">
        <f t="shared" ref="N2160:N2212" si="499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496"/>
        <v>0</v>
      </c>
      <c r="J2161" s="5"/>
      <c r="K2161" s="5"/>
      <c r="L2161" s="33">
        <f t="shared" si="497"/>
        <v>0</v>
      </c>
      <c r="M2161" s="33">
        <f t="shared" si="498"/>
        <v>0</v>
      </c>
      <c r="N2161" s="22">
        <f t="shared" si="499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496"/>
        <v>0</v>
      </c>
      <c r="J2162" s="5"/>
      <c r="K2162" s="5"/>
      <c r="L2162" s="33">
        <f t="shared" si="497"/>
        <v>0</v>
      </c>
      <c r="M2162" s="33">
        <f t="shared" si="498"/>
        <v>0</v>
      </c>
      <c r="N2162" s="22">
        <f t="shared" si="499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496"/>
        <v>0</v>
      </c>
      <c r="J2163" s="5"/>
      <c r="K2163" s="5"/>
      <c r="L2163" s="33">
        <f t="shared" si="497"/>
        <v>0</v>
      </c>
      <c r="M2163" s="33">
        <f t="shared" si="498"/>
        <v>0</v>
      </c>
      <c r="N2163" s="22">
        <f t="shared" si="499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496"/>
        <v>0</v>
      </c>
      <c r="J2164" s="5"/>
      <c r="K2164" s="5"/>
      <c r="L2164" s="33">
        <f t="shared" si="497"/>
        <v>0</v>
      </c>
      <c r="M2164" s="33">
        <f t="shared" si="498"/>
        <v>0</v>
      </c>
      <c r="N2164" s="22">
        <f t="shared" si="499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496"/>
        <v>0</v>
      </c>
      <c r="J2165" s="5"/>
      <c r="K2165" s="5"/>
      <c r="L2165" s="33">
        <f t="shared" si="497"/>
        <v>0</v>
      </c>
      <c r="M2165" s="33">
        <f t="shared" si="498"/>
        <v>0</v>
      </c>
      <c r="N2165" s="22">
        <f t="shared" si="499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496"/>
        <v>0</v>
      </c>
      <c r="J2166" s="5"/>
      <c r="K2166" s="5"/>
      <c r="L2166" s="33">
        <f t="shared" si="497"/>
        <v>0</v>
      </c>
      <c r="M2166" s="33">
        <f t="shared" si="498"/>
        <v>0</v>
      </c>
      <c r="N2166" s="22">
        <f t="shared" si="499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496"/>
        <v>0</v>
      </c>
      <c r="J2167" s="5"/>
      <c r="K2167" s="5"/>
      <c r="L2167" s="33">
        <f t="shared" si="497"/>
        <v>0</v>
      </c>
      <c r="M2167" s="33">
        <f t="shared" si="498"/>
        <v>0</v>
      </c>
      <c r="N2167" s="22">
        <f t="shared" si="499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496"/>
        <v>0</v>
      </c>
      <c r="J2168" s="5"/>
      <c r="K2168" s="5"/>
      <c r="L2168" s="33">
        <f t="shared" si="497"/>
        <v>0</v>
      </c>
      <c r="M2168" s="33">
        <f t="shared" si="498"/>
        <v>0</v>
      </c>
      <c r="N2168" s="22">
        <f t="shared" si="499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496"/>
        <v>0</v>
      </c>
      <c r="J2169" s="5"/>
      <c r="K2169" s="5"/>
      <c r="L2169" s="33">
        <f t="shared" si="497"/>
        <v>0</v>
      </c>
      <c r="M2169" s="33">
        <f t="shared" si="498"/>
        <v>0</v>
      </c>
      <c r="N2169" s="22">
        <f t="shared" si="499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496"/>
        <v>0</v>
      </c>
      <c r="J2170" s="5"/>
      <c r="K2170" s="5"/>
      <c r="L2170" s="33">
        <f t="shared" si="497"/>
        <v>0</v>
      </c>
      <c r="M2170" s="33">
        <f t="shared" si="498"/>
        <v>0</v>
      </c>
      <c r="N2170" s="22">
        <f t="shared" si="499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496"/>
        <v>0</v>
      </c>
      <c r="J2171" s="5"/>
      <c r="K2171" s="5"/>
      <c r="L2171" s="33">
        <f t="shared" si="497"/>
        <v>0</v>
      </c>
      <c r="M2171" s="33">
        <f t="shared" si="498"/>
        <v>0</v>
      </c>
      <c r="N2171" s="22">
        <f t="shared" si="499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496"/>
        <v>0</v>
      </c>
      <c r="J2172" s="5"/>
      <c r="K2172" s="5"/>
      <c r="L2172" s="33">
        <f t="shared" si="497"/>
        <v>0</v>
      </c>
      <c r="M2172" s="33">
        <f t="shared" si="498"/>
        <v>0</v>
      </c>
      <c r="N2172" s="22">
        <f t="shared" si="499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496"/>
        <v>0</v>
      </c>
      <c r="J2173" s="5"/>
      <c r="K2173" s="5"/>
      <c r="L2173" s="33">
        <f t="shared" si="497"/>
        <v>0</v>
      </c>
      <c r="M2173" s="33">
        <f t="shared" si="498"/>
        <v>0</v>
      </c>
      <c r="N2173" s="22">
        <f t="shared" si="499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496"/>
        <v>0</v>
      </c>
      <c r="J2174" s="5"/>
      <c r="K2174" s="5"/>
      <c r="L2174" s="33">
        <f t="shared" si="497"/>
        <v>0</v>
      </c>
      <c r="M2174" s="33">
        <f t="shared" si="498"/>
        <v>0</v>
      </c>
      <c r="N2174" s="22">
        <f t="shared" si="499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496"/>
        <v>0</v>
      </c>
      <c r="J2175" s="5"/>
      <c r="K2175" s="5"/>
      <c r="L2175" s="33">
        <f t="shared" si="497"/>
        <v>0</v>
      </c>
      <c r="M2175" s="33">
        <f t="shared" si="498"/>
        <v>0</v>
      </c>
      <c r="N2175" s="22">
        <f t="shared" si="499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496"/>
        <v>4</v>
      </c>
      <c r="J2176" s="5"/>
      <c r="K2176" s="5"/>
      <c r="L2176" s="33">
        <f t="shared" si="497"/>
        <v>607</v>
      </c>
      <c r="M2176" s="33">
        <f t="shared" si="498"/>
        <v>607</v>
      </c>
      <c r="N2176" s="22">
        <f t="shared" si="499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496"/>
        <v>16</v>
      </c>
      <c r="J2177" s="5"/>
      <c r="K2177" s="5"/>
      <c r="L2177" s="33">
        <f t="shared" si="497"/>
        <v>2500</v>
      </c>
      <c r="M2177" s="33">
        <f t="shared" si="498"/>
        <v>2500</v>
      </c>
      <c r="N2177" s="22">
        <f t="shared" si="499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496"/>
        <v>240</v>
      </c>
      <c r="J2178" s="5"/>
      <c r="K2178" s="5"/>
      <c r="L2178" s="33">
        <f t="shared" si="497"/>
        <v>29057</v>
      </c>
      <c r="M2178" s="33">
        <f t="shared" si="498"/>
        <v>29057</v>
      </c>
      <c r="N2178" s="22">
        <f t="shared" si="499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496"/>
        <v>16</v>
      </c>
      <c r="J2179" s="5"/>
      <c r="K2179" s="5"/>
      <c r="L2179" s="33">
        <f t="shared" si="497"/>
        <v>1937</v>
      </c>
      <c r="M2179" s="33">
        <f t="shared" si="498"/>
        <v>1937</v>
      </c>
      <c r="N2179" s="22">
        <f t="shared" si="499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496"/>
        <v>8</v>
      </c>
      <c r="J2180" s="5"/>
      <c r="K2180" s="5"/>
      <c r="L2180" s="33">
        <f t="shared" si="497"/>
        <v>1250</v>
      </c>
      <c r="M2180" s="33">
        <f t="shared" si="498"/>
        <v>1250</v>
      </c>
      <c r="N2180" s="22">
        <f t="shared" si="499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496"/>
        <v>64</v>
      </c>
      <c r="J2181" s="5"/>
      <c r="K2181" s="5"/>
      <c r="L2181" s="33">
        <f t="shared" si="497"/>
        <v>7749</v>
      </c>
      <c r="M2181" s="33">
        <f t="shared" si="498"/>
        <v>7749</v>
      </c>
      <c r="N2181" s="22">
        <f t="shared" si="499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496"/>
        <v>8</v>
      </c>
      <c r="J2182" s="5"/>
      <c r="K2182" s="5"/>
      <c r="L2182" s="33">
        <f t="shared" si="497"/>
        <v>969</v>
      </c>
      <c r="M2182" s="33">
        <f t="shared" si="498"/>
        <v>969</v>
      </c>
      <c r="N2182" s="22">
        <f t="shared" si="499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496"/>
        <v>0</v>
      </c>
      <c r="J2183" s="5"/>
      <c r="K2183" s="5"/>
      <c r="L2183" s="33">
        <f t="shared" si="497"/>
        <v>0</v>
      </c>
      <c r="M2183" s="33">
        <f t="shared" si="498"/>
        <v>0</v>
      </c>
      <c r="N2183" s="22">
        <f t="shared" si="499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496"/>
        <v>0</v>
      </c>
      <c r="J2184" s="5"/>
      <c r="K2184" s="5"/>
      <c r="L2184" s="33">
        <f t="shared" si="497"/>
        <v>0</v>
      </c>
      <c r="M2184" s="33">
        <f t="shared" si="498"/>
        <v>0</v>
      </c>
      <c r="N2184" s="22">
        <f t="shared" si="499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496"/>
        <v>0</v>
      </c>
      <c r="J2185" s="5"/>
      <c r="K2185" s="5"/>
      <c r="L2185" s="33">
        <f t="shared" si="497"/>
        <v>0</v>
      </c>
      <c r="M2185" s="33">
        <f t="shared" si="498"/>
        <v>0</v>
      </c>
      <c r="N2185" s="22">
        <f t="shared" si="499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496"/>
        <v>3000</v>
      </c>
      <c r="J2186" s="5"/>
      <c r="K2186" s="5"/>
      <c r="L2186" s="33">
        <f t="shared" si="497"/>
        <v>3482</v>
      </c>
      <c r="M2186" s="33">
        <f t="shared" si="498"/>
        <v>3482</v>
      </c>
      <c r="N2186" s="22">
        <f t="shared" si="499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496"/>
        <v>1000</v>
      </c>
      <c r="J2187" s="5"/>
      <c r="K2187" s="5"/>
      <c r="L2187" s="33">
        <f t="shared" si="497"/>
        <v>1184</v>
      </c>
      <c r="M2187" s="33">
        <f t="shared" si="498"/>
        <v>1184</v>
      </c>
      <c r="N2187" s="22">
        <f t="shared" si="499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496"/>
        <v>3000</v>
      </c>
      <c r="J2188" s="5"/>
      <c r="K2188" s="5"/>
      <c r="L2188" s="33">
        <f t="shared" si="497"/>
        <v>3552</v>
      </c>
      <c r="M2188" s="33">
        <f t="shared" si="498"/>
        <v>3552</v>
      </c>
      <c r="N2188" s="22">
        <f t="shared" si="499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496"/>
        <v>0</v>
      </c>
      <c r="J2189" s="5"/>
      <c r="K2189" s="5"/>
      <c r="L2189" s="33">
        <f t="shared" si="497"/>
        <v>0</v>
      </c>
      <c r="M2189" s="33">
        <f t="shared" si="498"/>
        <v>0</v>
      </c>
      <c r="N2189" s="22">
        <f t="shared" si="499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496"/>
        <v>0</v>
      </c>
      <c r="J2190" s="5"/>
      <c r="K2190" s="5"/>
      <c r="L2190" s="33">
        <f t="shared" si="497"/>
        <v>0</v>
      </c>
      <c r="M2190" s="33">
        <f t="shared" si="498"/>
        <v>0</v>
      </c>
      <c r="N2190" s="22">
        <f t="shared" si="499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496"/>
        <v>0</v>
      </c>
      <c r="J2191" s="5"/>
      <c r="K2191" s="5"/>
      <c r="L2191" s="33">
        <f t="shared" si="497"/>
        <v>0</v>
      </c>
      <c r="M2191" s="33">
        <f t="shared" si="498"/>
        <v>0</v>
      </c>
      <c r="N2191" s="22">
        <f t="shared" si="499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496"/>
        <v>0</v>
      </c>
      <c r="J2192" s="5"/>
      <c r="K2192" s="5"/>
      <c r="L2192" s="33">
        <f t="shared" si="497"/>
        <v>0</v>
      </c>
      <c r="M2192" s="33">
        <f t="shared" si="498"/>
        <v>0</v>
      </c>
      <c r="N2192" s="22">
        <f t="shared" si="499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496"/>
        <v>0</v>
      </c>
      <c r="J2193" s="5"/>
      <c r="K2193" s="5"/>
      <c r="L2193" s="33">
        <f t="shared" si="497"/>
        <v>0</v>
      </c>
      <c r="M2193" s="33">
        <f t="shared" si="498"/>
        <v>0</v>
      </c>
      <c r="N2193" s="22">
        <f t="shared" si="499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496"/>
        <v>0</v>
      </c>
      <c r="J2194" s="5"/>
      <c r="K2194" s="5"/>
      <c r="L2194" s="33">
        <f t="shared" si="497"/>
        <v>0</v>
      </c>
      <c r="M2194" s="33">
        <f t="shared" si="498"/>
        <v>0</v>
      </c>
      <c r="N2194" s="22">
        <f t="shared" si="499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496"/>
        <v>0</v>
      </c>
      <c r="J2195" s="5"/>
      <c r="K2195" s="5"/>
      <c r="L2195" s="33">
        <f t="shared" si="497"/>
        <v>0</v>
      </c>
      <c r="M2195" s="33">
        <f t="shared" si="498"/>
        <v>0</v>
      </c>
      <c r="N2195" s="22">
        <f t="shared" si="499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496"/>
        <v>0</v>
      </c>
      <c r="J2196" s="5"/>
      <c r="K2196" s="5"/>
      <c r="L2196" s="33">
        <f t="shared" si="497"/>
        <v>0</v>
      </c>
      <c r="M2196" s="33">
        <f t="shared" si="498"/>
        <v>0</v>
      </c>
      <c r="N2196" s="22">
        <f t="shared" si="499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496"/>
        <v>0</v>
      </c>
      <c r="J2197" s="5"/>
      <c r="K2197" s="5"/>
      <c r="L2197" s="33">
        <f t="shared" si="497"/>
        <v>0</v>
      </c>
      <c r="M2197" s="33">
        <f t="shared" si="498"/>
        <v>0</v>
      </c>
      <c r="N2197" s="22">
        <f t="shared" si="499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496"/>
        <v>0</v>
      </c>
      <c r="J2198" s="5"/>
      <c r="K2198" s="5"/>
      <c r="L2198" s="33">
        <f t="shared" si="497"/>
        <v>0</v>
      </c>
      <c r="M2198" s="33">
        <f t="shared" si="498"/>
        <v>0</v>
      </c>
      <c r="N2198" s="22">
        <f t="shared" si="499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496"/>
        <v>0</v>
      </c>
      <c r="J2199" s="5"/>
      <c r="K2199" s="5"/>
      <c r="L2199" s="33">
        <f t="shared" si="497"/>
        <v>0</v>
      </c>
      <c r="M2199" s="33">
        <f t="shared" si="498"/>
        <v>0</v>
      </c>
      <c r="N2199" s="22">
        <f t="shared" si="499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496"/>
        <v>0</v>
      </c>
      <c r="J2200" s="5"/>
      <c r="K2200" s="5"/>
      <c r="L2200" s="33">
        <f t="shared" si="497"/>
        <v>0</v>
      </c>
      <c r="M2200" s="33">
        <f t="shared" si="498"/>
        <v>0</v>
      </c>
      <c r="N2200" s="22">
        <f t="shared" si="499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496"/>
        <v>0</v>
      </c>
      <c r="J2201" s="5"/>
      <c r="K2201" s="5"/>
      <c r="L2201" s="33">
        <f t="shared" si="497"/>
        <v>0</v>
      </c>
      <c r="M2201" s="33">
        <f t="shared" si="498"/>
        <v>0</v>
      </c>
      <c r="N2201" s="22">
        <f t="shared" si="499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496"/>
        <v>0</v>
      </c>
      <c r="J2202" s="5"/>
      <c r="K2202" s="5"/>
      <c r="L2202" s="33">
        <f t="shared" si="497"/>
        <v>0</v>
      </c>
      <c r="M2202" s="33">
        <f t="shared" si="498"/>
        <v>0</v>
      </c>
      <c r="N2202" s="22">
        <f t="shared" si="499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496"/>
        <v>0</v>
      </c>
      <c r="J2203" s="5"/>
      <c r="K2203" s="5"/>
      <c r="L2203" s="33">
        <f t="shared" si="497"/>
        <v>0</v>
      </c>
      <c r="M2203" s="33">
        <f t="shared" si="498"/>
        <v>0</v>
      </c>
      <c r="N2203" s="22">
        <f t="shared" si="499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496"/>
        <v>176</v>
      </c>
      <c r="J2204" s="5"/>
      <c r="K2204" s="5"/>
      <c r="L2204" s="33">
        <f t="shared" si="497"/>
        <v>27497</v>
      </c>
      <c r="M2204" s="33">
        <f t="shared" si="498"/>
        <v>27497</v>
      </c>
      <c r="N2204" s="22">
        <f t="shared" si="499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496"/>
        <v>72</v>
      </c>
      <c r="J2205" s="5"/>
      <c r="K2205" s="5"/>
      <c r="L2205" s="33">
        <f t="shared" si="497"/>
        <v>8717</v>
      </c>
      <c r="M2205" s="33">
        <f t="shared" si="498"/>
        <v>8717</v>
      </c>
      <c r="N2205" s="22">
        <f t="shared" si="499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496"/>
        <v>80</v>
      </c>
      <c r="J2206" s="5"/>
      <c r="K2206" s="5"/>
      <c r="L2206" s="33">
        <f t="shared" si="497"/>
        <v>11084</v>
      </c>
      <c r="M2206" s="33">
        <f t="shared" si="498"/>
        <v>11084</v>
      </c>
      <c r="N2206" s="22">
        <f t="shared" si="499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496"/>
        <v>136</v>
      </c>
      <c r="J2207" s="5"/>
      <c r="K2207" s="5"/>
      <c r="L2207" s="33">
        <f t="shared" si="497"/>
        <v>21248</v>
      </c>
      <c r="M2207" s="33">
        <f t="shared" si="498"/>
        <v>21248</v>
      </c>
      <c r="N2207" s="22">
        <f t="shared" si="499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496"/>
        <v>120</v>
      </c>
      <c r="J2208" s="5"/>
      <c r="K2208" s="5"/>
      <c r="L2208" s="33">
        <f t="shared" si="497"/>
        <v>15923</v>
      </c>
      <c r="M2208" s="33">
        <f t="shared" si="498"/>
        <v>15923</v>
      </c>
      <c r="N2208" s="22">
        <f t="shared" si="499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496"/>
        <v>80</v>
      </c>
      <c r="J2209" s="5"/>
      <c r="K2209" s="5"/>
      <c r="L2209" s="33">
        <f t="shared" si="497"/>
        <v>11084</v>
      </c>
      <c r="M2209" s="33">
        <f t="shared" si="498"/>
        <v>11084</v>
      </c>
      <c r="N2209" s="22">
        <f t="shared" si="499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496"/>
        <v>10</v>
      </c>
      <c r="J2210" s="5"/>
      <c r="K2210" s="5"/>
      <c r="L2210" s="33">
        <f t="shared" si="497"/>
        <v>1517</v>
      </c>
      <c r="M2210" s="33">
        <f t="shared" si="498"/>
        <v>1517</v>
      </c>
      <c r="N2210" s="22">
        <f t="shared" si="499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496"/>
        <v>160</v>
      </c>
      <c r="J2211" s="5"/>
      <c r="K2211" s="5"/>
      <c r="L2211" s="33">
        <f t="shared" si="497"/>
        <v>18807</v>
      </c>
      <c r="M2211" s="33">
        <f t="shared" si="498"/>
        <v>18807</v>
      </c>
      <c r="N2211" s="22">
        <f t="shared" si="499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496"/>
        <v>8</v>
      </c>
      <c r="J2212" s="5"/>
      <c r="K2212" s="5"/>
      <c r="L2212" s="33">
        <f t="shared" si="497"/>
        <v>940</v>
      </c>
      <c r="M2212" s="33">
        <f t="shared" si="498"/>
        <v>940</v>
      </c>
      <c r="N2212" s="22">
        <f t="shared" si="499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500">D2214*(1-H2214)</f>
        <v>0</v>
      </c>
      <c r="J2214" s="5"/>
      <c r="K2214" s="5"/>
      <c r="L2214" s="33">
        <f t="shared" ref="L2214:L2277" si="501">E2214*(1-H2214)</f>
        <v>0</v>
      </c>
      <c r="M2214" s="33">
        <f t="shared" ref="M2214:M2277" si="502">IF(J2214="",L2214,(E2214/D2214)*J2214)</f>
        <v>0</v>
      </c>
      <c r="N2214" s="22">
        <f t="shared" ref="N2214:N2277" si="503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500"/>
        <v>0</v>
      </c>
      <c r="J2215" s="5"/>
      <c r="K2215" s="5"/>
      <c r="L2215" s="33">
        <f t="shared" si="501"/>
        <v>0</v>
      </c>
      <c r="M2215" s="33">
        <f t="shared" si="502"/>
        <v>0</v>
      </c>
      <c r="N2215" s="22">
        <f t="shared" si="503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500"/>
        <v>0</v>
      </c>
      <c r="J2216" s="5"/>
      <c r="K2216" s="5"/>
      <c r="L2216" s="33">
        <f t="shared" si="501"/>
        <v>0</v>
      </c>
      <c r="M2216" s="33">
        <f t="shared" si="502"/>
        <v>0</v>
      </c>
      <c r="N2216" s="22">
        <f t="shared" si="503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500"/>
        <v>0</v>
      </c>
      <c r="J2217" s="5"/>
      <c r="K2217" s="5"/>
      <c r="L2217" s="33">
        <f t="shared" si="501"/>
        <v>0</v>
      </c>
      <c r="M2217" s="33">
        <f t="shared" si="502"/>
        <v>0</v>
      </c>
      <c r="N2217" s="22">
        <f t="shared" si="503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500"/>
        <v>0</v>
      </c>
      <c r="J2218" s="5"/>
      <c r="K2218" s="5"/>
      <c r="L2218" s="33">
        <f t="shared" si="501"/>
        <v>0</v>
      </c>
      <c r="M2218" s="33">
        <f t="shared" si="502"/>
        <v>0</v>
      </c>
      <c r="N2218" s="22">
        <f t="shared" si="503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500"/>
        <v>0</v>
      </c>
      <c r="J2219" s="5"/>
      <c r="K2219" s="5"/>
      <c r="L2219" s="33">
        <f t="shared" si="501"/>
        <v>0</v>
      </c>
      <c r="M2219" s="33">
        <f t="shared" si="502"/>
        <v>0</v>
      </c>
      <c r="N2219" s="22">
        <f t="shared" si="503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500"/>
        <v>0</v>
      </c>
      <c r="J2220" s="5"/>
      <c r="K2220" s="5"/>
      <c r="L2220" s="33">
        <f t="shared" si="501"/>
        <v>0</v>
      </c>
      <c r="M2220" s="33">
        <f t="shared" si="502"/>
        <v>0</v>
      </c>
      <c r="N2220" s="22">
        <f t="shared" si="503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500"/>
        <v>0</v>
      </c>
      <c r="J2221" s="5"/>
      <c r="K2221" s="5"/>
      <c r="L2221" s="33">
        <f t="shared" si="501"/>
        <v>0</v>
      </c>
      <c r="M2221" s="33">
        <f t="shared" si="502"/>
        <v>0</v>
      </c>
      <c r="N2221" s="22">
        <f t="shared" si="503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500"/>
        <v>0</v>
      </c>
      <c r="J2222" s="5"/>
      <c r="K2222" s="5"/>
      <c r="L2222" s="33">
        <f t="shared" si="501"/>
        <v>0</v>
      </c>
      <c r="M2222" s="33">
        <f t="shared" si="502"/>
        <v>0</v>
      </c>
      <c r="N2222" s="22">
        <f t="shared" si="503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500"/>
        <v>0</v>
      </c>
      <c r="J2223" s="5"/>
      <c r="K2223" s="5"/>
      <c r="L2223" s="33">
        <f t="shared" si="501"/>
        <v>0</v>
      </c>
      <c r="M2223" s="33">
        <f t="shared" si="502"/>
        <v>0</v>
      </c>
      <c r="N2223" s="22">
        <f t="shared" si="503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500"/>
        <v>0</v>
      </c>
      <c r="J2224" s="5"/>
      <c r="K2224" s="5"/>
      <c r="L2224" s="33">
        <f t="shared" si="501"/>
        <v>0</v>
      </c>
      <c r="M2224" s="33">
        <f t="shared" si="502"/>
        <v>0</v>
      </c>
      <c r="N2224" s="22">
        <f t="shared" si="503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500"/>
        <v>552</v>
      </c>
      <c r="J2225" s="5"/>
      <c r="K2225" s="5"/>
      <c r="L2225" s="33">
        <f t="shared" si="501"/>
        <v>74251.360000000001</v>
      </c>
      <c r="M2225" s="33">
        <f t="shared" si="502"/>
        <v>74251.360000000001</v>
      </c>
      <c r="N2225" s="22">
        <f t="shared" si="503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500"/>
        <v>18.400000000000002</v>
      </c>
      <c r="J2226" s="5"/>
      <c r="K2226" s="5"/>
      <c r="L2226" s="33">
        <f t="shared" si="501"/>
        <v>1899.8000000000002</v>
      </c>
      <c r="M2226" s="33">
        <f t="shared" si="502"/>
        <v>1899.8000000000002</v>
      </c>
      <c r="N2226" s="22">
        <f t="shared" si="503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500"/>
        <v>7.36</v>
      </c>
      <c r="J2227" s="5"/>
      <c r="K2227" s="5"/>
      <c r="L2227" s="33">
        <f t="shared" si="501"/>
        <v>1115.96</v>
      </c>
      <c r="M2227" s="33">
        <f t="shared" si="502"/>
        <v>1115.96</v>
      </c>
      <c r="N2227" s="22">
        <f t="shared" si="503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500"/>
        <v>8</v>
      </c>
      <c r="J2228" s="5"/>
      <c r="K2228" s="5"/>
      <c r="L2228" s="33">
        <f t="shared" si="501"/>
        <v>851</v>
      </c>
      <c r="M2228" s="33">
        <f t="shared" si="502"/>
        <v>851</v>
      </c>
      <c r="N2228" s="22">
        <f t="shared" si="503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500"/>
        <v>480</v>
      </c>
      <c r="J2229" s="5"/>
      <c r="K2229" s="5"/>
      <c r="L2229" s="33">
        <f t="shared" si="501"/>
        <v>66503</v>
      </c>
      <c r="M2229" s="33">
        <f t="shared" si="502"/>
        <v>66503</v>
      </c>
      <c r="N2229" s="22">
        <f t="shared" si="503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500"/>
        <v>20</v>
      </c>
      <c r="J2230" s="5"/>
      <c r="K2230" s="5"/>
      <c r="L2230" s="33">
        <f t="shared" si="501"/>
        <v>2126</v>
      </c>
      <c r="M2230" s="33">
        <f t="shared" si="502"/>
        <v>2126</v>
      </c>
      <c r="N2230" s="22">
        <f t="shared" si="503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500"/>
        <v>8</v>
      </c>
      <c r="J2231" s="5"/>
      <c r="K2231" s="5"/>
      <c r="L2231" s="33">
        <f t="shared" si="501"/>
        <v>1250</v>
      </c>
      <c r="M2231" s="33">
        <f t="shared" si="502"/>
        <v>1250</v>
      </c>
      <c r="N2231" s="22">
        <f t="shared" si="503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500"/>
        <v>4</v>
      </c>
      <c r="J2232" s="5"/>
      <c r="K2232" s="5"/>
      <c r="L2232" s="33">
        <f t="shared" si="501"/>
        <v>484</v>
      </c>
      <c r="M2232" s="33">
        <f t="shared" si="502"/>
        <v>484</v>
      </c>
      <c r="N2232" s="22">
        <f t="shared" si="503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500"/>
        <v>20</v>
      </c>
      <c r="J2233" s="5"/>
      <c r="K2233" s="5"/>
      <c r="L2233" s="33">
        <f t="shared" si="501"/>
        <v>2421</v>
      </c>
      <c r="M2233" s="33">
        <f t="shared" si="502"/>
        <v>2421</v>
      </c>
      <c r="N2233" s="22">
        <f t="shared" si="503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500"/>
        <v>80</v>
      </c>
      <c r="J2234" s="5"/>
      <c r="K2234" s="5"/>
      <c r="L2234" s="33">
        <f t="shared" si="501"/>
        <v>9686</v>
      </c>
      <c r="M2234" s="33">
        <f t="shared" si="502"/>
        <v>9686</v>
      </c>
      <c r="N2234" s="22">
        <f t="shared" si="503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500"/>
        <v>160</v>
      </c>
      <c r="J2235" s="5"/>
      <c r="K2235" s="5"/>
      <c r="L2235" s="33">
        <f t="shared" si="501"/>
        <v>19372</v>
      </c>
      <c r="M2235" s="33">
        <f t="shared" si="502"/>
        <v>19372</v>
      </c>
      <c r="N2235" s="22">
        <f t="shared" si="503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500"/>
        <v>80</v>
      </c>
      <c r="J2236" s="5"/>
      <c r="K2236" s="5"/>
      <c r="L2236" s="33">
        <f t="shared" si="501"/>
        <v>12499</v>
      </c>
      <c r="M2236" s="33">
        <f t="shared" si="502"/>
        <v>12499</v>
      </c>
      <c r="N2236" s="22">
        <f t="shared" si="503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500"/>
        <v>8</v>
      </c>
      <c r="J2237" s="5"/>
      <c r="K2237" s="5"/>
      <c r="L2237" s="33">
        <f t="shared" si="501"/>
        <v>1250</v>
      </c>
      <c r="M2237" s="33">
        <f t="shared" si="502"/>
        <v>1250</v>
      </c>
      <c r="N2237" s="22">
        <f t="shared" si="503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500"/>
        <v>8</v>
      </c>
      <c r="J2238" s="5"/>
      <c r="K2238" s="5"/>
      <c r="L2238" s="33">
        <f t="shared" si="501"/>
        <v>969</v>
      </c>
      <c r="M2238" s="33">
        <f t="shared" si="502"/>
        <v>969</v>
      </c>
      <c r="N2238" s="22">
        <f t="shared" si="503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500"/>
        <v>8</v>
      </c>
      <c r="J2239" s="5"/>
      <c r="K2239" s="5"/>
      <c r="L2239" s="33">
        <f t="shared" si="501"/>
        <v>969</v>
      </c>
      <c r="M2239" s="33">
        <f t="shared" si="502"/>
        <v>969</v>
      </c>
      <c r="N2239" s="22">
        <f t="shared" si="503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500"/>
        <v>8</v>
      </c>
      <c r="J2240" s="5"/>
      <c r="K2240" s="5"/>
      <c r="L2240" s="33">
        <f t="shared" si="501"/>
        <v>969</v>
      </c>
      <c r="M2240" s="33">
        <f t="shared" si="502"/>
        <v>969</v>
      </c>
      <c r="N2240" s="22">
        <f t="shared" si="503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500"/>
        <v>8</v>
      </c>
      <c r="J2241" s="5"/>
      <c r="K2241" s="5"/>
      <c r="L2241" s="33">
        <f t="shared" si="501"/>
        <v>1250</v>
      </c>
      <c r="M2241" s="33">
        <f t="shared" si="502"/>
        <v>1250</v>
      </c>
      <c r="N2241" s="22">
        <f t="shared" si="503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500"/>
        <v>8</v>
      </c>
      <c r="J2242" s="5"/>
      <c r="K2242" s="5"/>
      <c r="L2242" s="33">
        <f t="shared" si="501"/>
        <v>969</v>
      </c>
      <c r="M2242" s="33">
        <f t="shared" si="502"/>
        <v>969</v>
      </c>
      <c r="N2242" s="22">
        <f t="shared" si="503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500"/>
        <v>8</v>
      </c>
      <c r="J2243" s="5"/>
      <c r="K2243" s="5"/>
      <c r="L2243" s="33">
        <f t="shared" si="501"/>
        <v>969</v>
      </c>
      <c r="M2243" s="33">
        <f t="shared" si="502"/>
        <v>969</v>
      </c>
      <c r="N2243" s="22">
        <f t="shared" si="503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500"/>
        <v>8</v>
      </c>
      <c r="J2244" s="5"/>
      <c r="K2244" s="5"/>
      <c r="L2244" s="33">
        <f t="shared" si="501"/>
        <v>969</v>
      </c>
      <c r="M2244" s="33">
        <f t="shared" si="502"/>
        <v>969</v>
      </c>
      <c r="N2244" s="22">
        <f t="shared" si="503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500"/>
        <v>32</v>
      </c>
      <c r="J2245" s="5"/>
      <c r="K2245" s="5"/>
      <c r="L2245" s="33">
        <f t="shared" si="501"/>
        <v>4999</v>
      </c>
      <c r="M2245" s="33">
        <f t="shared" si="502"/>
        <v>4999</v>
      </c>
      <c r="N2245" s="22">
        <f t="shared" si="503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500"/>
        <v>160</v>
      </c>
      <c r="J2246" s="5"/>
      <c r="K2246" s="5"/>
      <c r="L2246" s="33">
        <f t="shared" si="501"/>
        <v>29214</v>
      </c>
      <c r="M2246" s="33">
        <f t="shared" si="502"/>
        <v>29214</v>
      </c>
      <c r="N2246" s="22">
        <f t="shared" si="503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500"/>
        <v>32</v>
      </c>
      <c r="J2247" s="5"/>
      <c r="K2247" s="5"/>
      <c r="L2247" s="33">
        <f t="shared" si="501"/>
        <v>3874</v>
      </c>
      <c r="M2247" s="33">
        <f t="shared" si="502"/>
        <v>3874</v>
      </c>
      <c r="N2247" s="22">
        <f t="shared" si="503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500"/>
        <v>320</v>
      </c>
      <c r="J2248" s="5"/>
      <c r="K2248" s="5"/>
      <c r="L2248" s="33">
        <f t="shared" si="501"/>
        <v>38743</v>
      </c>
      <c r="M2248" s="33">
        <f t="shared" si="502"/>
        <v>38743</v>
      </c>
      <c r="N2248" s="22">
        <f t="shared" si="503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500"/>
        <v>160</v>
      </c>
      <c r="J2249" s="5"/>
      <c r="K2249" s="5"/>
      <c r="L2249" s="33">
        <f t="shared" si="501"/>
        <v>24997</v>
      </c>
      <c r="M2249" s="33">
        <f t="shared" si="502"/>
        <v>24997</v>
      </c>
      <c r="N2249" s="22">
        <f t="shared" si="503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500"/>
        <v>320</v>
      </c>
      <c r="J2250" s="5"/>
      <c r="K2250" s="5"/>
      <c r="L2250" s="33">
        <f t="shared" si="501"/>
        <v>38743</v>
      </c>
      <c r="M2250" s="33">
        <f t="shared" si="502"/>
        <v>38743</v>
      </c>
      <c r="N2250" s="22">
        <f t="shared" si="503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500"/>
        <v>0</v>
      </c>
      <c r="J2251" s="5"/>
      <c r="K2251" s="5"/>
      <c r="L2251" s="33">
        <f t="shared" si="501"/>
        <v>0</v>
      </c>
      <c r="M2251" s="33">
        <f t="shared" si="502"/>
        <v>0</v>
      </c>
      <c r="N2251" s="22">
        <f t="shared" si="503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500"/>
        <v>0</v>
      </c>
      <c r="J2252" s="5"/>
      <c r="K2252" s="5"/>
      <c r="L2252" s="33">
        <f t="shared" si="501"/>
        <v>0</v>
      </c>
      <c r="M2252" s="33">
        <f t="shared" si="502"/>
        <v>0</v>
      </c>
      <c r="N2252" s="22">
        <f t="shared" si="503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500"/>
        <v>460</v>
      </c>
      <c r="J2253" s="5"/>
      <c r="K2253" s="5"/>
      <c r="L2253" s="33">
        <f t="shared" si="501"/>
        <v>533.6</v>
      </c>
      <c r="M2253" s="33">
        <f t="shared" si="502"/>
        <v>533.6</v>
      </c>
      <c r="N2253" s="22">
        <f t="shared" si="503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500"/>
        <v>500</v>
      </c>
      <c r="J2254" s="5"/>
      <c r="K2254" s="5"/>
      <c r="L2254" s="33">
        <f t="shared" si="501"/>
        <v>592</v>
      </c>
      <c r="M2254" s="33">
        <f t="shared" si="502"/>
        <v>592</v>
      </c>
      <c r="N2254" s="22">
        <f t="shared" si="503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500"/>
        <v>500</v>
      </c>
      <c r="J2255" s="5"/>
      <c r="K2255" s="5"/>
      <c r="L2255" s="33">
        <f t="shared" si="501"/>
        <v>592</v>
      </c>
      <c r="M2255" s="33">
        <f t="shared" si="502"/>
        <v>592</v>
      </c>
      <c r="N2255" s="22">
        <f t="shared" si="503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500"/>
        <v>500</v>
      </c>
      <c r="J2256" s="5"/>
      <c r="K2256" s="5"/>
      <c r="L2256" s="33">
        <f t="shared" si="501"/>
        <v>592</v>
      </c>
      <c r="M2256" s="33">
        <f t="shared" si="502"/>
        <v>592</v>
      </c>
      <c r="N2256" s="22">
        <f t="shared" si="503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500"/>
        <v>500</v>
      </c>
      <c r="J2257" s="5"/>
      <c r="K2257" s="5"/>
      <c r="L2257" s="33">
        <f t="shared" si="501"/>
        <v>592</v>
      </c>
      <c r="M2257" s="33">
        <f t="shared" si="502"/>
        <v>592</v>
      </c>
      <c r="N2257" s="22">
        <f t="shared" si="503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500"/>
        <v>500</v>
      </c>
      <c r="J2258" s="5"/>
      <c r="K2258" s="5"/>
      <c r="L2258" s="33">
        <f t="shared" si="501"/>
        <v>592</v>
      </c>
      <c r="M2258" s="33">
        <f t="shared" si="502"/>
        <v>592</v>
      </c>
      <c r="N2258" s="22">
        <f t="shared" si="503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500"/>
        <v>0</v>
      </c>
      <c r="J2259" s="5"/>
      <c r="K2259" s="5"/>
      <c r="L2259" s="33">
        <f t="shared" si="501"/>
        <v>0</v>
      </c>
      <c r="M2259" s="33">
        <f t="shared" si="502"/>
        <v>0</v>
      </c>
      <c r="N2259" s="22">
        <f t="shared" si="503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500"/>
        <v>0</v>
      </c>
      <c r="J2260" s="5"/>
      <c r="K2260" s="5"/>
      <c r="L2260" s="33">
        <f t="shared" si="501"/>
        <v>0</v>
      </c>
      <c r="M2260" s="33">
        <f t="shared" si="502"/>
        <v>0</v>
      </c>
      <c r="N2260" s="22">
        <f t="shared" si="503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500"/>
        <v>0</v>
      </c>
      <c r="J2261" s="5"/>
      <c r="K2261" s="5"/>
      <c r="L2261" s="33">
        <f t="shared" si="501"/>
        <v>0</v>
      </c>
      <c r="M2261" s="33">
        <f t="shared" si="502"/>
        <v>0</v>
      </c>
      <c r="N2261" s="22">
        <f t="shared" si="503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500"/>
        <v>640</v>
      </c>
      <c r="J2262" s="5"/>
      <c r="K2262" s="5"/>
      <c r="L2262" s="33">
        <f t="shared" si="501"/>
        <v>0</v>
      </c>
      <c r="M2262" s="33">
        <f t="shared" si="502"/>
        <v>0</v>
      </c>
      <c r="N2262" s="22">
        <f t="shared" si="503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500"/>
        <v>80</v>
      </c>
      <c r="J2263" s="5"/>
      <c r="K2263" s="5"/>
      <c r="L2263" s="33">
        <f t="shared" si="501"/>
        <v>10615</v>
      </c>
      <c r="M2263" s="33">
        <f t="shared" si="502"/>
        <v>10615</v>
      </c>
      <c r="N2263" s="22">
        <f t="shared" si="503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500"/>
        <v>60</v>
      </c>
      <c r="J2264" s="5"/>
      <c r="K2264" s="5"/>
      <c r="L2264" s="33">
        <f t="shared" si="501"/>
        <v>7264</v>
      </c>
      <c r="M2264" s="33">
        <f t="shared" si="502"/>
        <v>7264</v>
      </c>
      <c r="N2264" s="22">
        <f t="shared" si="503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500"/>
        <v>40</v>
      </c>
      <c r="J2265" s="5"/>
      <c r="K2265" s="5"/>
      <c r="L2265" s="33">
        <f t="shared" si="501"/>
        <v>4758</v>
      </c>
      <c r="M2265" s="33">
        <f t="shared" si="502"/>
        <v>4758</v>
      </c>
      <c r="N2265" s="22">
        <f t="shared" si="503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500"/>
        <v>40</v>
      </c>
      <c r="J2266" s="5"/>
      <c r="K2266" s="5"/>
      <c r="L2266" s="33">
        <f t="shared" si="501"/>
        <v>6140</v>
      </c>
      <c r="M2266" s="33">
        <f t="shared" si="502"/>
        <v>6140</v>
      </c>
      <c r="N2266" s="22">
        <f t="shared" si="503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500"/>
        <v>0</v>
      </c>
      <c r="J2267" s="5"/>
      <c r="K2267" s="5"/>
      <c r="L2267" s="33">
        <f t="shared" si="501"/>
        <v>0</v>
      </c>
      <c r="M2267" s="33">
        <f t="shared" si="502"/>
        <v>0</v>
      </c>
      <c r="N2267" s="22">
        <f t="shared" si="503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500"/>
        <v>0</v>
      </c>
      <c r="J2268" s="5"/>
      <c r="K2268" s="5"/>
      <c r="L2268" s="33">
        <f t="shared" si="501"/>
        <v>0</v>
      </c>
      <c r="M2268" s="33">
        <f t="shared" si="502"/>
        <v>0</v>
      </c>
      <c r="N2268" s="22">
        <f t="shared" si="503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500"/>
        <v>0</v>
      </c>
      <c r="J2269" s="5"/>
      <c r="K2269" s="5"/>
      <c r="L2269" s="33">
        <f t="shared" si="501"/>
        <v>0</v>
      </c>
      <c r="M2269" s="33">
        <f t="shared" si="502"/>
        <v>0</v>
      </c>
      <c r="N2269" s="22">
        <f t="shared" si="503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500"/>
        <v>0</v>
      </c>
      <c r="J2270" s="5"/>
      <c r="K2270" s="5"/>
      <c r="L2270" s="33">
        <f t="shared" si="501"/>
        <v>0</v>
      </c>
      <c r="M2270" s="33">
        <f t="shared" si="502"/>
        <v>0</v>
      </c>
      <c r="N2270" s="22">
        <f t="shared" si="503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500"/>
        <v>0</v>
      </c>
      <c r="J2271" s="5"/>
      <c r="K2271" s="5"/>
      <c r="L2271" s="33">
        <f t="shared" si="501"/>
        <v>0</v>
      </c>
      <c r="M2271" s="33">
        <f t="shared" si="502"/>
        <v>0</v>
      </c>
      <c r="N2271" s="22">
        <f t="shared" si="503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500"/>
        <v>0</v>
      </c>
      <c r="J2272" s="5"/>
      <c r="K2272" s="5"/>
      <c r="L2272" s="33">
        <f t="shared" si="501"/>
        <v>0</v>
      </c>
      <c r="M2272" s="33">
        <f t="shared" si="502"/>
        <v>0</v>
      </c>
      <c r="N2272" s="22">
        <f t="shared" si="503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500"/>
        <v>0</v>
      </c>
      <c r="J2273" s="5"/>
      <c r="K2273" s="5"/>
      <c r="L2273" s="33">
        <f t="shared" si="501"/>
        <v>0</v>
      </c>
      <c r="M2273" s="33">
        <f t="shared" si="502"/>
        <v>0</v>
      </c>
      <c r="N2273" s="22">
        <f t="shared" si="503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500"/>
        <v>0</v>
      </c>
      <c r="J2274" s="5"/>
      <c r="K2274" s="5"/>
      <c r="L2274" s="33">
        <f t="shared" si="501"/>
        <v>0</v>
      </c>
      <c r="M2274" s="33">
        <f t="shared" si="502"/>
        <v>0</v>
      </c>
      <c r="N2274" s="22">
        <f t="shared" si="503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500"/>
        <v>0</v>
      </c>
      <c r="J2275" s="5"/>
      <c r="K2275" s="5"/>
      <c r="L2275" s="33">
        <f t="shared" si="501"/>
        <v>0</v>
      </c>
      <c r="M2275" s="33">
        <f t="shared" si="502"/>
        <v>0</v>
      </c>
      <c r="N2275" s="22">
        <f t="shared" si="503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500"/>
        <v>0</v>
      </c>
      <c r="J2276" s="5"/>
      <c r="K2276" s="5"/>
      <c r="L2276" s="33">
        <f t="shared" si="501"/>
        <v>0</v>
      </c>
      <c r="M2276" s="33">
        <f t="shared" si="502"/>
        <v>0</v>
      </c>
      <c r="N2276" s="22">
        <f t="shared" si="503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500"/>
        <v>58.88</v>
      </c>
      <c r="J2277" s="5"/>
      <c r="K2277" s="5"/>
      <c r="L2277" s="33">
        <f t="shared" si="501"/>
        <v>8931.36</v>
      </c>
      <c r="M2277" s="33">
        <f t="shared" si="502"/>
        <v>8931.36</v>
      </c>
      <c r="N2277" s="22">
        <f t="shared" si="503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504">D2278*(1-H2278)</f>
        <v>44.160000000000004</v>
      </c>
      <c r="J2278" s="5"/>
      <c r="K2278" s="5"/>
      <c r="L2278" s="33">
        <f t="shared" ref="L2278:L2288" si="505">E2278*(1-H2278)</f>
        <v>5190.6400000000003</v>
      </c>
      <c r="M2278" s="33">
        <f t="shared" ref="M2278:M2288" si="506">IF(J2278="",L2278,(E2278/D2278)*J2278)</f>
        <v>5190.6400000000003</v>
      </c>
      <c r="N2278" s="22">
        <f t="shared" ref="N2278:N2288" si="507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504"/>
        <v>471.04</v>
      </c>
      <c r="J2279" s="5"/>
      <c r="K2279" s="5"/>
      <c r="L2279" s="33">
        <f t="shared" si="505"/>
        <v>55368.36</v>
      </c>
      <c r="M2279" s="33">
        <f t="shared" si="506"/>
        <v>55368.36</v>
      </c>
      <c r="N2279" s="22">
        <f t="shared" si="507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504"/>
        <v>552</v>
      </c>
      <c r="J2280" s="5"/>
      <c r="K2280" s="5"/>
      <c r="L2280" s="33">
        <f t="shared" si="505"/>
        <v>71110.48</v>
      </c>
      <c r="M2280" s="33">
        <f t="shared" si="506"/>
        <v>71110.48</v>
      </c>
      <c r="N2280" s="22">
        <f t="shared" si="507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504"/>
        <v>8</v>
      </c>
      <c r="J2281" s="5"/>
      <c r="K2281" s="5"/>
      <c r="L2281" s="33">
        <f t="shared" si="505"/>
        <v>1250</v>
      </c>
      <c r="M2281" s="33">
        <f t="shared" si="506"/>
        <v>1250</v>
      </c>
      <c r="N2281" s="22">
        <f t="shared" si="507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504"/>
        <v>256</v>
      </c>
      <c r="J2282" s="5"/>
      <c r="K2282" s="5"/>
      <c r="L2282" s="33">
        <f t="shared" si="505"/>
        <v>33968</v>
      </c>
      <c r="M2282" s="33">
        <f t="shared" si="506"/>
        <v>33968</v>
      </c>
      <c r="N2282" s="22">
        <f t="shared" si="507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504"/>
        <v>8</v>
      </c>
      <c r="J2283" s="5"/>
      <c r="K2283" s="5"/>
      <c r="L2283" s="33">
        <f t="shared" si="505"/>
        <v>969</v>
      </c>
      <c r="M2283" s="33">
        <f t="shared" si="506"/>
        <v>969</v>
      </c>
      <c r="N2283" s="22">
        <f t="shared" si="507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504"/>
        <v>128</v>
      </c>
      <c r="J2284" s="5"/>
      <c r="K2284" s="5"/>
      <c r="L2284" s="33">
        <f t="shared" si="505"/>
        <v>15497</v>
      </c>
      <c r="M2284" s="33">
        <f t="shared" si="506"/>
        <v>15497</v>
      </c>
      <c r="N2284" s="22">
        <f t="shared" si="507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504"/>
        <v>64</v>
      </c>
      <c r="J2285" s="5"/>
      <c r="K2285" s="5"/>
      <c r="L2285" s="33">
        <f t="shared" si="505"/>
        <v>9999</v>
      </c>
      <c r="M2285" s="33">
        <f t="shared" si="506"/>
        <v>9999</v>
      </c>
      <c r="N2285" s="22">
        <f t="shared" si="507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504"/>
        <v>64</v>
      </c>
      <c r="J2286" s="5"/>
      <c r="K2286" s="5"/>
      <c r="L2286" s="33">
        <f t="shared" si="505"/>
        <v>7749</v>
      </c>
      <c r="M2286" s="33">
        <f t="shared" si="506"/>
        <v>7749</v>
      </c>
      <c r="N2286" s="22">
        <f t="shared" si="507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504"/>
        <v>512</v>
      </c>
      <c r="J2287" s="5"/>
      <c r="K2287" s="5"/>
      <c r="L2287" s="33">
        <f t="shared" si="505"/>
        <v>61989</v>
      </c>
      <c r="M2287" s="33">
        <f t="shared" si="506"/>
        <v>61989</v>
      </c>
      <c r="N2287" s="22">
        <f t="shared" si="507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504"/>
        <v>480</v>
      </c>
      <c r="J2288" s="5"/>
      <c r="K2288" s="5"/>
      <c r="L2288" s="33">
        <f t="shared" si="505"/>
        <v>63690</v>
      </c>
      <c r="M2288" s="33">
        <f t="shared" si="506"/>
        <v>63690</v>
      </c>
      <c r="N2288" s="22">
        <f t="shared" si="507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508">D2290*(1-H2290)</f>
        <v>0</v>
      </c>
      <c r="J2290" s="5"/>
      <c r="K2290" s="5"/>
      <c r="L2290" s="33">
        <f t="shared" ref="L2290:L2353" si="509">E2290*(1-H2290)</f>
        <v>0</v>
      </c>
      <c r="M2290" s="33">
        <f t="shared" ref="M2290:M2353" si="510">IF(J2290="",L2290,(E2290/D2290)*J2290)</f>
        <v>0</v>
      </c>
      <c r="N2290" s="22">
        <f t="shared" ref="N2290:N2353" si="511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508"/>
        <v>2.5</v>
      </c>
      <c r="J2291" s="5"/>
      <c r="K2291" s="5"/>
      <c r="L2291" s="33">
        <f t="shared" si="509"/>
        <v>379.25</v>
      </c>
      <c r="M2291" s="33">
        <f t="shared" si="510"/>
        <v>379.25</v>
      </c>
      <c r="N2291" s="22">
        <f t="shared" si="511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508"/>
        <v>0</v>
      </c>
      <c r="J2292" s="5"/>
      <c r="K2292" s="5"/>
      <c r="L2292" s="33">
        <f t="shared" si="509"/>
        <v>0</v>
      </c>
      <c r="M2292" s="33">
        <f t="shared" si="510"/>
        <v>0</v>
      </c>
      <c r="N2292" s="22">
        <f t="shared" si="511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508"/>
        <v>0</v>
      </c>
      <c r="J2293" s="5"/>
      <c r="K2293" s="5"/>
      <c r="L2293" s="33">
        <f t="shared" si="509"/>
        <v>0</v>
      </c>
      <c r="M2293" s="33">
        <f t="shared" si="510"/>
        <v>0</v>
      </c>
      <c r="N2293" s="22">
        <f t="shared" si="511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508"/>
        <v>0</v>
      </c>
      <c r="J2294" s="5"/>
      <c r="K2294" s="5"/>
      <c r="L2294" s="33">
        <f t="shared" si="509"/>
        <v>0</v>
      </c>
      <c r="M2294" s="33">
        <f t="shared" si="510"/>
        <v>0</v>
      </c>
      <c r="N2294" s="22">
        <f t="shared" si="511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508"/>
        <v>0</v>
      </c>
      <c r="J2295" s="5"/>
      <c r="K2295" s="5"/>
      <c r="L2295" s="33">
        <f t="shared" si="509"/>
        <v>0</v>
      </c>
      <c r="M2295" s="33">
        <f t="shared" si="510"/>
        <v>0</v>
      </c>
      <c r="N2295" s="22">
        <f t="shared" si="511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508"/>
        <v>0</v>
      </c>
      <c r="J2296" s="5"/>
      <c r="K2296" s="5"/>
      <c r="L2296" s="33">
        <f t="shared" si="509"/>
        <v>0</v>
      </c>
      <c r="M2296" s="33">
        <f t="shared" si="510"/>
        <v>0</v>
      </c>
      <c r="N2296" s="22">
        <f t="shared" si="511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508"/>
        <v>0</v>
      </c>
      <c r="J2297" s="5"/>
      <c r="K2297" s="5"/>
      <c r="L2297" s="33">
        <f t="shared" si="509"/>
        <v>0</v>
      </c>
      <c r="M2297" s="33">
        <f t="shared" si="510"/>
        <v>0</v>
      </c>
      <c r="N2297" s="22">
        <f t="shared" si="511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508"/>
        <v>0</v>
      </c>
      <c r="J2298" s="5"/>
      <c r="K2298" s="5"/>
      <c r="L2298" s="33">
        <f t="shared" si="509"/>
        <v>0</v>
      </c>
      <c r="M2298" s="33">
        <f t="shared" si="510"/>
        <v>0</v>
      </c>
      <c r="N2298" s="22">
        <f t="shared" si="511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508"/>
        <v>16</v>
      </c>
      <c r="J2299" s="5"/>
      <c r="K2299" s="5"/>
      <c r="L2299" s="33">
        <f t="shared" si="509"/>
        <v>2427</v>
      </c>
      <c r="M2299" s="33">
        <f t="shared" si="510"/>
        <v>2427</v>
      </c>
      <c r="N2299" s="22">
        <f t="shared" si="511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508"/>
        <v>4</v>
      </c>
      <c r="J2300" s="5"/>
      <c r="K2300" s="5"/>
      <c r="L2300" s="33">
        <f t="shared" si="509"/>
        <v>470</v>
      </c>
      <c r="M2300" s="33">
        <f t="shared" si="510"/>
        <v>470</v>
      </c>
      <c r="N2300" s="22">
        <f t="shared" si="511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508"/>
        <v>32</v>
      </c>
      <c r="J2301" s="5"/>
      <c r="K2301" s="5"/>
      <c r="L2301" s="33">
        <f t="shared" si="509"/>
        <v>3761</v>
      </c>
      <c r="M2301" s="33">
        <f t="shared" si="510"/>
        <v>3761</v>
      </c>
      <c r="N2301" s="22">
        <f t="shared" si="511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508"/>
        <v>16</v>
      </c>
      <c r="J2302" s="5"/>
      <c r="K2302" s="5"/>
      <c r="L2302" s="33">
        <f t="shared" si="509"/>
        <v>2427</v>
      </c>
      <c r="M2302" s="33">
        <f t="shared" si="510"/>
        <v>2427</v>
      </c>
      <c r="N2302" s="22">
        <f t="shared" si="511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508"/>
        <v>2</v>
      </c>
      <c r="J2303" s="5"/>
      <c r="K2303" s="5"/>
      <c r="L2303" s="33">
        <f t="shared" si="509"/>
        <v>235</v>
      </c>
      <c r="M2303" s="33">
        <f t="shared" si="510"/>
        <v>235</v>
      </c>
      <c r="N2303" s="22">
        <f t="shared" si="511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508"/>
        <v>32</v>
      </c>
      <c r="J2304" s="5"/>
      <c r="K2304" s="5"/>
      <c r="L2304" s="33">
        <f t="shared" si="509"/>
        <v>3761</v>
      </c>
      <c r="M2304" s="33">
        <f t="shared" si="510"/>
        <v>3761</v>
      </c>
      <c r="N2304" s="22">
        <f t="shared" si="511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508"/>
        <v>80</v>
      </c>
      <c r="J2305" s="5"/>
      <c r="K2305" s="5"/>
      <c r="L2305" s="33">
        <f t="shared" si="509"/>
        <v>9404</v>
      </c>
      <c r="M2305" s="33">
        <f t="shared" si="510"/>
        <v>9404</v>
      </c>
      <c r="N2305" s="22">
        <f t="shared" si="511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508"/>
        <v>16</v>
      </c>
      <c r="J2306" s="5"/>
      <c r="K2306" s="5"/>
      <c r="L2306" s="33">
        <f t="shared" si="509"/>
        <v>2489</v>
      </c>
      <c r="M2306" s="33">
        <f t="shared" si="510"/>
        <v>2489</v>
      </c>
      <c r="N2306" s="22">
        <f t="shared" si="511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508"/>
        <v>16</v>
      </c>
      <c r="J2307" s="5"/>
      <c r="K2307" s="5"/>
      <c r="L2307" s="33">
        <f t="shared" si="509"/>
        <v>1929</v>
      </c>
      <c r="M2307" s="33">
        <f t="shared" si="510"/>
        <v>1929</v>
      </c>
      <c r="N2307" s="22">
        <f t="shared" si="511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508"/>
        <v>16</v>
      </c>
      <c r="J2308" s="5"/>
      <c r="K2308" s="5"/>
      <c r="L2308" s="33">
        <f t="shared" si="509"/>
        <v>1929</v>
      </c>
      <c r="M2308" s="33">
        <f t="shared" si="510"/>
        <v>1929</v>
      </c>
      <c r="N2308" s="22">
        <f t="shared" si="511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508"/>
        <v>16</v>
      </c>
      <c r="J2309" s="5"/>
      <c r="K2309" s="5"/>
      <c r="L2309" s="33">
        <f t="shared" si="509"/>
        <v>2500</v>
      </c>
      <c r="M2309" s="33">
        <f t="shared" si="510"/>
        <v>2500</v>
      </c>
      <c r="N2309" s="22">
        <f t="shared" si="511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508"/>
        <v>16</v>
      </c>
      <c r="J2310" s="5"/>
      <c r="K2310" s="5"/>
      <c r="L2310" s="33">
        <f t="shared" si="509"/>
        <v>1937</v>
      </c>
      <c r="M2310" s="33">
        <f t="shared" si="510"/>
        <v>1937</v>
      </c>
      <c r="N2310" s="22">
        <f t="shared" si="511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508"/>
        <v>160</v>
      </c>
      <c r="J2311" s="5"/>
      <c r="K2311" s="5"/>
      <c r="L2311" s="33">
        <f t="shared" si="509"/>
        <v>19372</v>
      </c>
      <c r="M2311" s="33">
        <f t="shared" si="510"/>
        <v>19372</v>
      </c>
      <c r="N2311" s="22">
        <f t="shared" si="511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508"/>
        <v>8</v>
      </c>
      <c r="J2312" s="5"/>
      <c r="K2312" s="5"/>
      <c r="L2312" s="33">
        <f t="shared" si="509"/>
        <v>1250</v>
      </c>
      <c r="M2312" s="33">
        <f t="shared" si="510"/>
        <v>1250</v>
      </c>
      <c r="N2312" s="22">
        <f t="shared" si="511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508"/>
        <v>8</v>
      </c>
      <c r="J2313" s="5"/>
      <c r="K2313" s="5"/>
      <c r="L2313" s="33">
        <f t="shared" si="509"/>
        <v>969</v>
      </c>
      <c r="M2313" s="33">
        <f t="shared" si="510"/>
        <v>969</v>
      </c>
      <c r="N2313" s="22">
        <f t="shared" si="511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508"/>
        <v>8</v>
      </c>
      <c r="J2314" s="5"/>
      <c r="K2314" s="5"/>
      <c r="L2314" s="33">
        <f t="shared" si="509"/>
        <v>969</v>
      </c>
      <c r="M2314" s="33">
        <f t="shared" si="510"/>
        <v>969</v>
      </c>
      <c r="N2314" s="22">
        <f t="shared" si="511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508"/>
        <v>8</v>
      </c>
      <c r="J2315" s="5"/>
      <c r="K2315" s="5"/>
      <c r="L2315" s="33">
        <f t="shared" si="509"/>
        <v>1250</v>
      </c>
      <c r="M2315" s="33">
        <f t="shared" si="510"/>
        <v>1250</v>
      </c>
      <c r="N2315" s="22">
        <f t="shared" si="511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508"/>
        <v>8</v>
      </c>
      <c r="J2316" s="5"/>
      <c r="K2316" s="5"/>
      <c r="L2316" s="33">
        <f t="shared" si="509"/>
        <v>969</v>
      </c>
      <c r="M2316" s="33">
        <f t="shared" si="510"/>
        <v>969</v>
      </c>
      <c r="N2316" s="22">
        <f t="shared" si="511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508"/>
        <v>8</v>
      </c>
      <c r="J2317" s="5"/>
      <c r="K2317" s="5"/>
      <c r="L2317" s="33">
        <f t="shared" si="509"/>
        <v>969</v>
      </c>
      <c r="M2317" s="33">
        <f t="shared" si="510"/>
        <v>969</v>
      </c>
      <c r="N2317" s="22">
        <f t="shared" si="511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508"/>
        <v>7500</v>
      </c>
      <c r="J2318" s="5"/>
      <c r="K2318" s="5"/>
      <c r="L2318" s="33">
        <f t="shared" si="509"/>
        <v>8705.25</v>
      </c>
      <c r="M2318" s="33">
        <f t="shared" si="510"/>
        <v>8705.25</v>
      </c>
      <c r="N2318" s="22">
        <f t="shared" si="511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508"/>
        <v>1500</v>
      </c>
      <c r="J2319" s="5"/>
      <c r="K2319" s="5"/>
      <c r="L2319" s="33">
        <f t="shared" si="509"/>
        <v>1741</v>
      </c>
      <c r="M2319" s="33">
        <f t="shared" si="510"/>
        <v>1741</v>
      </c>
      <c r="N2319" s="22">
        <f t="shared" si="511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508"/>
        <v>1500</v>
      </c>
      <c r="J2320" s="5"/>
      <c r="K2320" s="5"/>
      <c r="L2320" s="33">
        <f t="shared" si="509"/>
        <v>1741</v>
      </c>
      <c r="M2320" s="33">
        <f t="shared" si="510"/>
        <v>1741</v>
      </c>
      <c r="N2320" s="22">
        <f t="shared" si="511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508"/>
        <v>3500</v>
      </c>
      <c r="J2321" s="5"/>
      <c r="K2321" s="5"/>
      <c r="L2321" s="33">
        <f t="shared" si="509"/>
        <v>4062</v>
      </c>
      <c r="M2321" s="33">
        <f t="shared" si="510"/>
        <v>4062</v>
      </c>
      <c r="N2321" s="22">
        <f t="shared" si="511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508"/>
        <v>3500</v>
      </c>
      <c r="J2322" s="5"/>
      <c r="K2322" s="5"/>
      <c r="L2322" s="33">
        <f t="shared" si="509"/>
        <v>4131</v>
      </c>
      <c r="M2322" s="33">
        <f t="shared" si="510"/>
        <v>4131</v>
      </c>
      <c r="N2322" s="22">
        <f t="shared" si="511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508"/>
        <v>3500</v>
      </c>
      <c r="J2323" s="5"/>
      <c r="K2323" s="5"/>
      <c r="L2323" s="33">
        <f t="shared" si="509"/>
        <v>4144</v>
      </c>
      <c r="M2323" s="33">
        <f t="shared" si="510"/>
        <v>4144</v>
      </c>
      <c r="N2323" s="22">
        <f t="shared" si="511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508"/>
        <v>64</v>
      </c>
      <c r="J2324" s="5"/>
      <c r="K2324" s="5"/>
      <c r="L2324" s="33">
        <f t="shared" si="509"/>
        <v>8245</v>
      </c>
      <c r="M2324" s="33">
        <f t="shared" si="510"/>
        <v>8245</v>
      </c>
      <c r="N2324" s="22">
        <f t="shared" si="511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508"/>
        <v>16</v>
      </c>
      <c r="J2325" s="5"/>
      <c r="K2325" s="5"/>
      <c r="L2325" s="33">
        <f t="shared" si="509"/>
        <v>2427</v>
      </c>
      <c r="M2325" s="33">
        <f t="shared" si="510"/>
        <v>2427</v>
      </c>
      <c r="N2325" s="22">
        <f t="shared" si="511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508"/>
        <v>16</v>
      </c>
      <c r="J2326" s="5"/>
      <c r="K2326" s="5"/>
      <c r="L2326" s="33">
        <f t="shared" si="509"/>
        <v>2427</v>
      </c>
      <c r="M2326" s="33">
        <f t="shared" si="510"/>
        <v>2427</v>
      </c>
      <c r="N2326" s="22">
        <f t="shared" si="511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508"/>
        <v>64</v>
      </c>
      <c r="J2327" s="5"/>
      <c r="K2327" s="5"/>
      <c r="L2327" s="33">
        <f t="shared" si="509"/>
        <v>8245</v>
      </c>
      <c r="M2327" s="33">
        <f t="shared" si="510"/>
        <v>8245</v>
      </c>
      <c r="N2327" s="22">
        <f t="shared" si="511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508"/>
        <v>16</v>
      </c>
      <c r="J2328" s="5"/>
      <c r="K2328" s="5"/>
      <c r="L2328" s="33">
        <f t="shared" si="509"/>
        <v>2427</v>
      </c>
      <c r="M2328" s="33">
        <f t="shared" si="510"/>
        <v>2427</v>
      </c>
      <c r="N2328" s="22">
        <f t="shared" si="511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508"/>
        <v>16</v>
      </c>
      <c r="J2329" s="5"/>
      <c r="K2329" s="5"/>
      <c r="L2329" s="33">
        <f t="shared" si="509"/>
        <v>2427</v>
      </c>
      <c r="M2329" s="33">
        <f t="shared" si="510"/>
        <v>2427</v>
      </c>
      <c r="N2329" s="22">
        <f t="shared" si="511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508"/>
        <v>160</v>
      </c>
      <c r="J2330" s="5"/>
      <c r="K2330" s="5"/>
      <c r="L2330" s="33">
        <f t="shared" si="509"/>
        <v>20612</v>
      </c>
      <c r="M2330" s="33">
        <f t="shared" si="510"/>
        <v>20612</v>
      </c>
      <c r="N2330" s="22">
        <f t="shared" si="511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508"/>
        <v>240</v>
      </c>
      <c r="J2331" s="5"/>
      <c r="K2331" s="5"/>
      <c r="L2331" s="33">
        <f t="shared" si="509"/>
        <v>28211</v>
      </c>
      <c r="M2331" s="33">
        <f t="shared" si="510"/>
        <v>28211</v>
      </c>
      <c r="N2331" s="22">
        <f t="shared" si="511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508"/>
        <v>320</v>
      </c>
      <c r="J2332" s="5"/>
      <c r="K2332" s="5"/>
      <c r="L2332" s="33">
        <f t="shared" si="509"/>
        <v>38574</v>
      </c>
      <c r="M2332" s="33">
        <f t="shared" si="510"/>
        <v>38574</v>
      </c>
      <c r="N2332" s="22">
        <f t="shared" si="511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508"/>
        <v>16</v>
      </c>
      <c r="J2333" s="5"/>
      <c r="K2333" s="5"/>
      <c r="L2333" s="33">
        <f t="shared" si="509"/>
        <v>3262</v>
      </c>
      <c r="M2333" s="33">
        <f t="shared" si="510"/>
        <v>3262</v>
      </c>
      <c r="N2333" s="22">
        <f t="shared" si="511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508"/>
        <v>40</v>
      </c>
      <c r="J2334" s="5"/>
      <c r="K2334" s="5"/>
      <c r="L2334" s="33">
        <f t="shared" si="509"/>
        <v>6222</v>
      </c>
      <c r="M2334" s="33">
        <f t="shared" si="510"/>
        <v>6222</v>
      </c>
      <c r="N2334" s="22">
        <f t="shared" si="511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508"/>
        <v>160</v>
      </c>
      <c r="J2335" s="5"/>
      <c r="K2335" s="5"/>
      <c r="L2335" s="33">
        <f t="shared" si="509"/>
        <v>19372</v>
      </c>
      <c r="M2335" s="33">
        <f t="shared" si="510"/>
        <v>19372</v>
      </c>
      <c r="N2335" s="22">
        <f t="shared" si="511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508"/>
        <v>16</v>
      </c>
      <c r="J2336" s="5"/>
      <c r="K2336" s="5"/>
      <c r="L2336" s="33">
        <f t="shared" si="509"/>
        <v>3276</v>
      </c>
      <c r="M2336" s="33">
        <f t="shared" si="510"/>
        <v>3276</v>
      </c>
      <c r="N2336" s="22">
        <f t="shared" si="511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508"/>
        <v>40</v>
      </c>
      <c r="J2337" s="5"/>
      <c r="K2337" s="5"/>
      <c r="L2337" s="33">
        <f t="shared" si="509"/>
        <v>6249</v>
      </c>
      <c r="M2337" s="33">
        <f t="shared" si="510"/>
        <v>6249</v>
      </c>
      <c r="N2337" s="22">
        <f t="shared" si="511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508"/>
        <v>8</v>
      </c>
      <c r="J2338" s="5"/>
      <c r="K2338" s="5"/>
      <c r="L2338" s="33">
        <f t="shared" si="509"/>
        <v>969</v>
      </c>
      <c r="M2338" s="33">
        <f t="shared" si="510"/>
        <v>969</v>
      </c>
      <c r="N2338" s="22">
        <f t="shared" si="511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508"/>
        <v>8</v>
      </c>
      <c r="J2339" s="5"/>
      <c r="K2339" s="5"/>
      <c r="L2339" s="33">
        <f t="shared" si="509"/>
        <v>1638</v>
      </c>
      <c r="M2339" s="33">
        <f t="shared" si="510"/>
        <v>1638</v>
      </c>
      <c r="N2339" s="22">
        <f t="shared" si="511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508"/>
        <v>8</v>
      </c>
      <c r="J2340" s="5"/>
      <c r="K2340" s="5"/>
      <c r="L2340" s="33">
        <f t="shared" si="509"/>
        <v>1250</v>
      </c>
      <c r="M2340" s="33">
        <f t="shared" si="510"/>
        <v>1250</v>
      </c>
      <c r="N2340" s="22">
        <f t="shared" si="511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508"/>
        <v>8</v>
      </c>
      <c r="J2341" s="5"/>
      <c r="K2341" s="5"/>
      <c r="L2341" s="33">
        <f t="shared" si="509"/>
        <v>969</v>
      </c>
      <c r="M2341" s="33">
        <f t="shared" si="510"/>
        <v>969</v>
      </c>
      <c r="N2341" s="22">
        <f t="shared" si="511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508"/>
        <v>8</v>
      </c>
      <c r="J2342" s="5"/>
      <c r="K2342" s="5"/>
      <c r="L2342" s="33">
        <f t="shared" si="509"/>
        <v>1638</v>
      </c>
      <c r="M2342" s="33">
        <f t="shared" si="510"/>
        <v>1638</v>
      </c>
      <c r="N2342" s="22">
        <f t="shared" si="511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508"/>
        <v>8</v>
      </c>
      <c r="J2343" s="5"/>
      <c r="K2343" s="5"/>
      <c r="L2343" s="33">
        <f t="shared" si="509"/>
        <v>1250</v>
      </c>
      <c r="M2343" s="33">
        <f t="shared" si="510"/>
        <v>1250</v>
      </c>
      <c r="N2343" s="22">
        <f t="shared" si="511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508"/>
        <v>0</v>
      </c>
      <c r="J2344" s="5"/>
      <c r="K2344" s="5"/>
      <c r="L2344" s="33">
        <f t="shared" si="509"/>
        <v>0</v>
      </c>
      <c r="M2344" s="33">
        <f t="shared" si="510"/>
        <v>0</v>
      </c>
      <c r="N2344" s="22">
        <f t="shared" si="511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508"/>
        <v>0</v>
      </c>
      <c r="J2345" s="5"/>
      <c r="K2345" s="5"/>
      <c r="L2345" s="33">
        <f t="shared" si="509"/>
        <v>0</v>
      </c>
      <c r="M2345" s="33">
        <f t="shared" si="510"/>
        <v>0</v>
      </c>
      <c r="N2345" s="22">
        <f t="shared" si="511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508"/>
        <v>0</v>
      </c>
      <c r="J2346" s="5"/>
      <c r="K2346" s="5"/>
      <c r="L2346" s="33">
        <f t="shared" si="509"/>
        <v>0</v>
      </c>
      <c r="M2346" s="33">
        <f t="shared" si="510"/>
        <v>0</v>
      </c>
      <c r="N2346" s="22">
        <f t="shared" si="511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508"/>
        <v>7.5</v>
      </c>
      <c r="J2347" s="5"/>
      <c r="K2347" s="5"/>
      <c r="L2347" s="33">
        <f t="shared" si="509"/>
        <v>1137.5</v>
      </c>
      <c r="M2347" s="33">
        <f t="shared" si="510"/>
        <v>1137.5</v>
      </c>
      <c r="N2347" s="22">
        <f t="shared" si="511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508"/>
        <v>2.5</v>
      </c>
      <c r="J2348" s="5"/>
      <c r="K2348" s="5"/>
      <c r="L2348" s="33">
        <f t="shared" si="509"/>
        <v>293.75</v>
      </c>
      <c r="M2348" s="33">
        <f t="shared" si="510"/>
        <v>293.75</v>
      </c>
      <c r="N2348" s="22">
        <f t="shared" si="511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508"/>
        <v>2.5</v>
      </c>
      <c r="J2349" s="5"/>
      <c r="K2349" s="5"/>
      <c r="L2349" s="33">
        <f t="shared" si="509"/>
        <v>293.75</v>
      </c>
      <c r="M2349" s="33">
        <f t="shared" si="510"/>
        <v>293.75</v>
      </c>
      <c r="N2349" s="22">
        <f t="shared" si="511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508"/>
        <v>0</v>
      </c>
      <c r="J2350" s="5"/>
      <c r="K2350" s="5"/>
      <c r="L2350" s="33">
        <f t="shared" si="509"/>
        <v>0</v>
      </c>
      <c r="M2350" s="33">
        <f t="shared" si="510"/>
        <v>0</v>
      </c>
      <c r="N2350" s="22">
        <f t="shared" si="511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508"/>
        <v>0</v>
      </c>
      <c r="J2351" s="5"/>
      <c r="K2351" s="5"/>
      <c r="L2351" s="33">
        <f t="shared" si="509"/>
        <v>0</v>
      </c>
      <c r="M2351" s="33">
        <f t="shared" si="510"/>
        <v>0</v>
      </c>
      <c r="N2351" s="22">
        <f t="shared" si="511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508"/>
        <v>0</v>
      </c>
      <c r="J2352" s="5"/>
      <c r="K2352" s="5"/>
      <c r="L2352" s="33">
        <f t="shared" si="509"/>
        <v>0</v>
      </c>
      <c r="M2352" s="33">
        <f t="shared" si="510"/>
        <v>0</v>
      </c>
      <c r="N2352" s="22">
        <f t="shared" si="511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508"/>
        <v>0</v>
      </c>
      <c r="J2353" s="5"/>
      <c r="K2353" s="5"/>
      <c r="L2353" s="33">
        <f t="shared" si="509"/>
        <v>0</v>
      </c>
      <c r="M2353" s="33">
        <f t="shared" si="510"/>
        <v>0</v>
      </c>
      <c r="N2353" s="22">
        <f t="shared" si="511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 t="shared" ref="I2354" si="512">D2354*(1-H2354)</f>
        <v>0</v>
      </c>
      <c r="J2354" s="5"/>
      <c r="K2354" s="5"/>
      <c r="L2354" s="33">
        <f t="shared" ref="L2354" si="513">E2354*(1-H2354)</f>
        <v>0</v>
      </c>
      <c r="M2354" s="33">
        <f t="shared" ref="M2354" si="514">IF(J2354="",L2354,(E2354/D2354)*J2354)</f>
        <v>0</v>
      </c>
      <c r="N2354" s="22">
        <f t="shared" ref="N2354" si="515"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516">D2356*(1-H2356)</f>
        <v>120</v>
      </c>
      <c r="J2356" s="5"/>
      <c r="K2356" s="5"/>
      <c r="L2356" s="33">
        <f t="shared" ref="L2356:L2419" si="517">E2356*(1-H2356)</f>
        <v>17672</v>
      </c>
      <c r="M2356" s="33">
        <f t="shared" ref="M2356:M2419" si="518">IF(J2356="",L2356,(E2356/D2356)*J2356)</f>
        <v>17672</v>
      </c>
      <c r="N2356" s="22">
        <f t="shared" ref="N2356:N2419" si="519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516"/>
        <v>40</v>
      </c>
      <c r="J2357" s="5"/>
      <c r="K2357" s="5"/>
      <c r="L2357" s="33">
        <f t="shared" si="517"/>
        <v>4565</v>
      </c>
      <c r="M2357" s="33">
        <f t="shared" si="518"/>
        <v>4565</v>
      </c>
      <c r="N2357" s="22">
        <f t="shared" si="519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516"/>
        <v>20</v>
      </c>
      <c r="J2358" s="5"/>
      <c r="K2358" s="5"/>
      <c r="L2358" s="33">
        <f t="shared" si="517"/>
        <v>3011.5</v>
      </c>
      <c r="M2358" s="33">
        <f t="shared" si="518"/>
        <v>3011.5</v>
      </c>
      <c r="N2358" s="22">
        <f t="shared" si="519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516"/>
        <v>10</v>
      </c>
      <c r="J2359" s="5"/>
      <c r="K2359" s="5"/>
      <c r="L2359" s="33">
        <f t="shared" si="517"/>
        <v>1167</v>
      </c>
      <c r="M2359" s="33">
        <f t="shared" si="518"/>
        <v>1167</v>
      </c>
      <c r="N2359" s="22">
        <f t="shared" si="519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516"/>
        <v>6</v>
      </c>
      <c r="J2360" s="5"/>
      <c r="K2360" s="5"/>
      <c r="L2360" s="33">
        <f t="shared" si="517"/>
        <v>909.75</v>
      </c>
      <c r="M2360" s="33">
        <f t="shared" si="518"/>
        <v>909.75</v>
      </c>
      <c r="N2360" s="22">
        <f t="shared" si="519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516"/>
        <v>6</v>
      </c>
      <c r="J2361" s="5"/>
      <c r="K2361" s="5"/>
      <c r="L2361" s="33">
        <f t="shared" si="517"/>
        <v>705</v>
      </c>
      <c r="M2361" s="33">
        <f t="shared" si="518"/>
        <v>705</v>
      </c>
      <c r="N2361" s="22">
        <f t="shared" si="519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516"/>
        <v>6</v>
      </c>
      <c r="J2362" s="5"/>
      <c r="K2362" s="5"/>
      <c r="L2362" s="33">
        <f t="shared" si="517"/>
        <v>705</v>
      </c>
      <c r="M2362" s="33">
        <f t="shared" si="518"/>
        <v>705</v>
      </c>
      <c r="N2362" s="22">
        <f t="shared" si="519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516"/>
        <v>8</v>
      </c>
      <c r="J2363" s="5"/>
      <c r="K2363" s="5"/>
      <c r="L2363" s="33">
        <f t="shared" si="517"/>
        <v>1213</v>
      </c>
      <c r="M2363" s="33">
        <f t="shared" si="518"/>
        <v>1213</v>
      </c>
      <c r="N2363" s="22">
        <f t="shared" si="519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516"/>
        <v>8</v>
      </c>
      <c r="J2364" s="5"/>
      <c r="K2364" s="5"/>
      <c r="L2364" s="33">
        <f t="shared" si="517"/>
        <v>940</v>
      </c>
      <c r="M2364" s="33">
        <f t="shared" si="518"/>
        <v>940</v>
      </c>
      <c r="N2364" s="22">
        <f t="shared" si="519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516"/>
        <v>8</v>
      </c>
      <c r="J2365" s="5"/>
      <c r="K2365" s="5"/>
      <c r="L2365" s="33">
        <f t="shared" si="517"/>
        <v>940</v>
      </c>
      <c r="M2365" s="33">
        <f t="shared" si="518"/>
        <v>940</v>
      </c>
      <c r="N2365" s="22">
        <f t="shared" si="519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516"/>
        <v>0</v>
      </c>
      <c r="J2366" s="5"/>
      <c r="K2366" s="5"/>
      <c r="L2366" s="33">
        <f t="shared" si="517"/>
        <v>0</v>
      </c>
      <c r="M2366" s="33">
        <f t="shared" si="518"/>
        <v>0</v>
      </c>
      <c r="N2366" s="22">
        <f t="shared" si="519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516"/>
        <v>4</v>
      </c>
      <c r="J2367" s="5"/>
      <c r="K2367" s="5"/>
      <c r="L2367" s="33">
        <f t="shared" si="517"/>
        <v>607</v>
      </c>
      <c r="M2367" s="33">
        <f t="shared" si="518"/>
        <v>607</v>
      </c>
      <c r="N2367" s="22">
        <f t="shared" si="519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516"/>
        <v>4</v>
      </c>
      <c r="J2368" s="5"/>
      <c r="K2368" s="5"/>
      <c r="L2368" s="33">
        <f t="shared" si="517"/>
        <v>470</v>
      </c>
      <c r="M2368" s="33">
        <f t="shared" si="518"/>
        <v>470</v>
      </c>
      <c r="N2368" s="22">
        <f t="shared" si="519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516"/>
        <v>80</v>
      </c>
      <c r="J2369" s="5"/>
      <c r="K2369" s="5"/>
      <c r="L2369" s="33">
        <f t="shared" si="517"/>
        <v>9404</v>
      </c>
      <c r="M2369" s="33">
        <f t="shared" si="518"/>
        <v>9404</v>
      </c>
      <c r="N2369" s="22">
        <f t="shared" si="519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516"/>
        <v>64</v>
      </c>
      <c r="J2370" s="5"/>
      <c r="K2370" s="5"/>
      <c r="L2370" s="33">
        <f t="shared" si="517"/>
        <v>9708</v>
      </c>
      <c r="M2370" s="33">
        <f t="shared" si="518"/>
        <v>9708</v>
      </c>
      <c r="N2370" s="22">
        <f t="shared" si="519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516"/>
        <v>64</v>
      </c>
      <c r="J2371" s="5"/>
      <c r="K2371" s="5"/>
      <c r="L2371" s="33">
        <f t="shared" si="517"/>
        <v>7523</v>
      </c>
      <c r="M2371" s="33">
        <f t="shared" si="518"/>
        <v>7523</v>
      </c>
      <c r="N2371" s="22">
        <f t="shared" si="519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516"/>
        <v>512</v>
      </c>
      <c r="J2372" s="5"/>
      <c r="K2372" s="5"/>
      <c r="L2372" s="33">
        <f t="shared" si="517"/>
        <v>60183</v>
      </c>
      <c r="M2372" s="33">
        <f t="shared" si="518"/>
        <v>60183</v>
      </c>
      <c r="N2372" s="22">
        <f t="shared" si="519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516"/>
        <v>8</v>
      </c>
      <c r="J2373" s="5"/>
      <c r="K2373" s="5"/>
      <c r="L2373" s="33">
        <f t="shared" si="517"/>
        <v>1250</v>
      </c>
      <c r="M2373" s="33">
        <f t="shared" si="518"/>
        <v>1250</v>
      </c>
      <c r="N2373" s="22">
        <f t="shared" si="519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516"/>
        <v>2</v>
      </c>
      <c r="J2374" s="5"/>
      <c r="K2374" s="5"/>
      <c r="L2374" s="33">
        <f t="shared" si="517"/>
        <v>242</v>
      </c>
      <c r="M2374" s="33">
        <f t="shared" si="518"/>
        <v>242</v>
      </c>
      <c r="N2374" s="22">
        <f t="shared" si="519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516"/>
        <v>32</v>
      </c>
      <c r="J2375" s="5"/>
      <c r="K2375" s="5"/>
      <c r="L2375" s="33">
        <f t="shared" si="517"/>
        <v>3874</v>
      </c>
      <c r="M2375" s="33">
        <f t="shared" si="518"/>
        <v>3874</v>
      </c>
      <c r="N2375" s="22">
        <f t="shared" si="519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516"/>
        <v>120</v>
      </c>
      <c r="J2376" s="5"/>
      <c r="K2376" s="5"/>
      <c r="L2376" s="33">
        <f t="shared" si="517"/>
        <v>16626</v>
      </c>
      <c r="M2376" s="33">
        <f t="shared" si="518"/>
        <v>16626</v>
      </c>
      <c r="N2376" s="22">
        <f t="shared" si="519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516"/>
        <v>4</v>
      </c>
      <c r="J2377" s="5"/>
      <c r="K2377" s="5"/>
      <c r="L2377" s="33">
        <f t="shared" si="517"/>
        <v>625</v>
      </c>
      <c r="M2377" s="33">
        <f t="shared" si="518"/>
        <v>625</v>
      </c>
      <c r="N2377" s="22">
        <f t="shared" si="519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516"/>
        <v>8</v>
      </c>
      <c r="J2378" s="5"/>
      <c r="K2378" s="5"/>
      <c r="L2378" s="33">
        <f t="shared" si="517"/>
        <v>1250</v>
      </c>
      <c r="M2378" s="33">
        <f t="shared" si="518"/>
        <v>1250</v>
      </c>
      <c r="N2378" s="22">
        <f t="shared" si="519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516"/>
        <v>2</v>
      </c>
      <c r="J2379" s="5"/>
      <c r="K2379" s="5"/>
      <c r="L2379" s="33">
        <f t="shared" si="517"/>
        <v>242</v>
      </c>
      <c r="M2379" s="33">
        <f t="shared" si="518"/>
        <v>242</v>
      </c>
      <c r="N2379" s="22">
        <f t="shared" si="519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516"/>
        <v>32</v>
      </c>
      <c r="J2380" s="5"/>
      <c r="K2380" s="5"/>
      <c r="L2380" s="33">
        <f t="shared" si="517"/>
        <v>3874</v>
      </c>
      <c r="M2380" s="33">
        <f t="shared" si="518"/>
        <v>3874</v>
      </c>
      <c r="N2380" s="22">
        <f t="shared" si="519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516"/>
        <v>4</v>
      </c>
      <c r="J2381" s="5"/>
      <c r="K2381" s="5"/>
      <c r="L2381" s="33">
        <f t="shared" si="517"/>
        <v>484</v>
      </c>
      <c r="M2381" s="33">
        <f t="shared" si="518"/>
        <v>484</v>
      </c>
      <c r="N2381" s="22">
        <f t="shared" si="519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516"/>
        <v>20</v>
      </c>
      <c r="J2382" s="5"/>
      <c r="K2382" s="5"/>
      <c r="L2382" s="33">
        <f t="shared" si="517"/>
        <v>2421</v>
      </c>
      <c r="M2382" s="33">
        <f t="shared" si="518"/>
        <v>2421</v>
      </c>
      <c r="N2382" s="22">
        <f t="shared" si="519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516"/>
        <v>80</v>
      </c>
      <c r="J2383" s="5"/>
      <c r="K2383" s="5"/>
      <c r="L2383" s="33">
        <f t="shared" si="517"/>
        <v>9686</v>
      </c>
      <c r="M2383" s="33">
        <f t="shared" si="518"/>
        <v>9686</v>
      </c>
      <c r="N2383" s="22">
        <f t="shared" si="519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516"/>
        <v>160</v>
      </c>
      <c r="J2384" s="5"/>
      <c r="K2384" s="5"/>
      <c r="L2384" s="33">
        <f t="shared" si="517"/>
        <v>19372</v>
      </c>
      <c r="M2384" s="33">
        <f t="shared" si="518"/>
        <v>19372</v>
      </c>
      <c r="N2384" s="22">
        <f t="shared" si="519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516"/>
        <v>80</v>
      </c>
      <c r="J2385" s="5"/>
      <c r="K2385" s="5"/>
      <c r="L2385" s="33">
        <f t="shared" si="517"/>
        <v>12499</v>
      </c>
      <c r="M2385" s="33">
        <f t="shared" si="518"/>
        <v>12499</v>
      </c>
      <c r="N2385" s="22">
        <f t="shared" si="519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516"/>
        <v>8</v>
      </c>
      <c r="J2386" s="5"/>
      <c r="K2386" s="5"/>
      <c r="L2386" s="33">
        <f t="shared" si="517"/>
        <v>1250</v>
      </c>
      <c r="M2386" s="33">
        <f t="shared" si="518"/>
        <v>1250</v>
      </c>
      <c r="N2386" s="22">
        <f t="shared" si="519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516"/>
        <v>8</v>
      </c>
      <c r="J2387" s="5"/>
      <c r="K2387" s="5"/>
      <c r="L2387" s="33">
        <f t="shared" si="517"/>
        <v>1250</v>
      </c>
      <c r="M2387" s="33">
        <f t="shared" si="518"/>
        <v>1250</v>
      </c>
      <c r="N2387" s="22">
        <f t="shared" si="519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516"/>
        <v>8</v>
      </c>
      <c r="J2388" s="5"/>
      <c r="K2388" s="5"/>
      <c r="L2388" s="33">
        <f t="shared" si="517"/>
        <v>969</v>
      </c>
      <c r="M2388" s="33">
        <f t="shared" si="518"/>
        <v>969</v>
      </c>
      <c r="N2388" s="22">
        <f t="shared" si="519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516"/>
        <v>8</v>
      </c>
      <c r="J2389" s="5"/>
      <c r="K2389" s="5"/>
      <c r="L2389" s="33">
        <f t="shared" si="517"/>
        <v>969</v>
      </c>
      <c r="M2389" s="33">
        <f t="shared" si="518"/>
        <v>969</v>
      </c>
      <c r="N2389" s="22">
        <f t="shared" si="519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516"/>
        <v>8</v>
      </c>
      <c r="J2390" s="5"/>
      <c r="K2390" s="5"/>
      <c r="L2390" s="33">
        <f t="shared" si="517"/>
        <v>969</v>
      </c>
      <c r="M2390" s="33">
        <f t="shared" si="518"/>
        <v>969</v>
      </c>
      <c r="N2390" s="22">
        <f t="shared" si="519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516"/>
        <v>8</v>
      </c>
      <c r="J2391" s="5"/>
      <c r="K2391" s="5"/>
      <c r="L2391" s="33">
        <f t="shared" si="517"/>
        <v>1250</v>
      </c>
      <c r="M2391" s="33">
        <f t="shared" si="518"/>
        <v>1250</v>
      </c>
      <c r="N2391" s="22">
        <f t="shared" si="519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516"/>
        <v>8</v>
      </c>
      <c r="J2392" s="5"/>
      <c r="K2392" s="5"/>
      <c r="L2392" s="33">
        <f t="shared" si="517"/>
        <v>1250</v>
      </c>
      <c r="M2392" s="33">
        <f t="shared" si="518"/>
        <v>1250</v>
      </c>
      <c r="N2392" s="22">
        <f t="shared" si="519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516"/>
        <v>8</v>
      </c>
      <c r="J2393" s="5"/>
      <c r="K2393" s="5"/>
      <c r="L2393" s="33">
        <f t="shared" si="517"/>
        <v>969</v>
      </c>
      <c r="M2393" s="33">
        <f t="shared" si="518"/>
        <v>969</v>
      </c>
      <c r="N2393" s="22">
        <f t="shared" si="519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516"/>
        <v>8</v>
      </c>
      <c r="J2394" s="5"/>
      <c r="K2394" s="5"/>
      <c r="L2394" s="33">
        <f t="shared" si="517"/>
        <v>969</v>
      </c>
      <c r="M2394" s="33">
        <f t="shared" si="518"/>
        <v>969</v>
      </c>
      <c r="N2394" s="22">
        <f t="shared" si="519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516"/>
        <v>8</v>
      </c>
      <c r="J2395" s="5"/>
      <c r="K2395" s="5"/>
      <c r="L2395" s="33">
        <f t="shared" si="517"/>
        <v>969</v>
      </c>
      <c r="M2395" s="33">
        <f t="shared" si="518"/>
        <v>969</v>
      </c>
      <c r="N2395" s="22">
        <f t="shared" si="519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516"/>
        <v>320</v>
      </c>
      <c r="J2396" s="5"/>
      <c r="K2396" s="5"/>
      <c r="L2396" s="33">
        <f t="shared" si="517"/>
        <v>58428</v>
      </c>
      <c r="M2396" s="33">
        <f t="shared" si="518"/>
        <v>58428</v>
      </c>
      <c r="N2396" s="22">
        <f t="shared" si="519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516"/>
        <v>160</v>
      </c>
      <c r="J2397" s="5"/>
      <c r="K2397" s="5"/>
      <c r="L2397" s="33">
        <f t="shared" si="517"/>
        <v>24997</v>
      </c>
      <c r="M2397" s="33">
        <f t="shared" si="518"/>
        <v>24997</v>
      </c>
      <c r="N2397" s="22">
        <f t="shared" si="519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516"/>
        <v>160</v>
      </c>
      <c r="J2398" s="5"/>
      <c r="K2398" s="5"/>
      <c r="L2398" s="33">
        <f t="shared" si="517"/>
        <v>19372</v>
      </c>
      <c r="M2398" s="33">
        <f t="shared" si="518"/>
        <v>19372</v>
      </c>
      <c r="N2398" s="22">
        <f t="shared" si="519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516"/>
        <v>32</v>
      </c>
      <c r="J2399" s="5"/>
      <c r="K2399" s="5"/>
      <c r="L2399" s="33">
        <f t="shared" si="517"/>
        <v>3874</v>
      </c>
      <c r="M2399" s="33">
        <f t="shared" si="518"/>
        <v>3874</v>
      </c>
      <c r="N2399" s="22">
        <f t="shared" si="519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516"/>
        <v>80000</v>
      </c>
      <c r="J2400" s="5"/>
      <c r="K2400" s="5"/>
      <c r="L2400" s="33">
        <f t="shared" si="517"/>
        <v>91034</v>
      </c>
      <c r="M2400" s="33">
        <f t="shared" si="518"/>
        <v>91034</v>
      </c>
      <c r="N2400" s="22">
        <f t="shared" si="519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516"/>
        <v>0</v>
      </c>
      <c r="J2401" s="5"/>
      <c r="K2401" s="5"/>
      <c r="L2401" s="33">
        <f t="shared" si="517"/>
        <v>0</v>
      </c>
      <c r="M2401" s="33">
        <f t="shared" si="518"/>
        <v>0</v>
      </c>
      <c r="N2401" s="22">
        <f t="shared" si="519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516"/>
        <v>500</v>
      </c>
      <c r="J2402" s="5"/>
      <c r="K2402" s="5"/>
      <c r="L2402" s="33">
        <f t="shared" si="517"/>
        <v>580</v>
      </c>
      <c r="M2402" s="33">
        <f t="shared" si="518"/>
        <v>580</v>
      </c>
      <c r="N2402" s="22">
        <f t="shared" si="519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516"/>
        <v>500</v>
      </c>
      <c r="J2403" s="5"/>
      <c r="K2403" s="5"/>
      <c r="L2403" s="33">
        <f t="shared" si="517"/>
        <v>580</v>
      </c>
      <c r="M2403" s="33">
        <f t="shared" si="518"/>
        <v>580</v>
      </c>
      <c r="N2403" s="22">
        <f t="shared" si="519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516"/>
        <v>500</v>
      </c>
      <c r="J2404" s="5"/>
      <c r="K2404" s="5"/>
      <c r="L2404" s="33">
        <f t="shared" si="517"/>
        <v>592</v>
      </c>
      <c r="M2404" s="33">
        <f t="shared" si="518"/>
        <v>592</v>
      </c>
      <c r="N2404" s="22">
        <f t="shared" si="519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516"/>
        <v>500</v>
      </c>
      <c r="J2405" s="5"/>
      <c r="K2405" s="5"/>
      <c r="L2405" s="33">
        <f t="shared" si="517"/>
        <v>592</v>
      </c>
      <c r="M2405" s="33">
        <f t="shared" si="518"/>
        <v>592</v>
      </c>
      <c r="N2405" s="22">
        <f t="shared" si="519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516"/>
        <v>500</v>
      </c>
      <c r="J2406" s="5"/>
      <c r="K2406" s="5"/>
      <c r="L2406" s="33">
        <f t="shared" si="517"/>
        <v>592</v>
      </c>
      <c r="M2406" s="33">
        <f t="shared" si="518"/>
        <v>592</v>
      </c>
      <c r="N2406" s="22">
        <f t="shared" si="519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516"/>
        <v>500</v>
      </c>
      <c r="J2407" s="5"/>
      <c r="K2407" s="5"/>
      <c r="L2407" s="33">
        <f t="shared" si="517"/>
        <v>592</v>
      </c>
      <c r="M2407" s="33">
        <f t="shared" si="518"/>
        <v>592</v>
      </c>
      <c r="N2407" s="22">
        <f t="shared" si="519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516"/>
        <v>500</v>
      </c>
      <c r="J2408" s="5"/>
      <c r="K2408" s="5"/>
      <c r="L2408" s="33">
        <f t="shared" si="517"/>
        <v>592</v>
      </c>
      <c r="M2408" s="33">
        <f t="shared" si="518"/>
        <v>592</v>
      </c>
      <c r="N2408" s="22">
        <f t="shared" si="519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516"/>
        <v>500</v>
      </c>
      <c r="J2409" s="5"/>
      <c r="K2409" s="5"/>
      <c r="L2409" s="33">
        <f t="shared" si="517"/>
        <v>592</v>
      </c>
      <c r="M2409" s="33">
        <f t="shared" si="518"/>
        <v>592</v>
      </c>
      <c r="N2409" s="22">
        <f t="shared" si="519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516"/>
        <v>3.0000000000000027</v>
      </c>
      <c r="J2410" s="5"/>
      <c r="K2410" s="5"/>
      <c r="L2410" s="33">
        <f t="shared" si="517"/>
        <v>441.80000000000041</v>
      </c>
      <c r="M2410" s="33">
        <f t="shared" si="518"/>
        <v>441.80000000000041</v>
      </c>
      <c r="N2410" s="22">
        <f t="shared" si="519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516"/>
        <v>6.0000000000000053</v>
      </c>
      <c r="J2411" s="5"/>
      <c r="K2411" s="5"/>
      <c r="L2411" s="33">
        <f t="shared" si="517"/>
        <v>684.75000000000057</v>
      </c>
      <c r="M2411" s="33">
        <f t="shared" si="518"/>
        <v>684.75000000000057</v>
      </c>
      <c r="N2411" s="22">
        <f t="shared" si="519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516"/>
        <v>80</v>
      </c>
      <c r="J2412" s="5"/>
      <c r="K2412" s="5"/>
      <c r="L2412" s="33">
        <f t="shared" si="517"/>
        <v>10615</v>
      </c>
      <c r="M2412" s="33">
        <f t="shared" si="518"/>
        <v>10615</v>
      </c>
      <c r="N2412" s="22">
        <f t="shared" si="519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516"/>
        <v>60</v>
      </c>
      <c r="J2413" s="5"/>
      <c r="K2413" s="5"/>
      <c r="L2413" s="33">
        <f t="shared" si="517"/>
        <v>7264</v>
      </c>
      <c r="M2413" s="33">
        <f t="shared" si="518"/>
        <v>7264</v>
      </c>
      <c r="N2413" s="22">
        <f t="shared" si="519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516"/>
        <v>60</v>
      </c>
      <c r="J2414" s="5"/>
      <c r="K2414" s="5"/>
      <c r="L2414" s="33">
        <f t="shared" si="517"/>
        <v>8313</v>
      </c>
      <c r="M2414" s="33">
        <f t="shared" si="518"/>
        <v>8313</v>
      </c>
      <c r="N2414" s="22">
        <f t="shared" si="519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516"/>
        <v>0</v>
      </c>
      <c r="J2415" s="5"/>
      <c r="K2415" s="5"/>
      <c r="L2415" s="33">
        <f t="shared" si="517"/>
        <v>0</v>
      </c>
      <c r="M2415" s="33">
        <f t="shared" si="518"/>
        <v>0</v>
      </c>
      <c r="N2415" s="22">
        <f t="shared" si="519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516"/>
        <v>0</v>
      </c>
      <c r="J2416" s="5"/>
      <c r="K2416" s="5"/>
      <c r="L2416" s="33">
        <f t="shared" si="517"/>
        <v>0</v>
      </c>
      <c r="M2416" s="33">
        <f t="shared" si="518"/>
        <v>0</v>
      </c>
      <c r="N2416" s="22">
        <f t="shared" si="519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516"/>
        <v>0</v>
      </c>
      <c r="J2417" s="5"/>
      <c r="K2417" s="5"/>
      <c r="L2417" s="33">
        <f t="shared" si="517"/>
        <v>0</v>
      </c>
      <c r="M2417" s="33">
        <f t="shared" si="518"/>
        <v>0</v>
      </c>
      <c r="N2417" s="22">
        <f t="shared" si="519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516"/>
        <v>0</v>
      </c>
      <c r="J2418" s="5"/>
      <c r="K2418" s="5"/>
      <c r="L2418" s="33">
        <f t="shared" si="517"/>
        <v>0</v>
      </c>
      <c r="M2418" s="33">
        <f t="shared" si="518"/>
        <v>0</v>
      </c>
      <c r="N2418" s="22">
        <f t="shared" si="519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516"/>
        <v>8</v>
      </c>
      <c r="J2419" s="5"/>
      <c r="K2419" s="5"/>
      <c r="L2419" s="33">
        <f t="shared" si="517"/>
        <v>1250</v>
      </c>
      <c r="M2419" s="33">
        <f t="shared" si="518"/>
        <v>1250</v>
      </c>
      <c r="N2419" s="22">
        <f t="shared" si="519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 t="shared" ref="I2420:I2421" si="520">D2420*(1-H2420)</f>
        <v>2</v>
      </c>
      <c r="J2420" s="5"/>
      <c r="K2420" s="5"/>
      <c r="L2420" s="33">
        <f t="shared" ref="L2420:L2421" si="521">E2420*(1-H2420)</f>
        <v>242</v>
      </c>
      <c r="M2420" s="33">
        <f t="shared" ref="M2420:M2421" si="522">IF(J2420="",L2420,(E2420/D2420)*J2420)</f>
        <v>242</v>
      </c>
      <c r="N2420" s="22">
        <f t="shared" ref="N2420:N2421" si="523"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 t="shared" si="520"/>
        <v>32</v>
      </c>
      <c r="J2421" s="5"/>
      <c r="K2421" s="5"/>
      <c r="L2421" s="33">
        <f t="shared" si="521"/>
        <v>3874</v>
      </c>
      <c r="M2421" s="33">
        <f t="shared" si="522"/>
        <v>3874</v>
      </c>
      <c r="N2421" s="22">
        <f t="shared" si="523"/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524">D2423*(1-H2423)</f>
        <v>0</v>
      </c>
      <c r="J2423" s="5"/>
      <c r="K2423" s="5"/>
      <c r="L2423" s="33">
        <f t="shared" ref="L2423:L2472" si="525">E2423*(1-H2423)</f>
        <v>0</v>
      </c>
      <c r="M2423" s="33">
        <f t="shared" ref="M2423:M2472" si="526">IF(J2423="",L2423,(E2423/D2423)*J2423)</f>
        <v>0</v>
      </c>
      <c r="N2423" s="22">
        <f t="shared" ref="N2423:N2472" si="527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524"/>
        <v>0</v>
      </c>
      <c r="J2424" s="5"/>
      <c r="K2424" s="5"/>
      <c r="L2424" s="33">
        <f t="shared" si="525"/>
        <v>0</v>
      </c>
      <c r="M2424" s="33">
        <f t="shared" si="526"/>
        <v>0</v>
      </c>
      <c r="N2424" s="22">
        <f t="shared" si="527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524"/>
        <v>0</v>
      </c>
      <c r="J2425" s="5"/>
      <c r="K2425" s="5"/>
      <c r="L2425" s="33">
        <f t="shared" si="525"/>
        <v>0</v>
      </c>
      <c r="M2425" s="33">
        <f t="shared" si="526"/>
        <v>0</v>
      </c>
      <c r="N2425" s="22">
        <f t="shared" si="527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524"/>
        <v>72</v>
      </c>
      <c r="J2426" s="5"/>
      <c r="K2426" s="5"/>
      <c r="L2426" s="33">
        <f t="shared" si="525"/>
        <v>10921.199999999999</v>
      </c>
      <c r="M2426" s="33">
        <f t="shared" si="526"/>
        <v>10921.199999999999</v>
      </c>
      <c r="N2426" s="22">
        <f t="shared" si="527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524"/>
        <v>28.799999999999997</v>
      </c>
      <c r="J2427" s="5"/>
      <c r="K2427" s="5"/>
      <c r="L2427" s="33">
        <f t="shared" si="525"/>
        <v>3385.2</v>
      </c>
      <c r="M2427" s="33">
        <f t="shared" si="526"/>
        <v>3385.2</v>
      </c>
      <c r="N2427" s="22">
        <f t="shared" si="527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524"/>
        <v>24</v>
      </c>
      <c r="J2428" s="5"/>
      <c r="K2428" s="5"/>
      <c r="L2428" s="33">
        <f t="shared" si="525"/>
        <v>2821.2</v>
      </c>
      <c r="M2428" s="33">
        <f t="shared" si="526"/>
        <v>2821.2</v>
      </c>
      <c r="N2428" s="22">
        <f t="shared" si="527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524"/>
        <v>48</v>
      </c>
      <c r="J2429" s="5"/>
      <c r="K2429" s="5"/>
      <c r="L2429" s="33">
        <f t="shared" si="525"/>
        <v>7281</v>
      </c>
      <c r="M2429" s="33">
        <f t="shared" si="526"/>
        <v>7281</v>
      </c>
      <c r="N2429" s="22">
        <f t="shared" si="527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524"/>
        <v>4.8</v>
      </c>
      <c r="J2430" s="5"/>
      <c r="K2430" s="5"/>
      <c r="L2430" s="33">
        <f t="shared" si="525"/>
        <v>564</v>
      </c>
      <c r="M2430" s="33">
        <f t="shared" si="526"/>
        <v>564</v>
      </c>
      <c r="N2430" s="22">
        <f t="shared" si="527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524"/>
        <v>24</v>
      </c>
      <c r="J2431" s="5"/>
      <c r="K2431" s="5"/>
      <c r="L2431" s="33">
        <f t="shared" si="525"/>
        <v>2821.2</v>
      </c>
      <c r="M2431" s="33">
        <f t="shared" si="526"/>
        <v>2821.2</v>
      </c>
      <c r="N2431" s="22">
        <f t="shared" si="527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524"/>
        <v>0</v>
      </c>
      <c r="J2432" s="5"/>
      <c r="K2432" s="5"/>
      <c r="L2432" s="33">
        <f t="shared" si="525"/>
        <v>0</v>
      </c>
      <c r="M2432" s="33">
        <f t="shared" si="526"/>
        <v>0</v>
      </c>
      <c r="N2432" s="22">
        <f t="shared" si="527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524"/>
        <v>0</v>
      </c>
      <c r="J2433" s="5"/>
      <c r="K2433" s="5"/>
      <c r="L2433" s="33">
        <f t="shared" si="525"/>
        <v>0</v>
      </c>
      <c r="M2433" s="33">
        <f t="shared" si="526"/>
        <v>0</v>
      </c>
      <c r="N2433" s="22">
        <f t="shared" si="527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524"/>
        <v>0</v>
      </c>
      <c r="J2434" s="5"/>
      <c r="K2434" s="5"/>
      <c r="L2434" s="33">
        <f t="shared" si="525"/>
        <v>0</v>
      </c>
      <c r="M2434" s="33">
        <f t="shared" si="526"/>
        <v>0</v>
      </c>
      <c r="N2434" s="22">
        <f t="shared" si="527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524"/>
        <v>0</v>
      </c>
      <c r="J2435" s="5"/>
      <c r="K2435" s="5"/>
      <c r="L2435" s="33">
        <f t="shared" si="525"/>
        <v>0</v>
      </c>
      <c r="M2435" s="33">
        <f t="shared" si="526"/>
        <v>0</v>
      </c>
      <c r="N2435" s="22">
        <f t="shared" si="527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524"/>
        <v>0</v>
      </c>
      <c r="J2436" s="5"/>
      <c r="K2436" s="5"/>
      <c r="L2436" s="33">
        <f t="shared" si="525"/>
        <v>0</v>
      </c>
      <c r="M2436" s="33">
        <f t="shared" si="526"/>
        <v>0</v>
      </c>
      <c r="N2436" s="22">
        <f t="shared" si="527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524"/>
        <v>0</v>
      </c>
      <c r="J2437" s="5"/>
      <c r="K2437" s="5"/>
      <c r="L2437" s="33">
        <f t="shared" si="525"/>
        <v>0</v>
      </c>
      <c r="M2437" s="33">
        <f t="shared" si="526"/>
        <v>0</v>
      </c>
      <c r="N2437" s="22">
        <f t="shared" si="527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524"/>
        <v>8</v>
      </c>
      <c r="J2438" s="5"/>
      <c r="K2438" s="5"/>
      <c r="L2438" s="33">
        <f t="shared" si="525"/>
        <v>1250</v>
      </c>
      <c r="M2438" s="33">
        <f t="shared" si="526"/>
        <v>1250</v>
      </c>
      <c r="N2438" s="22">
        <f t="shared" si="527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524"/>
        <v>64</v>
      </c>
      <c r="J2439" s="5"/>
      <c r="K2439" s="5"/>
      <c r="L2439" s="33">
        <f t="shared" si="525"/>
        <v>9999</v>
      </c>
      <c r="M2439" s="33">
        <f t="shared" si="526"/>
        <v>9999</v>
      </c>
      <c r="N2439" s="22">
        <f t="shared" si="527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524"/>
        <v>64</v>
      </c>
      <c r="J2440" s="5"/>
      <c r="K2440" s="5"/>
      <c r="L2440" s="33">
        <f t="shared" si="525"/>
        <v>7749</v>
      </c>
      <c r="M2440" s="33">
        <f t="shared" si="526"/>
        <v>7749</v>
      </c>
      <c r="N2440" s="22">
        <f t="shared" si="527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524"/>
        <v>512</v>
      </c>
      <c r="J2441" s="5"/>
      <c r="K2441" s="5"/>
      <c r="L2441" s="33">
        <f t="shared" si="525"/>
        <v>61989</v>
      </c>
      <c r="M2441" s="33">
        <f t="shared" si="526"/>
        <v>61989</v>
      </c>
      <c r="N2441" s="22">
        <f t="shared" si="527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524"/>
        <v>20</v>
      </c>
      <c r="J2442" s="5"/>
      <c r="K2442" s="5"/>
      <c r="L2442" s="33">
        <f t="shared" si="525"/>
        <v>2421</v>
      </c>
      <c r="M2442" s="33">
        <f t="shared" si="526"/>
        <v>2421</v>
      </c>
      <c r="N2442" s="22">
        <f t="shared" si="527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524"/>
        <v>160</v>
      </c>
      <c r="J2443" s="5"/>
      <c r="K2443" s="5"/>
      <c r="L2443" s="33">
        <f t="shared" si="525"/>
        <v>19372</v>
      </c>
      <c r="M2443" s="33">
        <f t="shared" si="526"/>
        <v>19372</v>
      </c>
      <c r="N2443" s="22">
        <f t="shared" si="527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524"/>
        <v>64</v>
      </c>
      <c r="J2444" s="5"/>
      <c r="K2444" s="5"/>
      <c r="L2444" s="33">
        <f t="shared" si="525"/>
        <v>7749</v>
      </c>
      <c r="M2444" s="33">
        <f t="shared" si="526"/>
        <v>7749</v>
      </c>
      <c r="N2444" s="22">
        <f t="shared" si="527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524"/>
        <v>32</v>
      </c>
      <c r="J2445" s="5"/>
      <c r="K2445" s="5"/>
      <c r="L2445" s="33">
        <f t="shared" si="525"/>
        <v>4999</v>
      </c>
      <c r="M2445" s="33">
        <f t="shared" si="526"/>
        <v>4999</v>
      </c>
      <c r="N2445" s="22">
        <f t="shared" si="527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524"/>
        <v>32</v>
      </c>
      <c r="J2446" s="5"/>
      <c r="K2446" s="5"/>
      <c r="L2446" s="33">
        <f t="shared" si="525"/>
        <v>3874</v>
      </c>
      <c r="M2446" s="33">
        <f t="shared" si="526"/>
        <v>3874</v>
      </c>
      <c r="N2446" s="22">
        <f t="shared" si="527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524"/>
        <v>320</v>
      </c>
      <c r="J2447" s="5"/>
      <c r="K2447" s="5"/>
      <c r="L2447" s="33">
        <f t="shared" si="525"/>
        <v>42460</v>
      </c>
      <c r="M2447" s="33">
        <f t="shared" si="526"/>
        <v>42460</v>
      </c>
      <c r="N2447" s="22">
        <f t="shared" si="527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524"/>
        <v>8</v>
      </c>
      <c r="J2448" s="5"/>
      <c r="K2448" s="5"/>
      <c r="L2448" s="33">
        <f t="shared" si="525"/>
        <v>1250</v>
      </c>
      <c r="M2448" s="33">
        <f t="shared" si="526"/>
        <v>1250</v>
      </c>
      <c r="N2448" s="22">
        <f t="shared" si="527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524"/>
        <v>8</v>
      </c>
      <c r="J2449" s="5"/>
      <c r="K2449" s="5"/>
      <c r="L2449" s="33">
        <f t="shared" si="525"/>
        <v>969</v>
      </c>
      <c r="M2449" s="33">
        <f t="shared" si="526"/>
        <v>969</v>
      </c>
      <c r="N2449" s="22">
        <f t="shared" si="527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524"/>
        <v>8</v>
      </c>
      <c r="J2450" s="5"/>
      <c r="K2450" s="5"/>
      <c r="L2450" s="33">
        <f t="shared" si="525"/>
        <v>969</v>
      </c>
      <c r="M2450" s="33">
        <f t="shared" si="526"/>
        <v>969</v>
      </c>
      <c r="N2450" s="22">
        <f t="shared" si="527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524"/>
        <v>8</v>
      </c>
      <c r="J2451" s="5"/>
      <c r="K2451" s="5"/>
      <c r="L2451" s="33">
        <f t="shared" si="525"/>
        <v>969</v>
      </c>
      <c r="M2451" s="33">
        <f t="shared" si="526"/>
        <v>969</v>
      </c>
      <c r="N2451" s="22">
        <f t="shared" si="527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524"/>
        <v>8</v>
      </c>
      <c r="J2452" s="5"/>
      <c r="K2452" s="5"/>
      <c r="L2452" s="33">
        <f t="shared" si="525"/>
        <v>1250</v>
      </c>
      <c r="M2452" s="33">
        <f t="shared" si="526"/>
        <v>1250</v>
      </c>
      <c r="N2452" s="22">
        <f t="shared" si="527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524"/>
        <v>8</v>
      </c>
      <c r="J2453" s="5"/>
      <c r="K2453" s="5"/>
      <c r="L2453" s="33">
        <f t="shared" si="525"/>
        <v>969</v>
      </c>
      <c r="M2453" s="33">
        <f t="shared" si="526"/>
        <v>969</v>
      </c>
      <c r="N2453" s="22">
        <f t="shared" si="527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524"/>
        <v>8</v>
      </c>
      <c r="J2454" s="5"/>
      <c r="K2454" s="5"/>
      <c r="L2454" s="33">
        <f t="shared" si="525"/>
        <v>969</v>
      </c>
      <c r="M2454" s="33">
        <f t="shared" si="526"/>
        <v>969</v>
      </c>
      <c r="N2454" s="22">
        <f t="shared" si="527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524"/>
        <v>8</v>
      </c>
      <c r="J2455" s="5"/>
      <c r="K2455" s="5"/>
      <c r="L2455" s="33">
        <f t="shared" si="525"/>
        <v>969</v>
      </c>
      <c r="M2455" s="33">
        <f t="shared" si="526"/>
        <v>969</v>
      </c>
      <c r="N2455" s="22">
        <f t="shared" si="527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524"/>
        <v>400</v>
      </c>
      <c r="J2456" s="5"/>
      <c r="K2456" s="5"/>
      <c r="L2456" s="33">
        <f t="shared" si="525"/>
        <v>73035</v>
      </c>
      <c r="M2456" s="33">
        <f t="shared" si="526"/>
        <v>73035</v>
      </c>
      <c r="N2456" s="22">
        <f t="shared" si="527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524"/>
        <v>40</v>
      </c>
      <c r="J2457" s="5"/>
      <c r="K2457" s="5"/>
      <c r="L2457" s="33">
        <f t="shared" si="525"/>
        <v>6249</v>
      </c>
      <c r="M2457" s="33">
        <f t="shared" si="526"/>
        <v>6249</v>
      </c>
      <c r="N2457" s="22">
        <f t="shared" si="527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524"/>
        <v>40</v>
      </c>
      <c r="J2458" s="5"/>
      <c r="K2458" s="5"/>
      <c r="L2458" s="33">
        <f t="shared" si="525"/>
        <v>4843</v>
      </c>
      <c r="M2458" s="33">
        <f t="shared" si="526"/>
        <v>4843</v>
      </c>
      <c r="N2458" s="22">
        <f t="shared" si="527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524"/>
        <v>40</v>
      </c>
      <c r="J2459" s="5"/>
      <c r="K2459" s="5"/>
      <c r="L2459" s="33">
        <f t="shared" si="525"/>
        <v>6249</v>
      </c>
      <c r="M2459" s="33">
        <f t="shared" si="526"/>
        <v>6249</v>
      </c>
      <c r="N2459" s="22">
        <f t="shared" si="527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524"/>
        <v>40</v>
      </c>
      <c r="J2460" s="5"/>
      <c r="K2460" s="5"/>
      <c r="L2460" s="33">
        <f t="shared" si="525"/>
        <v>4843</v>
      </c>
      <c r="M2460" s="33">
        <f t="shared" si="526"/>
        <v>4843</v>
      </c>
      <c r="N2460" s="22">
        <f t="shared" si="527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524"/>
        <v>40</v>
      </c>
      <c r="J2461" s="5"/>
      <c r="K2461" s="5"/>
      <c r="L2461" s="33">
        <f t="shared" si="525"/>
        <v>4843</v>
      </c>
      <c r="M2461" s="33">
        <f t="shared" si="526"/>
        <v>4843</v>
      </c>
      <c r="N2461" s="22">
        <f t="shared" si="527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524"/>
        <v>18000</v>
      </c>
      <c r="J2462" s="5"/>
      <c r="K2462" s="5"/>
      <c r="L2462" s="33">
        <f t="shared" si="525"/>
        <v>20892.599999999999</v>
      </c>
      <c r="M2462" s="33">
        <f t="shared" si="526"/>
        <v>20892.599999999999</v>
      </c>
      <c r="N2462" s="22">
        <f t="shared" si="527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524"/>
        <v>500</v>
      </c>
      <c r="J2463" s="5"/>
      <c r="K2463" s="5"/>
      <c r="L2463" s="33">
        <f t="shared" si="525"/>
        <v>592</v>
      </c>
      <c r="M2463" s="33">
        <f t="shared" si="526"/>
        <v>592</v>
      </c>
      <c r="N2463" s="22">
        <f t="shared" si="527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524"/>
        <v>500</v>
      </c>
      <c r="J2464" s="5"/>
      <c r="K2464" s="5"/>
      <c r="L2464" s="33">
        <f t="shared" si="525"/>
        <v>592</v>
      </c>
      <c r="M2464" s="33">
        <f t="shared" si="526"/>
        <v>592</v>
      </c>
      <c r="N2464" s="22">
        <f t="shared" si="527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524"/>
        <v>500</v>
      </c>
      <c r="J2465" s="5"/>
      <c r="K2465" s="5"/>
      <c r="L2465" s="33">
        <f t="shared" si="525"/>
        <v>592</v>
      </c>
      <c r="M2465" s="33">
        <f t="shared" si="526"/>
        <v>592</v>
      </c>
      <c r="N2465" s="22">
        <f t="shared" si="527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524"/>
        <v>500</v>
      </c>
      <c r="J2466" s="5"/>
      <c r="K2466" s="5"/>
      <c r="L2466" s="33">
        <f t="shared" si="525"/>
        <v>592</v>
      </c>
      <c r="M2466" s="33">
        <f t="shared" si="526"/>
        <v>592</v>
      </c>
      <c r="N2466" s="22">
        <f t="shared" si="527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524"/>
        <v>500</v>
      </c>
      <c r="J2467" s="5"/>
      <c r="K2467" s="5"/>
      <c r="L2467" s="33">
        <f t="shared" si="525"/>
        <v>592</v>
      </c>
      <c r="M2467" s="33">
        <f t="shared" si="526"/>
        <v>592</v>
      </c>
      <c r="N2467" s="22">
        <f t="shared" si="527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524"/>
        <v>80</v>
      </c>
      <c r="J2468" s="5"/>
      <c r="K2468" s="5"/>
      <c r="L2468" s="33">
        <f t="shared" si="525"/>
        <v>10615</v>
      </c>
      <c r="M2468" s="33">
        <f t="shared" si="526"/>
        <v>10615</v>
      </c>
      <c r="N2468" s="22">
        <f t="shared" si="527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524"/>
        <v>60</v>
      </c>
      <c r="J2469" s="5"/>
      <c r="K2469" s="5"/>
      <c r="L2469" s="33">
        <f t="shared" si="525"/>
        <v>7264</v>
      </c>
      <c r="M2469" s="33">
        <f t="shared" si="526"/>
        <v>7264</v>
      </c>
      <c r="N2469" s="22">
        <f t="shared" si="527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524"/>
        <v>60</v>
      </c>
      <c r="J2470" s="5"/>
      <c r="K2470" s="5"/>
      <c r="L2470" s="33">
        <f t="shared" si="525"/>
        <v>8313</v>
      </c>
      <c r="M2470" s="33">
        <f t="shared" si="526"/>
        <v>8313</v>
      </c>
      <c r="N2470" s="22">
        <f t="shared" si="527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524"/>
        <v>120</v>
      </c>
      <c r="J2471" s="5"/>
      <c r="K2471" s="5"/>
      <c r="L2471" s="33">
        <f t="shared" si="525"/>
        <v>15923</v>
      </c>
      <c r="M2471" s="33">
        <f t="shared" si="526"/>
        <v>15923</v>
      </c>
      <c r="N2471" s="22">
        <f t="shared" si="527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524"/>
        <v>64</v>
      </c>
      <c r="J2472" s="5"/>
      <c r="K2472" s="5"/>
      <c r="L2472" s="33">
        <f t="shared" si="525"/>
        <v>7749</v>
      </c>
      <c r="M2472" s="33">
        <f t="shared" si="526"/>
        <v>7749</v>
      </c>
      <c r="N2472" s="22">
        <f t="shared" si="527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528">D2474*(1-H2474)</f>
        <v>60</v>
      </c>
      <c r="J2474" s="5"/>
      <c r="K2474" s="5"/>
      <c r="L2474" s="33">
        <f t="shared" ref="L2474:L2531" si="529">E2474*(1-H2474)</f>
        <v>9101</v>
      </c>
      <c r="M2474" s="33">
        <f t="shared" ref="M2474:M2531" si="530">IF(J2474="",L2474,(E2474/D2474)*J2474)</f>
        <v>9101</v>
      </c>
      <c r="N2474" s="22">
        <f t="shared" ref="N2474:N2531" si="531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528"/>
        <v>20</v>
      </c>
      <c r="J2475" s="5"/>
      <c r="K2475" s="5"/>
      <c r="L2475" s="33">
        <f t="shared" si="529"/>
        <v>2351</v>
      </c>
      <c r="M2475" s="33">
        <f t="shared" si="530"/>
        <v>2351</v>
      </c>
      <c r="N2475" s="22">
        <f t="shared" si="531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528"/>
        <v>20</v>
      </c>
      <c r="J2476" s="5"/>
      <c r="K2476" s="5"/>
      <c r="L2476" s="33">
        <f t="shared" si="529"/>
        <v>3033.5</v>
      </c>
      <c r="M2476" s="33">
        <f t="shared" si="530"/>
        <v>3033.5</v>
      </c>
      <c r="N2476" s="22">
        <f t="shared" si="531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528"/>
        <v>4</v>
      </c>
      <c r="J2477" s="5"/>
      <c r="K2477" s="5"/>
      <c r="L2477" s="33">
        <f t="shared" si="529"/>
        <v>470</v>
      </c>
      <c r="M2477" s="33">
        <f t="shared" si="530"/>
        <v>470</v>
      </c>
      <c r="N2477" s="22">
        <f t="shared" si="531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528"/>
        <v>10</v>
      </c>
      <c r="J2478" s="5"/>
      <c r="K2478" s="5"/>
      <c r="L2478" s="33">
        <f t="shared" si="529"/>
        <v>1175.5</v>
      </c>
      <c r="M2478" s="33">
        <f t="shared" si="530"/>
        <v>1175.5</v>
      </c>
      <c r="N2478" s="22">
        <f t="shared" si="531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528"/>
        <v>8</v>
      </c>
      <c r="J2479" s="5"/>
      <c r="K2479" s="5"/>
      <c r="L2479" s="33">
        <f t="shared" si="529"/>
        <v>1213</v>
      </c>
      <c r="M2479" s="33">
        <f t="shared" si="530"/>
        <v>1213</v>
      </c>
      <c r="N2479" s="22">
        <f t="shared" si="531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528"/>
        <v>8</v>
      </c>
      <c r="J2480" s="5"/>
      <c r="K2480" s="5"/>
      <c r="L2480" s="33">
        <f t="shared" si="529"/>
        <v>940</v>
      </c>
      <c r="M2480" s="33">
        <f t="shared" si="530"/>
        <v>940</v>
      </c>
      <c r="N2480" s="22">
        <f t="shared" si="531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528"/>
        <v>8</v>
      </c>
      <c r="J2481" s="5"/>
      <c r="K2481" s="5"/>
      <c r="L2481" s="33">
        <f t="shared" si="529"/>
        <v>940</v>
      </c>
      <c r="M2481" s="33">
        <f t="shared" si="530"/>
        <v>940</v>
      </c>
      <c r="N2481" s="22">
        <f t="shared" si="531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528"/>
        <v>8</v>
      </c>
      <c r="J2482" s="5"/>
      <c r="K2482" s="5"/>
      <c r="L2482" s="33">
        <f t="shared" si="529"/>
        <v>1213</v>
      </c>
      <c r="M2482" s="33">
        <f t="shared" si="530"/>
        <v>1213</v>
      </c>
      <c r="N2482" s="22">
        <f t="shared" si="531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528"/>
        <v>8</v>
      </c>
      <c r="J2483" s="5"/>
      <c r="K2483" s="5"/>
      <c r="L2483" s="33">
        <f t="shared" si="529"/>
        <v>940</v>
      </c>
      <c r="M2483" s="33">
        <f t="shared" si="530"/>
        <v>940</v>
      </c>
      <c r="N2483" s="22">
        <f t="shared" si="531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528"/>
        <v>8</v>
      </c>
      <c r="J2484" s="5"/>
      <c r="K2484" s="5"/>
      <c r="L2484" s="33">
        <f t="shared" si="529"/>
        <v>940</v>
      </c>
      <c r="M2484" s="33">
        <f t="shared" si="530"/>
        <v>940</v>
      </c>
      <c r="N2484" s="22">
        <f t="shared" si="531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528"/>
        <v>8</v>
      </c>
      <c r="J2485" s="5"/>
      <c r="K2485" s="5"/>
      <c r="L2485" s="33">
        <f t="shared" si="529"/>
        <v>1250</v>
      </c>
      <c r="M2485" s="33">
        <f t="shared" si="530"/>
        <v>1250</v>
      </c>
      <c r="N2485" s="22">
        <f t="shared" si="531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528"/>
        <v>24</v>
      </c>
      <c r="J2486" s="5"/>
      <c r="K2486" s="5"/>
      <c r="L2486" s="33">
        <f t="shared" si="529"/>
        <v>2906</v>
      </c>
      <c r="M2486" s="33">
        <f t="shared" si="530"/>
        <v>2906</v>
      </c>
      <c r="N2486" s="22">
        <f t="shared" si="531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528"/>
        <v>8</v>
      </c>
      <c r="J2487" s="5"/>
      <c r="K2487" s="5"/>
      <c r="L2487" s="33">
        <f t="shared" si="529"/>
        <v>969</v>
      </c>
      <c r="M2487" s="33">
        <f t="shared" si="530"/>
        <v>969</v>
      </c>
      <c r="N2487" s="22">
        <f t="shared" si="531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528"/>
        <v>4</v>
      </c>
      <c r="J2488" s="5"/>
      <c r="K2488" s="5"/>
      <c r="L2488" s="33">
        <f t="shared" si="529"/>
        <v>625</v>
      </c>
      <c r="M2488" s="33">
        <f t="shared" si="530"/>
        <v>625</v>
      </c>
      <c r="N2488" s="22">
        <f t="shared" si="531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528"/>
        <v>16</v>
      </c>
      <c r="J2489" s="5"/>
      <c r="K2489" s="5"/>
      <c r="L2489" s="33">
        <f t="shared" si="529"/>
        <v>1937</v>
      </c>
      <c r="M2489" s="33">
        <f t="shared" si="530"/>
        <v>1937</v>
      </c>
      <c r="N2489" s="22">
        <f t="shared" si="531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528"/>
        <v>80</v>
      </c>
      <c r="J2490" s="5"/>
      <c r="K2490" s="5"/>
      <c r="L2490" s="33">
        <f t="shared" si="529"/>
        <v>9686</v>
      </c>
      <c r="M2490" s="33">
        <f t="shared" si="530"/>
        <v>9686</v>
      </c>
      <c r="N2490" s="22">
        <f t="shared" si="531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528"/>
        <v>8</v>
      </c>
      <c r="J2491" s="5"/>
      <c r="K2491" s="5"/>
      <c r="L2491" s="33">
        <f t="shared" si="529"/>
        <v>851</v>
      </c>
      <c r="M2491" s="33">
        <f t="shared" si="530"/>
        <v>851</v>
      </c>
      <c r="N2491" s="22">
        <f t="shared" si="531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528"/>
        <v>20</v>
      </c>
      <c r="J2492" s="5"/>
      <c r="K2492" s="5"/>
      <c r="L2492" s="33">
        <f t="shared" si="529"/>
        <v>2421</v>
      </c>
      <c r="M2492" s="33">
        <f t="shared" si="530"/>
        <v>2421</v>
      </c>
      <c r="N2492" s="22">
        <f t="shared" si="531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528"/>
        <v>120</v>
      </c>
      <c r="J2493" s="5"/>
      <c r="K2493" s="5"/>
      <c r="L2493" s="33">
        <f t="shared" si="529"/>
        <v>14529</v>
      </c>
      <c r="M2493" s="33">
        <f t="shared" si="530"/>
        <v>14529</v>
      </c>
      <c r="N2493" s="22">
        <f t="shared" si="531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528"/>
        <v>60</v>
      </c>
      <c r="J2494" s="5"/>
      <c r="K2494" s="5"/>
      <c r="L2494" s="33">
        <f t="shared" si="529"/>
        <v>7264</v>
      </c>
      <c r="M2494" s="33">
        <f t="shared" si="530"/>
        <v>7264</v>
      </c>
      <c r="N2494" s="22">
        <f t="shared" si="531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528"/>
        <v>24</v>
      </c>
      <c r="J2495" s="5"/>
      <c r="K2495" s="5"/>
      <c r="L2495" s="33">
        <f t="shared" si="529"/>
        <v>3750</v>
      </c>
      <c r="M2495" s="33">
        <f t="shared" si="530"/>
        <v>3750</v>
      </c>
      <c r="N2495" s="22">
        <f t="shared" si="531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528"/>
        <v>24</v>
      </c>
      <c r="J2496" s="5"/>
      <c r="K2496" s="5"/>
      <c r="L2496" s="33">
        <f t="shared" si="529"/>
        <v>2906</v>
      </c>
      <c r="M2496" s="33">
        <f t="shared" si="530"/>
        <v>2906</v>
      </c>
      <c r="N2496" s="22">
        <f t="shared" si="531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528"/>
        <v>240</v>
      </c>
      <c r="J2497" s="5"/>
      <c r="K2497" s="5"/>
      <c r="L2497" s="33">
        <f t="shared" si="529"/>
        <v>31845</v>
      </c>
      <c r="M2497" s="33">
        <f t="shared" si="530"/>
        <v>31845</v>
      </c>
      <c r="N2497" s="22">
        <f t="shared" si="531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528"/>
        <v>8</v>
      </c>
      <c r="J2498" s="5"/>
      <c r="K2498" s="5"/>
      <c r="L2498" s="33">
        <f t="shared" si="529"/>
        <v>1250</v>
      </c>
      <c r="M2498" s="33">
        <f t="shared" si="530"/>
        <v>1250</v>
      </c>
      <c r="N2498" s="22">
        <f t="shared" si="531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528"/>
        <v>8</v>
      </c>
      <c r="J2499" s="5"/>
      <c r="K2499" s="5"/>
      <c r="L2499" s="33">
        <f t="shared" si="529"/>
        <v>969</v>
      </c>
      <c r="M2499" s="33">
        <f t="shared" si="530"/>
        <v>969</v>
      </c>
      <c r="N2499" s="22">
        <f t="shared" si="531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528"/>
        <v>8</v>
      </c>
      <c r="J2500" s="5"/>
      <c r="K2500" s="5"/>
      <c r="L2500" s="33">
        <f t="shared" si="529"/>
        <v>969</v>
      </c>
      <c r="M2500" s="33">
        <f t="shared" si="530"/>
        <v>969</v>
      </c>
      <c r="N2500" s="22">
        <f t="shared" si="531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528"/>
        <v>8</v>
      </c>
      <c r="J2501" s="5"/>
      <c r="K2501" s="5"/>
      <c r="L2501" s="33">
        <f t="shared" si="529"/>
        <v>1074</v>
      </c>
      <c r="M2501" s="33">
        <f t="shared" si="530"/>
        <v>1074</v>
      </c>
      <c r="N2501" s="22">
        <f t="shared" si="531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528"/>
        <v>8</v>
      </c>
      <c r="J2502" s="5"/>
      <c r="K2502" s="5"/>
      <c r="L2502" s="33">
        <f t="shared" si="529"/>
        <v>1250</v>
      </c>
      <c r="M2502" s="33">
        <f t="shared" si="530"/>
        <v>1250</v>
      </c>
      <c r="N2502" s="22">
        <f t="shared" si="531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528"/>
        <v>8</v>
      </c>
      <c r="J2503" s="5"/>
      <c r="K2503" s="5"/>
      <c r="L2503" s="33">
        <f t="shared" si="529"/>
        <v>969</v>
      </c>
      <c r="M2503" s="33">
        <f t="shared" si="530"/>
        <v>969</v>
      </c>
      <c r="N2503" s="22">
        <f t="shared" si="531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528"/>
        <v>8</v>
      </c>
      <c r="J2504" s="5"/>
      <c r="K2504" s="5"/>
      <c r="L2504" s="33">
        <f t="shared" si="529"/>
        <v>1074</v>
      </c>
      <c r="M2504" s="33">
        <f t="shared" si="530"/>
        <v>1074</v>
      </c>
      <c r="N2504" s="22">
        <f t="shared" si="531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528"/>
        <v>8</v>
      </c>
      <c r="J2505" s="5"/>
      <c r="K2505" s="5"/>
      <c r="L2505" s="33">
        <f t="shared" si="529"/>
        <v>969</v>
      </c>
      <c r="M2505" s="33">
        <f t="shared" si="530"/>
        <v>969</v>
      </c>
      <c r="N2505" s="22">
        <f t="shared" si="531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528"/>
        <v>40</v>
      </c>
      <c r="J2506" s="5"/>
      <c r="K2506" s="5"/>
      <c r="L2506" s="33">
        <f t="shared" si="529"/>
        <v>6262</v>
      </c>
      <c r="M2506" s="33">
        <f t="shared" si="530"/>
        <v>6262</v>
      </c>
      <c r="N2506" s="22">
        <f t="shared" si="531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528"/>
        <v>40</v>
      </c>
      <c r="J2507" s="5"/>
      <c r="K2507" s="5"/>
      <c r="L2507" s="33">
        <f t="shared" si="529"/>
        <v>4853</v>
      </c>
      <c r="M2507" s="33">
        <f t="shared" si="530"/>
        <v>4853</v>
      </c>
      <c r="N2507" s="22">
        <f t="shared" si="531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528"/>
        <v>400</v>
      </c>
      <c r="J2508" s="5"/>
      <c r="K2508" s="5"/>
      <c r="L2508" s="33">
        <f t="shared" si="529"/>
        <v>73181</v>
      </c>
      <c r="M2508" s="33">
        <f t="shared" si="530"/>
        <v>73181</v>
      </c>
      <c r="N2508" s="22">
        <f t="shared" si="531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528"/>
        <v>40</v>
      </c>
      <c r="J2509" s="5"/>
      <c r="K2509" s="5"/>
      <c r="L2509" s="33">
        <f t="shared" si="529"/>
        <v>4853</v>
      </c>
      <c r="M2509" s="33">
        <f t="shared" si="530"/>
        <v>4853</v>
      </c>
      <c r="N2509" s="22">
        <f t="shared" si="531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528"/>
        <v>40</v>
      </c>
      <c r="J2510" s="5"/>
      <c r="K2510" s="5"/>
      <c r="L2510" s="33">
        <f t="shared" si="529"/>
        <v>6262</v>
      </c>
      <c r="M2510" s="33">
        <f t="shared" si="530"/>
        <v>6262</v>
      </c>
      <c r="N2510" s="22">
        <f t="shared" si="531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528"/>
        <v>40</v>
      </c>
      <c r="J2511" s="5"/>
      <c r="K2511" s="5"/>
      <c r="L2511" s="33">
        <f t="shared" si="529"/>
        <v>4853</v>
      </c>
      <c r="M2511" s="33">
        <f t="shared" si="530"/>
        <v>4853</v>
      </c>
      <c r="N2511" s="22">
        <f t="shared" si="531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528"/>
        <v>30000</v>
      </c>
      <c r="J2512" s="5"/>
      <c r="K2512" s="5"/>
      <c r="L2512" s="33">
        <f t="shared" si="529"/>
        <v>34821</v>
      </c>
      <c r="M2512" s="33">
        <f t="shared" si="530"/>
        <v>34821</v>
      </c>
      <c r="N2512" s="22">
        <f t="shared" si="531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528"/>
        <v>500</v>
      </c>
      <c r="J2513" s="5"/>
      <c r="K2513" s="5"/>
      <c r="L2513" s="33">
        <f t="shared" si="529"/>
        <v>592</v>
      </c>
      <c r="M2513" s="33">
        <f t="shared" si="530"/>
        <v>592</v>
      </c>
      <c r="N2513" s="22">
        <f t="shared" si="531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528"/>
        <v>500</v>
      </c>
      <c r="J2514" s="5"/>
      <c r="K2514" s="5"/>
      <c r="L2514" s="33">
        <f t="shared" si="529"/>
        <v>592</v>
      </c>
      <c r="M2514" s="33">
        <f t="shared" si="530"/>
        <v>592</v>
      </c>
      <c r="N2514" s="22">
        <f t="shared" si="531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528"/>
        <v>500</v>
      </c>
      <c r="J2515" s="5"/>
      <c r="K2515" s="5"/>
      <c r="L2515" s="33">
        <f t="shared" si="529"/>
        <v>592</v>
      </c>
      <c r="M2515" s="33">
        <f t="shared" si="530"/>
        <v>592</v>
      </c>
      <c r="N2515" s="22">
        <f t="shared" si="531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528"/>
        <v>500</v>
      </c>
      <c r="J2516" s="5"/>
      <c r="K2516" s="5"/>
      <c r="L2516" s="33">
        <f t="shared" si="529"/>
        <v>592</v>
      </c>
      <c r="M2516" s="33">
        <f t="shared" si="530"/>
        <v>592</v>
      </c>
      <c r="N2516" s="22">
        <f t="shared" si="531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528"/>
        <v>500</v>
      </c>
      <c r="J2517" s="5"/>
      <c r="K2517" s="5"/>
      <c r="L2517" s="33">
        <f t="shared" si="529"/>
        <v>592</v>
      </c>
      <c r="M2517" s="33">
        <f t="shared" si="530"/>
        <v>592</v>
      </c>
      <c r="N2517" s="22">
        <f t="shared" si="531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528"/>
        <v>500</v>
      </c>
      <c r="J2518" s="5"/>
      <c r="K2518" s="5"/>
      <c r="L2518" s="33">
        <f t="shared" si="529"/>
        <v>593</v>
      </c>
      <c r="M2518" s="33">
        <f t="shared" si="530"/>
        <v>593</v>
      </c>
      <c r="N2518" s="22">
        <f t="shared" si="531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528"/>
        <v>4</v>
      </c>
      <c r="J2519" s="5"/>
      <c r="K2519" s="5"/>
      <c r="L2519" s="33">
        <f t="shared" si="529"/>
        <v>625</v>
      </c>
      <c r="M2519" s="33">
        <f t="shared" si="530"/>
        <v>625</v>
      </c>
      <c r="N2519" s="22">
        <f t="shared" si="531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528"/>
        <v>16</v>
      </c>
      <c r="J2520" s="5"/>
      <c r="K2520" s="5"/>
      <c r="L2520" s="33">
        <f t="shared" si="529"/>
        <v>1937</v>
      </c>
      <c r="M2520" s="33">
        <f t="shared" si="530"/>
        <v>1937</v>
      </c>
      <c r="N2520" s="22">
        <f t="shared" si="531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528"/>
        <v>8</v>
      </c>
      <c r="J2521" s="5"/>
      <c r="K2521" s="5"/>
      <c r="L2521" s="33">
        <f t="shared" si="529"/>
        <v>1250</v>
      </c>
      <c r="M2521" s="33">
        <f t="shared" si="530"/>
        <v>1250</v>
      </c>
      <c r="N2521" s="22">
        <f t="shared" si="531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528"/>
        <v>80</v>
      </c>
      <c r="J2522" s="5"/>
      <c r="K2522" s="5"/>
      <c r="L2522" s="33">
        <f t="shared" si="529"/>
        <v>10615</v>
      </c>
      <c r="M2522" s="33">
        <f t="shared" si="530"/>
        <v>10615</v>
      </c>
      <c r="N2522" s="22">
        <f t="shared" si="531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528"/>
        <v>60</v>
      </c>
      <c r="J2523" s="5"/>
      <c r="K2523" s="5"/>
      <c r="L2523" s="33">
        <f t="shared" si="529"/>
        <v>7264</v>
      </c>
      <c r="M2523" s="33">
        <f t="shared" si="530"/>
        <v>7264</v>
      </c>
      <c r="N2523" s="22">
        <f t="shared" si="531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528"/>
        <v>60</v>
      </c>
      <c r="J2524" s="5"/>
      <c r="K2524" s="5"/>
      <c r="L2524" s="33">
        <f t="shared" si="529"/>
        <v>8313</v>
      </c>
      <c r="M2524" s="33">
        <f t="shared" si="530"/>
        <v>8313</v>
      </c>
      <c r="N2524" s="22">
        <f t="shared" si="531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528"/>
        <v>3.8500000000000032</v>
      </c>
      <c r="J2525" s="5"/>
      <c r="K2525" s="5"/>
      <c r="L2525" s="33">
        <f t="shared" si="529"/>
        <v>584.00000000000057</v>
      </c>
      <c r="M2525" s="33">
        <f t="shared" si="530"/>
        <v>584.00000000000057</v>
      </c>
      <c r="N2525" s="22">
        <f t="shared" si="531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528"/>
        <v>2.4000000000000021</v>
      </c>
      <c r="J2526" s="5"/>
      <c r="K2526" s="5"/>
      <c r="L2526" s="33">
        <f t="shared" si="529"/>
        <v>282.10000000000025</v>
      </c>
      <c r="M2526" s="33">
        <f t="shared" si="530"/>
        <v>282.10000000000025</v>
      </c>
      <c r="N2526" s="22">
        <f t="shared" si="531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528"/>
        <v>3.8500000000000032</v>
      </c>
      <c r="J2527" s="5"/>
      <c r="K2527" s="5"/>
      <c r="L2527" s="33">
        <f t="shared" si="529"/>
        <v>452.55000000000041</v>
      </c>
      <c r="M2527" s="33">
        <f t="shared" si="530"/>
        <v>452.55000000000041</v>
      </c>
      <c r="N2527" s="22">
        <f t="shared" si="531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528"/>
        <v>4</v>
      </c>
      <c r="J2528" s="5"/>
      <c r="K2528" s="5"/>
      <c r="L2528" s="33">
        <f t="shared" si="529"/>
        <v>625</v>
      </c>
      <c r="M2528" s="33">
        <f t="shared" si="530"/>
        <v>625</v>
      </c>
      <c r="N2528" s="22">
        <f t="shared" si="531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528"/>
        <v>16</v>
      </c>
      <c r="J2529" s="5"/>
      <c r="K2529" s="5"/>
      <c r="L2529" s="33">
        <f t="shared" si="529"/>
        <v>1937</v>
      </c>
      <c r="M2529" s="33">
        <f t="shared" si="530"/>
        <v>1937</v>
      </c>
      <c r="N2529" s="22">
        <f t="shared" si="531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528"/>
        <v>60</v>
      </c>
      <c r="J2530" s="5"/>
      <c r="K2530" s="5"/>
      <c r="L2530" s="33">
        <f t="shared" si="529"/>
        <v>7264</v>
      </c>
      <c r="M2530" s="33">
        <f t="shared" si="530"/>
        <v>7264</v>
      </c>
      <c r="N2530" s="22">
        <f t="shared" si="531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528"/>
        <v>36</v>
      </c>
      <c r="J2531" s="5"/>
      <c r="K2531" s="5"/>
      <c r="L2531" s="33">
        <f t="shared" si="529"/>
        <v>4777</v>
      </c>
      <c r="M2531" s="33">
        <f t="shared" si="530"/>
        <v>4777</v>
      </c>
      <c r="N2531" s="22">
        <f t="shared" si="531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532">D2533*(1-H2533)</f>
        <v>5.9999999999999982</v>
      </c>
      <c r="J2533" s="5"/>
      <c r="K2533" s="5"/>
      <c r="L2533" s="33">
        <f t="shared" ref="L2533:L2583" si="533">E2533*(1-H2533)</f>
        <v>909.99999999999977</v>
      </c>
      <c r="M2533" s="33">
        <f t="shared" ref="M2533:M2583" si="534">IF(J2533="",L2533,(E2533/D2533)*J2533)</f>
        <v>909.99999999999977</v>
      </c>
      <c r="N2533" s="22">
        <f t="shared" ref="N2533:N2583" si="535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532"/>
        <v>11.999999999999996</v>
      </c>
      <c r="J2534" s="5"/>
      <c r="K2534" s="5"/>
      <c r="L2534" s="33">
        <f t="shared" si="533"/>
        <v>1410.5999999999997</v>
      </c>
      <c r="M2534" s="33">
        <f t="shared" si="534"/>
        <v>1410.5999999999997</v>
      </c>
      <c r="N2534" s="22">
        <f t="shared" si="535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532"/>
        <v>60</v>
      </c>
      <c r="J2535" s="5"/>
      <c r="K2535" s="5"/>
      <c r="L2535" s="33">
        <f t="shared" si="533"/>
        <v>9101</v>
      </c>
      <c r="M2535" s="33">
        <f t="shared" si="534"/>
        <v>9101</v>
      </c>
      <c r="N2535" s="22">
        <f t="shared" si="535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532"/>
        <v>20</v>
      </c>
      <c r="J2536" s="5"/>
      <c r="K2536" s="5"/>
      <c r="L2536" s="33">
        <f t="shared" si="533"/>
        <v>2351</v>
      </c>
      <c r="M2536" s="33">
        <f t="shared" si="534"/>
        <v>2351</v>
      </c>
      <c r="N2536" s="22">
        <f t="shared" si="535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532"/>
        <v>40</v>
      </c>
      <c r="J2537" s="5"/>
      <c r="K2537" s="5"/>
      <c r="L2537" s="33">
        <f t="shared" si="533"/>
        <v>6067</v>
      </c>
      <c r="M2537" s="33">
        <f t="shared" si="534"/>
        <v>6067</v>
      </c>
      <c r="N2537" s="22">
        <f t="shared" si="535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532"/>
        <v>20</v>
      </c>
      <c r="J2538" s="5"/>
      <c r="K2538" s="5"/>
      <c r="L2538" s="33">
        <f t="shared" si="533"/>
        <v>2351</v>
      </c>
      <c r="M2538" s="33">
        <f t="shared" si="534"/>
        <v>2351</v>
      </c>
      <c r="N2538" s="22">
        <f t="shared" si="535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532"/>
        <v>8</v>
      </c>
      <c r="J2539" s="5"/>
      <c r="K2539" s="5"/>
      <c r="L2539" s="33">
        <f t="shared" si="533"/>
        <v>1213</v>
      </c>
      <c r="M2539" s="33">
        <f t="shared" si="534"/>
        <v>1213</v>
      </c>
      <c r="N2539" s="22">
        <f t="shared" si="535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532"/>
        <v>8</v>
      </c>
      <c r="J2540" s="5"/>
      <c r="K2540" s="5"/>
      <c r="L2540" s="33">
        <f t="shared" si="533"/>
        <v>940</v>
      </c>
      <c r="M2540" s="33">
        <f t="shared" si="534"/>
        <v>940</v>
      </c>
      <c r="N2540" s="22">
        <f t="shared" si="535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532"/>
        <v>8</v>
      </c>
      <c r="J2541" s="5"/>
      <c r="K2541" s="5"/>
      <c r="L2541" s="33">
        <f t="shared" si="533"/>
        <v>940</v>
      </c>
      <c r="M2541" s="33">
        <f t="shared" si="534"/>
        <v>940</v>
      </c>
      <c r="N2541" s="22">
        <f t="shared" si="535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532"/>
        <v>8</v>
      </c>
      <c r="J2542" s="5"/>
      <c r="K2542" s="5"/>
      <c r="L2542" s="33">
        <f t="shared" si="533"/>
        <v>1213</v>
      </c>
      <c r="M2542" s="33">
        <f t="shared" si="534"/>
        <v>1213</v>
      </c>
      <c r="N2542" s="22">
        <f t="shared" si="535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532"/>
        <v>8</v>
      </c>
      <c r="J2543" s="5"/>
      <c r="K2543" s="5"/>
      <c r="L2543" s="33">
        <f t="shared" si="533"/>
        <v>940</v>
      </c>
      <c r="M2543" s="33">
        <f t="shared" si="534"/>
        <v>940</v>
      </c>
      <c r="N2543" s="22">
        <f t="shared" si="535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532"/>
        <v>8</v>
      </c>
      <c r="J2544" s="5"/>
      <c r="K2544" s="5"/>
      <c r="L2544" s="33">
        <f t="shared" si="533"/>
        <v>940</v>
      </c>
      <c r="M2544" s="33">
        <f t="shared" si="534"/>
        <v>940</v>
      </c>
      <c r="N2544" s="22">
        <f t="shared" si="535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532"/>
        <v>8</v>
      </c>
      <c r="J2545" s="5"/>
      <c r="K2545" s="5"/>
      <c r="L2545" s="33">
        <f t="shared" si="533"/>
        <v>1250</v>
      </c>
      <c r="M2545" s="33">
        <f t="shared" si="534"/>
        <v>1250</v>
      </c>
      <c r="N2545" s="22">
        <f t="shared" si="535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532"/>
        <v>24</v>
      </c>
      <c r="J2546" s="5"/>
      <c r="K2546" s="5"/>
      <c r="L2546" s="33">
        <f t="shared" si="533"/>
        <v>2906</v>
      </c>
      <c r="M2546" s="33">
        <f t="shared" si="534"/>
        <v>2906</v>
      </c>
      <c r="N2546" s="22">
        <f t="shared" si="535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532"/>
        <v>8</v>
      </c>
      <c r="J2547" s="5"/>
      <c r="K2547" s="5"/>
      <c r="L2547" s="33">
        <f t="shared" si="533"/>
        <v>969</v>
      </c>
      <c r="M2547" s="33">
        <f t="shared" si="534"/>
        <v>969</v>
      </c>
      <c r="N2547" s="22">
        <f t="shared" si="535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532"/>
        <v>8</v>
      </c>
      <c r="J2548" s="5"/>
      <c r="K2548" s="5"/>
      <c r="L2548" s="33">
        <f t="shared" si="533"/>
        <v>1250</v>
      </c>
      <c r="M2548" s="33">
        <f t="shared" si="534"/>
        <v>1250</v>
      </c>
      <c r="N2548" s="22">
        <f t="shared" si="535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532"/>
        <v>8</v>
      </c>
      <c r="J2549" s="5"/>
      <c r="K2549" s="5"/>
      <c r="L2549" s="33">
        <f t="shared" si="533"/>
        <v>969</v>
      </c>
      <c r="M2549" s="33">
        <f t="shared" si="534"/>
        <v>969</v>
      </c>
      <c r="N2549" s="22">
        <f t="shared" si="535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532"/>
        <v>60</v>
      </c>
      <c r="J2550" s="5"/>
      <c r="K2550" s="5"/>
      <c r="L2550" s="33">
        <f t="shared" si="533"/>
        <v>7264</v>
      </c>
      <c r="M2550" s="33">
        <f t="shared" si="534"/>
        <v>7264</v>
      </c>
      <c r="N2550" s="22">
        <f t="shared" si="535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532"/>
        <v>8</v>
      </c>
      <c r="J2551" s="5"/>
      <c r="K2551" s="5"/>
      <c r="L2551" s="33">
        <f t="shared" si="533"/>
        <v>1250</v>
      </c>
      <c r="M2551" s="33">
        <f t="shared" si="534"/>
        <v>1250</v>
      </c>
      <c r="N2551" s="22">
        <f t="shared" si="535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532"/>
        <v>8</v>
      </c>
      <c r="J2552" s="5"/>
      <c r="K2552" s="5"/>
      <c r="L2552" s="33">
        <f t="shared" si="533"/>
        <v>969</v>
      </c>
      <c r="M2552" s="33">
        <f t="shared" si="534"/>
        <v>969</v>
      </c>
      <c r="N2552" s="22">
        <f t="shared" si="535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532"/>
        <v>60</v>
      </c>
      <c r="J2553" s="5"/>
      <c r="K2553" s="5"/>
      <c r="L2553" s="33">
        <f t="shared" si="533"/>
        <v>7264</v>
      </c>
      <c r="M2553" s="33">
        <f t="shared" si="534"/>
        <v>7264</v>
      </c>
      <c r="N2553" s="22">
        <f t="shared" si="535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532"/>
        <v>20</v>
      </c>
      <c r="J2554" s="5"/>
      <c r="K2554" s="5"/>
      <c r="L2554" s="33">
        <f t="shared" si="533"/>
        <v>2421</v>
      </c>
      <c r="M2554" s="33">
        <f t="shared" si="534"/>
        <v>2421</v>
      </c>
      <c r="N2554" s="22">
        <f t="shared" si="535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532"/>
        <v>120</v>
      </c>
      <c r="J2555" s="5"/>
      <c r="K2555" s="5"/>
      <c r="L2555" s="33">
        <f t="shared" si="533"/>
        <v>14529</v>
      </c>
      <c r="M2555" s="33">
        <f t="shared" si="534"/>
        <v>14529</v>
      </c>
      <c r="N2555" s="22">
        <f t="shared" si="535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532"/>
        <v>120</v>
      </c>
      <c r="J2556" s="5"/>
      <c r="K2556" s="5"/>
      <c r="L2556" s="33">
        <f t="shared" si="533"/>
        <v>14529</v>
      </c>
      <c r="M2556" s="33">
        <f t="shared" si="534"/>
        <v>14529</v>
      </c>
      <c r="N2556" s="22">
        <f t="shared" si="535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532"/>
        <v>24</v>
      </c>
      <c r="J2557" s="5"/>
      <c r="K2557" s="5"/>
      <c r="L2557" s="33">
        <f t="shared" si="533"/>
        <v>3750</v>
      </c>
      <c r="M2557" s="33">
        <f t="shared" si="534"/>
        <v>3750</v>
      </c>
      <c r="N2557" s="22">
        <f t="shared" si="535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532"/>
        <v>24</v>
      </c>
      <c r="J2558" s="5"/>
      <c r="K2558" s="5"/>
      <c r="L2558" s="33">
        <f t="shared" si="533"/>
        <v>3750</v>
      </c>
      <c r="M2558" s="33">
        <f t="shared" si="534"/>
        <v>3750</v>
      </c>
      <c r="N2558" s="22">
        <f t="shared" si="535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532"/>
        <v>24</v>
      </c>
      <c r="J2559" s="5"/>
      <c r="K2559" s="5"/>
      <c r="L2559" s="33">
        <f t="shared" si="533"/>
        <v>2906</v>
      </c>
      <c r="M2559" s="33">
        <f t="shared" si="534"/>
        <v>2906</v>
      </c>
      <c r="N2559" s="22">
        <f t="shared" si="535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532"/>
        <v>240</v>
      </c>
      <c r="J2560" s="5"/>
      <c r="K2560" s="5"/>
      <c r="L2560" s="33">
        <f t="shared" si="533"/>
        <v>31845</v>
      </c>
      <c r="M2560" s="33">
        <f t="shared" si="534"/>
        <v>31845</v>
      </c>
      <c r="N2560" s="22">
        <f t="shared" si="535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532"/>
        <v>8</v>
      </c>
      <c r="J2561" s="5"/>
      <c r="K2561" s="5"/>
      <c r="L2561" s="33">
        <f t="shared" si="533"/>
        <v>1250</v>
      </c>
      <c r="M2561" s="33">
        <f t="shared" si="534"/>
        <v>1250</v>
      </c>
      <c r="N2561" s="22">
        <f t="shared" si="535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532"/>
        <v>8</v>
      </c>
      <c r="J2562" s="5"/>
      <c r="K2562" s="5"/>
      <c r="L2562" s="33">
        <f t="shared" si="533"/>
        <v>969</v>
      </c>
      <c r="M2562" s="33">
        <f t="shared" si="534"/>
        <v>969</v>
      </c>
      <c r="N2562" s="22">
        <f t="shared" si="535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532"/>
        <v>8</v>
      </c>
      <c r="J2563" s="5"/>
      <c r="K2563" s="5"/>
      <c r="L2563" s="33">
        <f t="shared" si="533"/>
        <v>969</v>
      </c>
      <c r="M2563" s="33">
        <f t="shared" si="534"/>
        <v>969</v>
      </c>
      <c r="N2563" s="22">
        <f t="shared" si="535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532"/>
        <v>8</v>
      </c>
      <c r="J2564" s="5"/>
      <c r="K2564" s="5"/>
      <c r="L2564" s="33">
        <f t="shared" si="533"/>
        <v>969</v>
      </c>
      <c r="M2564" s="33">
        <f t="shared" si="534"/>
        <v>969</v>
      </c>
      <c r="N2564" s="22">
        <f t="shared" si="535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532"/>
        <v>8</v>
      </c>
      <c r="J2565" s="5"/>
      <c r="K2565" s="5"/>
      <c r="L2565" s="33">
        <f t="shared" si="533"/>
        <v>1250</v>
      </c>
      <c r="M2565" s="33">
        <f t="shared" si="534"/>
        <v>1250</v>
      </c>
      <c r="N2565" s="22">
        <f t="shared" si="535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532"/>
        <v>8</v>
      </c>
      <c r="J2566" s="5"/>
      <c r="K2566" s="5"/>
      <c r="L2566" s="33">
        <f t="shared" si="533"/>
        <v>969</v>
      </c>
      <c r="M2566" s="33">
        <f t="shared" si="534"/>
        <v>969</v>
      </c>
      <c r="N2566" s="22">
        <f t="shared" si="535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532"/>
        <v>8</v>
      </c>
      <c r="J2567" s="5"/>
      <c r="K2567" s="5"/>
      <c r="L2567" s="33">
        <f t="shared" si="533"/>
        <v>969</v>
      </c>
      <c r="M2567" s="33">
        <f t="shared" si="534"/>
        <v>969</v>
      </c>
      <c r="N2567" s="22">
        <f t="shared" si="535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532"/>
        <v>8</v>
      </c>
      <c r="J2568" s="5"/>
      <c r="K2568" s="5"/>
      <c r="L2568" s="33">
        <f t="shared" si="533"/>
        <v>969</v>
      </c>
      <c r="M2568" s="33">
        <f t="shared" si="534"/>
        <v>969</v>
      </c>
      <c r="N2568" s="22">
        <f t="shared" si="535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532"/>
        <v>40</v>
      </c>
      <c r="J2569" s="5"/>
      <c r="K2569" s="5"/>
      <c r="L2569" s="33">
        <f t="shared" si="533"/>
        <v>6249</v>
      </c>
      <c r="M2569" s="33">
        <f t="shared" si="534"/>
        <v>6249</v>
      </c>
      <c r="N2569" s="22">
        <f t="shared" si="535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532"/>
        <v>400</v>
      </c>
      <c r="J2570" s="5"/>
      <c r="K2570" s="5"/>
      <c r="L2570" s="33">
        <f t="shared" si="533"/>
        <v>73035</v>
      </c>
      <c r="M2570" s="33">
        <f t="shared" si="534"/>
        <v>73035</v>
      </c>
      <c r="N2570" s="22">
        <f t="shared" si="535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532"/>
        <v>40</v>
      </c>
      <c r="J2571" s="5"/>
      <c r="K2571" s="5"/>
      <c r="L2571" s="33">
        <f t="shared" si="533"/>
        <v>4843</v>
      </c>
      <c r="M2571" s="33">
        <f t="shared" si="534"/>
        <v>4843</v>
      </c>
      <c r="N2571" s="22">
        <f t="shared" si="535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532"/>
        <v>40</v>
      </c>
      <c r="J2572" s="5"/>
      <c r="K2572" s="5"/>
      <c r="L2572" s="33">
        <f t="shared" si="533"/>
        <v>4843</v>
      </c>
      <c r="M2572" s="33">
        <f t="shared" si="534"/>
        <v>4843</v>
      </c>
      <c r="N2572" s="22">
        <f t="shared" si="535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532"/>
        <v>40</v>
      </c>
      <c r="J2573" s="5"/>
      <c r="K2573" s="5"/>
      <c r="L2573" s="33">
        <f t="shared" si="533"/>
        <v>6249</v>
      </c>
      <c r="M2573" s="33">
        <f t="shared" si="534"/>
        <v>6249</v>
      </c>
      <c r="N2573" s="22">
        <f t="shared" si="535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532"/>
        <v>40</v>
      </c>
      <c r="J2574" s="5"/>
      <c r="K2574" s="5"/>
      <c r="L2574" s="33">
        <f t="shared" si="533"/>
        <v>4843</v>
      </c>
      <c r="M2574" s="33">
        <f t="shared" si="534"/>
        <v>4843</v>
      </c>
      <c r="N2574" s="22">
        <f t="shared" si="535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532"/>
        <v>30000</v>
      </c>
      <c r="J2575" s="5"/>
      <c r="K2575" s="5"/>
      <c r="L2575" s="33">
        <f t="shared" si="533"/>
        <v>34821</v>
      </c>
      <c r="M2575" s="33">
        <f t="shared" si="534"/>
        <v>34821</v>
      </c>
      <c r="N2575" s="22">
        <f t="shared" si="535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532"/>
        <v>500</v>
      </c>
      <c r="J2576" s="5"/>
      <c r="K2576" s="5"/>
      <c r="L2576" s="33">
        <f t="shared" si="533"/>
        <v>592</v>
      </c>
      <c r="M2576" s="33">
        <f t="shared" si="534"/>
        <v>592</v>
      </c>
      <c r="N2576" s="22">
        <f t="shared" si="535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532"/>
        <v>500</v>
      </c>
      <c r="J2577" s="5"/>
      <c r="K2577" s="5"/>
      <c r="L2577" s="33">
        <f t="shared" si="533"/>
        <v>592</v>
      </c>
      <c r="M2577" s="33">
        <f t="shared" si="534"/>
        <v>592</v>
      </c>
      <c r="N2577" s="22">
        <f t="shared" si="535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532"/>
        <v>500</v>
      </c>
      <c r="J2578" s="5"/>
      <c r="K2578" s="5"/>
      <c r="L2578" s="33">
        <f t="shared" si="533"/>
        <v>592</v>
      </c>
      <c r="M2578" s="33">
        <f t="shared" si="534"/>
        <v>592</v>
      </c>
      <c r="N2578" s="22">
        <f t="shared" si="535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532"/>
        <v>500</v>
      </c>
      <c r="J2579" s="5"/>
      <c r="K2579" s="5"/>
      <c r="L2579" s="33">
        <f t="shared" si="533"/>
        <v>592</v>
      </c>
      <c r="M2579" s="33">
        <f t="shared" si="534"/>
        <v>592</v>
      </c>
      <c r="N2579" s="22">
        <f t="shared" si="535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532"/>
        <v>500</v>
      </c>
      <c r="J2580" s="5"/>
      <c r="K2580" s="5"/>
      <c r="L2580" s="33">
        <f t="shared" si="533"/>
        <v>592</v>
      </c>
      <c r="M2580" s="33">
        <f t="shared" si="534"/>
        <v>592</v>
      </c>
      <c r="N2580" s="22">
        <f t="shared" si="535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532"/>
        <v>500</v>
      </c>
      <c r="J2581" s="5"/>
      <c r="K2581" s="5"/>
      <c r="L2581" s="33">
        <f t="shared" si="533"/>
        <v>592</v>
      </c>
      <c r="M2581" s="33">
        <f t="shared" si="534"/>
        <v>592</v>
      </c>
      <c r="N2581" s="22">
        <f t="shared" si="535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532"/>
        <v>80</v>
      </c>
      <c r="J2582" s="5"/>
      <c r="K2582" s="5"/>
      <c r="L2582" s="33">
        <f t="shared" si="533"/>
        <v>10615</v>
      </c>
      <c r="M2582" s="33">
        <f t="shared" si="534"/>
        <v>10615</v>
      </c>
      <c r="N2582" s="22">
        <f t="shared" si="535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532"/>
        <v>60</v>
      </c>
      <c r="J2583" s="5"/>
      <c r="K2583" s="5"/>
      <c r="L2583" s="33">
        <f t="shared" si="533"/>
        <v>7264</v>
      </c>
      <c r="M2583" s="33">
        <f t="shared" si="534"/>
        <v>7264</v>
      </c>
      <c r="N2583" s="22">
        <f t="shared" si="535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536">D2585*(1-H2585)</f>
        <v>1.5000000000000013</v>
      </c>
      <c r="J2585" s="5"/>
      <c r="K2585" s="5"/>
      <c r="L2585" s="33">
        <f t="shared" ref="L2585:L2634" si="537">E2585*(1-H2585)</f>
        <v>227.5000000000002</v>
      </c>
      <c r="M2585" s="33">
        <f t="shared" ref="M2585:M2634" si="538">IF(J2585="",L2585,(E2585/D2585)*J2585)</f>
        <v>227.5000000000002</v>
      </c>
      <c r="N2585" s="22">
        <f t="shared" ref="N2585:N2634" si="539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536"/>
        <v>3.0000000000000027</v>
      </c>
      <c r="J2586" s="5"/>
      <c r="K2586" s="5"/>
      <c r="L2586" s="33">
        <f t="shared" si="537"/>
        <v>352.65000000000032</v>
      </c>
      <c r="M2586" s="33">
        <f t="shared" si="538"/>
        <v>352.65000000000032</v>
      </c>
      <c r="N2586" s="22">
        <f t="shared" si="539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536"/>
        <v>60</v>
      </c>
      <c r="J2587" s="5"/>
      <c r="K2587" s="5"/>
      <c r="L2587" s="33">
        <f t="shared" si="537"/>
        <v>9101</v>
      </c>
      <c r="M2587" s="33">
        <f t="shared" si="538"/>
        <v>9101</v>
      </c>
      <c r="N2587" s="22">
        <f t="shared" si="539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536"/>
        <v>20</v>
      </c>
      <c r="J2588" s="5"/>
      <c r="K2588" s="5"/>
      <c r="L2588" s="33">
        <f t="shared" si="537"/>
        <v>2351</v>
      </c>
      <c r="M2588" s="33">
        <f t="shared" si="538"/>
        <v>2351</v>
      </c>
      <c r="N2588" s="22">
        <f t="shared" si="539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536"/>
        <v>20</v>
      </c>
      <c r="J2589" s="5"/>
      <c r="K2589" s="5"/>
      <c r="L2589" s="33">
        <f t="shared" si="537"/>
        <v>2351</v>
      </c>
      <c r="M2589" s="33">
        <f t="shared" si="538"/>
        <v>2351</v>
      </c>
      <c r="N2589" s="22">
        <f t="shared" si="539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536"/>
        <v>26</v>
      </c>
      <c r="J2590" s="5"/>
      <c r="K2590" s="5"/>
      <c r="L2590" s="33">
        <f t="shared" si="537"/>
        <v>3943.55</v>
      </c>
      <c r="M2590" s="33">
        <f t="shared" si="538"/>
        <v>3943.55</v>
      </c>
      <c r="N2590" s="22">
        <f t="shared" si="539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536"/>
        <v>6.5</v>
      </c>
      <c r="J2591" s="5"/>
      <c r="K2591" s="5"/>
      <c r="L2591" s="33">
        <f t="shared" si="537"/>
        <v>763.75</v>
      </c>
      <c r="M2591" s="33">
        <f t="shared" si="538"/>
        <v>763.75</v>
      </c>
      <c r="N2591" s="22">
        <f t="shared" si="539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536"/>
        <v>8</v>
      </c>
      <c r="J2592" s="5"/>
      <c r="K2592" s="5"/>
      <c r="L2592" s="33">
        <f t="shared" si="537"/>
        <v>1213</v>
      </c>
      <c r="M2592" s="33">
        <f t="shared" si="538"/>
        <v>1213</v>
      </c>
      <c r="N2592" s="22">
        <f t="shared" si="539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536"/>
        <v>8</v>
      </c>
      <c r="J2593" s="5"/>
      <c r="K2593" s="5"/>
      <c r="L2593" s="33">
        <f t="shared" si="537"/>
        <v>940</v>
      </c>
      <c r="M2593" s="33">
        <f t="shared" si="538"/>
        <v>940</v>
      </c>
      <c r="N2593" s="22">
        <f t="shared" si="539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536"/>
        <v>8</v>
      </c>
      <c r="J2594" s="5"/>
      <c r="K2594" s="5"/>
      <c r="L2594" s="33">
        <f t="shared" si="537"/>
        <v>940</v>
      </c>
      <c r="M2594" s="33">
        <f t="shared" si="538"/>
        <v>940</v>
      </c>
      <c r="N2594" s="22">
        <f t="shared" si="539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536"/>
        <v>8</v>
      </c>
      <c r="J2595" s="5"/>
      <c r="K2595" s="5"/>
      <c r="L2595" s="33">
        <f t="shared" si="537"/>
        <v>1213</v>
      </c>
      <c r="M2595" s="33">
        <f t="shared" si="538"/>
        <v>1213</v>
      </c>
      <c r="N2595" s="22">
        <f t="shared" si="539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536"/>
        <v>8</v>
      </c>
      <c r="J2596" s="5"/>
      <c r="K2596" s="5"/>
      <c r="L2596" s="33">
        <f t="shared" si="537"/>
        <v>940</v>
      </c>
      <c r="M2596" s="33">
        <f t="shared" si="538"/>
        <v>940</v>
      </c>
      <c r="N2596" s="22">
        <f t="shared" si="539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536"/>
        <v>8</v>
      </c>
      <c r="J2597" s="5"/>
      <c r="K2597" s="5"/>
      <c r="L2597" s="33">
        <f t="shared" si="537"/>
        <v>940</v>
      </c>
      <c r="M2597" s="33">
        <f t="shared" si="538"/>
        <v>940</v>
      </c>
      <c r="N2597" s="22">
        <f t="shared" si="539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536"/>
        <v>8</v>
      </c>
      <c r="J2598" s="5"/>
      <c r="K2598" s="5"/>
      <c r="L2598" s="33">
        <f t="shared" si="537"/>
        <v>1250</v>
      </c>
      <c r="M2598" s="33">
        <f t="shared" si="538"/>
        <v>1250</v>
      </c>
      <c r="N2598" s="22">
        <f t="shared" si="539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536"/>
        <v>24</v>
      </c>
      <c r="J2599" s="5"/>
      <c r="K2599" s="5"/>
      <c r="L2599" s="33">
        <f t="shared" si="537"/>
        <v>2906</v>
      </c>
      <c r="M2599" s="33">
        <f t="shared" si="538"/>
        <v>2906</v>
      </c>
      <c r="N2599" s="22">
        <f t="shared" si="539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536"/>
        <v>8</v>
      </c>
      <c r="J2600" s="5"/>
      <c r="K2600" s="5"/>
      <c r="L2600" s="33">
        <f t="shared" si="537"/>
        <v>969</v>
      </c>
      <c r="M2600" s="33">
        <f t="shared" si="538"/>
        <v>969</v>
      </c>
      <c r="N2600" s="22">
        <f t="shared" si="539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536"/>
        <v>8</v>
      </c>
      <c r="J2601" s="5"/>
      <c r="K2601" s="5"/>
      <c r="L2601" s="33">
        <f t="shared" si="537"/>
        <v>1250</v>
      </c>
      <c r="M2601" s="33">
        <f t="shared" si="538"/>
        <v>1250</v>
      </c>
      <c r="N2601" s="22">
        <f t="shared" si="539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536"/>
        <v>8</v>
      </c>
      <c r="J2602" s="5"/>
      <c r="K2602" s="5"/>
      <c r="L2602" s="33">
        <f t="shared" si="537"/>
        <v>969</v>
      </c>
      <c r="M2602" s="33">
        <f t="shared" si="538"/>
        <v>969</v>
      </c>
      <c r="N2602" s="22">
        <f t="shared" si="539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536"/>
        <v>60</v>
      </c>
      <c r="J2603" s="5"/>
      <c r="K2603" s="5"/>
      <c r="L2603" s="33">
        <f t="shared" si="537"/>
        <v>7264</v>
      </c>
      <c r="M2603" s="33">
        <f t="shared" si="538"/>
        <v>7264</v>
      </c>
      <c r="N2603" s="22">
        <f t="shared" si="539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536"/>
        <v>20</v>
      </c>
      <c r="J2604" s="5"/>
      <c r="K2604" s="5"/>
      <c r="L2604" s="33">
        <f t="shared" si="537"/>
        <v>2421</v>
      </c>
      <c r="M2604" s="33">
        <f t="shared" si="538"/>
        <v>2421</v>
      </c>
      <c r="N2604" s="22">
        <f t="shared" si="539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536"/>
        <v>80</v>
      </c>
      <c r="J2605" s="5"/>
      <c r="K2605" s="5"/>
      <c r="L2605" s="33">
        <f t="shared" si="537"/>
        <v>9686</v>
      </c>
      <c r="M2605" s="33">
        <f t="shared" si="538"/>
        <v>9686</v>
      </c>
      <c r="N2605" s="22">
        <f t="shared" si="539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536"/>
        <v>24</v>
      </c>
      <c r="J2606" s="5"/>
      <c r="K2606" s="5"/>
      <c r="L2606" s="33">
        <f t="shared" si="537"/>
        <v>3750</v>
      </c>
      <c r="M2606" s="33">
        <f t="shared" si="538"/>
        <v>3750</v>
      </c>
      <c r="N2606" s="22">
        <f t="shared" si="539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536"/>
        <v>80</v>
      </c>
      <c r="J2607" s="5"/>
      <c r="K2607" s="5"/>
      <c r="L2607" s="33">
        <f t="shared" si="537"/>
        <v>9686</v>
      </c>
      <c r="M2607" s="33">
        <f t="shared" si="538"/>
        <v>9686</v>
      </c>
      <c r="N2607" s="22">
        <f t="shared" si="539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536"/>
        <v>24</v>
      </c>
      <c r="J2608" s="5"/>
      <c r="K2608" s="5"/>
      <c r="L2608" s="33">
        <f t="shared" si="537"/>
        <v>2906</v>
      </c>
      <c r="M2608" s="33">
        <f t="shared" si="538"/>
        <v>2906</v>
      </c>
      <c r="N2608" s="22">
        <f t="shared" si="539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536"/>
        <v>24</v>
      </c>
      <c r="J2609" s="5"/>
      <c r="K2609" s="5"/>
      <c r="L2609" s="33">
        <f t="shared" si="537"/>
        <v>3750</v>
      </c>
      <c r="M2609" s="33">
        <f t="shared" si="538"/>
        <v>3750</v>
      </c>
      <c r="N2609" s="22">
        <f t="shared" si="539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536"/>
        <v>160</v>
      </c>
      <c r="J2610" s="5"/>
      <c r="K2610" s="5"/>
      <c r="L2610" s="33">
        <f t="shared" si="537"/>
        <v>21230</v>
      </c>
      <c r="M2610" s="33">
        <f t="shared" si="538"/>
        <v>21230</v>
      </c>
      <c r="N2610" s="22">
        <f t="shared" si="539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536"/>
        <v>8</v>
      </c>
      <c r="J2611" s="5"/>
      <c r="K2611" s="5"/>
      <c r="L2611" s="33">
        <f t="shared" si="537"/>
        <v>1250</v>
      </c>
      <c r="M2611" s="33">
        <f t="shared" si="538"/>
        <v>1250</v>
      </c>
      <c r="N2611" s="22">
        <f t="shared" si="539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536"/>
        <v>8</v>
      </c>
      <c r="J2612" s="5"/>
      <c r="K2612" s="5"/>
      <c r="L2612" s="33">
        <f t="shared" si="537"/>
        <v>969</v>
      </c>
      <c r="M2612" s="33">
        <f t="shared" si="538"/>
        <v>969</v>
      </c>
      <c r="N2612" s="22">
        <f t="shared" si="539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536"/>
        <v>8</v>
      </c>
      <c r="J2613" s="5"/>
      <c r="K2613" s="5"/>
      <c r="L2613" s="33">
        <f t="shared" si="537"/>
        <v>969</v>
      </c>
      <c r="M2613" s="33">
        <f t="shared" si="538"/>
        <v>969</v>
      </c>
      <c r="N2613" s="22">
        <f t="shared" si="539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536"/>
        <v>8</v>
      </c>
      <c r="J2614" s="5"/>
      <c r="K2614" s="5"/>
      <c r="L2614" s="33">
        <f t="shared" si="537"/>
        <v>969</v>
      </c>
      <c r="M2614" s="33">
        <f t="shared" si="538"/>
        <v>969</v>
      </c>
      <c r="N2614" s="22">
        <f t="shared" si="539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536"/>
        <v>8</v>
      </c>
      <c r="J2615" s="5"/>
      <c r="K2615" s="5"/>
      <c r="L2615" s="33">
        <f t="shared" si="537"/>
        <v>1250</v>
      </c>
      <c r="M2615" s="33">
        <f t="shared" si="538"/>
        <v>1250</v>
      </c>
      <c r="N2615" s="22">
        <f t="shared" si="539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536"/>
        <v>8</v>
      </c>
      <c r="J2616" s="5"/>
      <c r="K2616" s="5"/>
      <c r="L2616" s="33">
        <f t="shared" si="537"/>
        <v>969</v>
      </c>
      <c r="M2616" s="33">
        <f t="shared" si="538"/>
        <v>969</v>
      </c>
      <c r="N2616" s="22">
        <f t="shared" si="539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536"/>
        <v>8</v>
      </c>
      <c r="J2617" s="5"/>
      <c r="K2617" s="5"/>
      <c r="L2617" s="33">
        <f t="shared" si="537"/>
        <v>969</v>
      </c>
      <c r="M2617" s="33">
        <f t="shared" si="538"/>
        <v>969</v>
      </c>
      <c r="N2617" s="22">
        <f t="shared" si="539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536"/>
        <v>8</v>
      </c>
      <c r="J2618" s="5"/>
      <c r="K2618" s="5"/>
      <c r="L2618" s="33">
        <f t="shared" si="537"/>
        <v>969</v>
      </c>
      <c r="M2618" s="33">
        <f t="shared" si="538"/>
        <v>969</v>
      </c>
      <c r="N2618" s="22">
        <f t="shared" si="539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536"/>
        <v>30000</v>
      </c>
      <c r="J2619" s="5"/>
      <c r="K2619" s="5"/>
      <c r="L2619" s="33">
        <f t="shared" si="537"/>
        <v>34821</v>
      </c>
      <c r="M2619" s="33">
        <f t="shared" si="538"/>
        <v>34821</v>
      </c>
      <c r="N2619" s="22">
        <f t="shared" si="539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536"/>
        <v>500</v>
      </c>
      <c r="J2620" s="5"/>
      <c r="K2620" s="5"/>
      <c r="L2620" s="33">
        <f t="shared" si="537"/>
        <v>592</v>
      </c>
      <c r="M2620" s="33">
        <f t="shared" si="538"/>
        <v>592</v>
      </c>
      <c r="N2620" s="22">
        <f t="shared" si="539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536"/>
        <v>500</v>
      </c>
      <c r="J2621" s="5"/>
      <c r="K2621" s="5"/>
      <c r="L2621" s="33">
        <f t="shared" si="537"/>
        <v>592</v>
      </c>
      <c r="M2621" s="33">
        <f t="shared" si="538"/>
        <v>592</v>
      </c>
      <c r="N2621" s="22">
        <f t="shared" si="539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536"/>
        <v>500</v>
      </c>
      <c r="J2622" s="5"/>
      <c r="K2622" s="5"/>
      <c r="L2622" s="33">
        <f t="shared" si="537"/>
        <v>592</v>
      </c>
      <c r="M2622" s="33">
        <f t="shared" si="538"/>
        <v>592</v>
      </c>
      <c r="N2622" s="22">
        <f t="shared" si="539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536"/>
        <v>500</v>
      </c>
      <c r="J2623" s="5"/>
      <c r="K2623" s="5"/>
      <c r="L2623" s="33">
        <f t="shared" si="537"/>
        <v>592</v>
      </c>
      <c r="M2623" s="33">
        <f t="shared" si="538"/>
        <v>592</v>
      </c>
      <c r="N2623" s="22">
        <f t="shared" si="539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536"/>
        <v>500</v>
      </c>
      <c r="J2624" s="5"/>
      <c r="K2624" s="5"/>
      <c r="L2624" s="33">
        <f t="shared" si="537"/>
        <v>592</v>
      </c>
      <c r="M2624" s="33">
        <f t="shared" si="538"/>
        <v>592</v>
      </c>
      <c r="N2624" s="22">
        <f t="shared" si="539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536"/>
        <v>16</v>
      </c>
      <c r="J2625" s="5"/>
      <c r="K2625" s="5"/>
      <c r="L2625" s="33">
        <f t="shared" si="537"/>
        <v>2147</v>
      </c>
      <c r="M2625" s="33">
        <f t="shared" si="538"/>
        <v>2147</v>
      </c>
      <c r="N2625" s="22">
        <f t="shared" si="539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536"/>
        <v>40</v>
      </c>
      <c r="J2626" s="5"/>
      <c r="K2626" s="5"/>
      <c r="L2626" s="33">
        <f t="shared" si="537"/>
        <v>4843</v>
      </c>
      <c r="M2626" s="33">
        <f t="shared" si="538"/>
        <v>4843</v>
      </c>
      <c r="N2626" s="22">
        <f t="shared" si="539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536"/>
        <v>40</v>
      </c>
      <c r="J2627" s="5"/>
      <c r="K2627" s="5"/>
      <c r="L2627" s="33">
        <f t="shared" si="537"/>
        <v>5369</v>
      </c>
      <c r="M2627" s="33">
        <f t="shared" si="538"/>
        <v>5369</v>
      </c>
      <c r="N2627" s="22">
        <f t="shared" si="539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536"/>
        <v>40</v>
      </c>
      <c r="J2628" s="5"/>
      <c r="K2628" s="5"/>
      <c r="L2628" s="33">
        <f t="shared" si="537"/>
        <v>4843</v>
      </c>
      <c r="M2628" s="33">
        <f t="shared" si="538"/>
        <v>4843</v>
      </c>
      <c r="N2628" s="22">
        <f t="shared" si="539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536"/>
        <v>80</v>
      </c>
      <c r="J2629" s="5"/>
      <c r="K2629" s="5"/>
      <c r="L2629" s="33">
        <f t="shared" si="537"/>
        <v>10737</v>
      </c>
      <c r="M2629" s="33">
        <f t="shared" si="538"/>
        <v>10737</v>
      </c>
      <c r="N2629" s="22">
        <f t="shared" si="539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536"/>
        <v>80</v>
      </c>
      <c r="J2630" s="5"/>
      <c r="K2630" s="5"/>
      <c r="L2630" s="33">
        <f t="shared" si="537"/>
        <v>9686</v>
      </c>
      <c r="M2630" s="33">
        <f t="shared" si="538"/>
        <v>9686</v>
      </c>
      <c r="N2630" s="22">
        <f t="shared" si="539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536"/>
        <v>80</v>
      </c>
      <c r="J2631" s="5"/>
      <c r="K2631" s="5"/>
      <c r="L2631" s="33">
        <f t="shared" si="537"/>
        <v>9686</v>
      </c>
      <c r="M2631" s="33">
        <f t="shared" si="538"/>
        <v>9686</v>
      </c>
      <c r="N2631" s="22">
        <f t="shared" si="539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536"/>
        <v>80</v>
      </c>
      <c r="J2632" s="5"/>
      <c r="K2632" s="5"/>
      <c r="L2632" s="33">
        <f t="shared" si="537"/>
        <v>10737</v>
      </c>
      <c r="M2632" s="33">
        <f t="shared" si="538"/>
        <v>10737</v>
      </c>
      <c r="N2632" s="22">
        <f t="shared" si="539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536"/>
        <v>80</v>
      </c>
      <c r="J2633" s="5"/>
      <c r="K2633" s="5"/>
      <c r="L2633" s="33">
        <f t="shared" si="537"/>
        <v>10615</v>
      </c>
      <c r="M2633" s="33">
        <f t="shared" si="538"/>
        <v>10615</v>
      </c>
      <c r="N2633" s="22">
        <f t="shared" si="539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536"/>
        <v>60</v>
      </c>
      <c r="J2634" s="5"/>
      <c r="K2634" s="5"/>
      <c r="L2634" s="33">
        <f t="shared" si="537"/>
        <v>7264</v>
      </c>
      <c r="M2634" s="33">
        <f t="shared" si="538"/>
        <v>7264</v>
      </c>
      <c r="N2634" s="22">
        <f t="shared" si="539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540">D2636*(1-H2636)</f>
        <v>4</v>
      </c>
      <c r="J2636" s="5"/>
      <c r="K2636" s="5"/>
      <c r="L2636" s="33">
        <f t="shared" ref="L2636:L2687" si="541">E2636*(1-H2636)</f>
        <v>606.75</v>
      </c>
      <c r="M2636" s="33">
        <f t="shared" ref="M2636:M2687" si="542">IF(J2636="",L2636,(E2636/D2636)*J2636)</f>
        <v>606.75</v>
      </c>
      <c r="N2636" s="22">
        <f t="shared" ref="N2636:N2687" si="543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540"/>
        <v>7.5</v>
      </c>
      <c r="J2637" s="5"/>
      <c r="K2637" s="5"/>
      <c r="L2637" s="33">
        <f t="shared" si="541"/>
        <v>881.5</v>
      </c>
      <c r="M2637" s="33">
        <f t="shared" si="542"/>
        <v>881.5</v>
      </c>
      <c r="N2637" s="22">
        <f t="shared" si="543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540"/>
        <v>30</v>
      </c>
      <c r="J2638" s="5"/>
      <c r="K2638" s="5"/>
      <c r="L2638" s="33">
        <f t="shared" si="541"/>
        <v>4550</v>
      </c>
      <c r="M2638" s="33">
        <f t="shared" si="542"/>
        <v>4550</v>
      </c>
      <c r="N2638" s="22">
        <f t="shared" si="543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540"/>
        <v>10</v>
      </c>
      <c r="J2639" s="5"/>
      <c r="K2639" s="5"/>
      <c r="L2639" s="33">
        <f t="shared" si="541"/>
        <v>1175</v>
      </c>
      <c r="M2639" s="33">
        <f t="shared" si="542"/>
        <v>1175</v>
      </c>
      <c r="N2639" s="22">
        <f t="shared" si="543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540"/>
        <v>10</v>
      </c>
      <c r="J2640" s="5"/>
      <c r="K2640" s="5"/>
      <c r="L2640" s="33">
        <f t="shared" si="541"/>
        <v>1175</v>
      </c>
      <c r="M2640" s="33">
        <f t="shared" si="542"/>
        <v>1175</v>
      </c>
      <c r="N2640" s="22">
        <f t="shared" si="543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540"/>
        <v>32</v>
      </c>
      <c r="J2641" s="5"/>
      <c r="K2641" s="5"/>
      <c r="L2641" s="33">
        <f t="shared" si="541"/>
        <v>4853.6000000000004</v>
      </c>
      <c r="M2641" s="33">
        <f t="shared" si="542"/>
        <v>4853.6000000000004</v>
      </c>
      <c r="N2641" s="22">
        <f t="shared" si="543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540"/>
        <v>16</v>
      </c>
      <c r="J2642" s="5"/>
      <c r="K2642" s="5"/>
      <c r="L2642" s="33">
        <f t="shared" si="541"/>
        <v>1880.8000000000002</v>
      </c>
      <c r="M2642" s="33">
        <f t="shared" si="542"/>
        <v>1880.8000000000002</v>
      </c>
      <c r="N2642" s="22">
        <f t="shared" si="543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540"/>
        <v>8</v>
      </c>
      <c r="J2643" s="5"/>
      <c r="K2643" s="5"/>
      <c r="L2643" s="33">
        <f t="shared" si="541"/>
        <v>1213</v>
      </c>
      <c r="M2643" s="33">
        <f t="shared" si="542"/>
        <v>1213</v>
      </c>
      <c r="N2643" s="22">
        <f t="shared" si="543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540"/>
        <v>8</v>
      </c>
      <c r="J2644" s="5"/>
      <c r="K2644" s="5"/>
      <c r="L2644" s="33">
        <f t="shared" si="541"/>
        <v>940</v>
      </c>
      <c r="M2644" s="33">
        <f t="shared" si="542"/>
        <v>940</v>
      </c>
      <c r="N2644" s="22">
        <f t="shared" si="543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540"/>
        <v>8</v>
      </c>
      <c r="J2645" s="5"/>
      <c r="K2645" s="5"/>
      <c r="L2645" s="33">
        <f t="shared" si="541"/>
        <v>940</v>
      </c>
      <c r="M2645" s="33">
        <f t="shared" si="542"/>
        <v>940</v>
      </c>
      <c r="N2645" s="22">
        <f t="shared" si="543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540"/>
        <v>8</v>
      </c>
      <c r="J2646" s="5"/>
      <c r="K2646" s="5"/>
      <c r="L2646" s="33">
        <f t="shared" si="541"/>
        <v>1213</v>
      </c>
      <c r="M2646" s="33">
        <f t="shared" si="542"/>
        <v>1213</v>
      </c>
      <c r="N2646" s="22">
        <f t="shared" si="543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540"/>
        <v>8</v>
      </c>
      <c r="J2647" s="5"/>
      <c r="K2647" s="5"/>
      <c r="L2647" s="33">
        <f t="shared" si="541"/>
        <v>940</v>
      </c>
      <c r="M2647" s="33">
        <f t="shared" si="542"/>
        <v>940</v>
      </c>
      <c r="N2647" s="22">
        <f t="shared" si="543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540"/>
        <v>8</v>
      </c>
      <c r="J2648" s="5"/>
      <c r="K2648" s="5"/>
      <c r="L2648" s="33">
        <f t="shared" si="541"/>
        <v>940</v>
      </c>
      <c r="M2648" s="33">
        <f t="shared" si="542"/>
        <v>940</v>
      </c>
      <c r="N2648" s="22">
        <f t="shared" si="543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540"/>
        <v>8</v>
      </c>
      <c r="J2649" s="5"/>
      <c r="K2649" s="5"/>
      <c r="L2649" s="33">
        <f t="shared" si="541"/>
        <v>1250</v>
      </c>
      <c r="M2649" s="33">
        <f t="shared" si="542"/>
        <v>1250</v>
      </c>
      <c r="N2649" s="22">
        <f t="shared" si="543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540"/>
        <v>8</v>
      </c>
      <c r="J2650" s="5"/>
      <c r="K2650" s="5"/>
      <c r="L2650" s="33">
        <f t="shared" si="541"/>
        <v>969</v>
      </c>
      <c r="M2650" s="33">
        <f t="shared" si="542"/>
        <v>969</v>
      </c>
      <c r="N2650" s="22">
        <f t="shared" si="543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540"/>
        <v>8</v>
      </c>
      <c r="J2651" s="5"/>
      <c r="K2651" s="5"/>
      <c r="L2651" s="33">
        <f t="shared" si="541"/>
        <v>1250</v>
      </c>
      <c r="M2651" s="33">
        <f t="shared" si="542"/>
        <v>1250</v>
      </c>
      <c r="N2651" s="22">
        <f t="shared" si="543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540"/>
        <v>8</v>
      </c>
      <c r="J2652" s="5"/>
      <c r="K2652" s="5"/>
      <c r="L2652" s="33">
        <f t="shared" si="541"/>
        <v>969</v>
      </c>
      <c r="M2652" s="33">
        <f t="shared" si="542"/>
        <v>969</v>
      </c>
      <c r="N2652" s="22">
        <f t="shared" si="543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540"/>
        <v>16</v>
      </c>
      <c r="J2653" s="5"/>
      <c r="K2653" s="5"/>
      <c r="L2653" s="33">
        <f t="shared" si="541"/>
        <v>1937</v>
      </c>
      <c r="M2653" s="33">
        <f t="shared" si="542"/>
        <v>1937</v>
      </c>
      <c r="N2653" s="22">
        <f t="shared" si="543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540"/>
        <v>8</v>
      </c>
      <c r="J2654" s="5"/>
      <c r="K2654" s="5"/>
      <c r="L2654" s="33">
        <f t="shared" si="541"/>
        <v>1250</v>
      </c>
      <c r="M2654" s="33">
        <f t="shared" si="542"/>
        <v>1250</v>
      </c>
      <c r="N2654" s="22">
        <f t="shared" si="543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540"/>
        <v>8</v>
      </c>
      <c r="J2655" s="5"/>
      <c r="K2655" s="5"/>
      <c r="L2655" s="33">
        <f t="shared" si="541"/>
        <v>969</v>
      </c>
      <c r="M2655" s="33">
        <f t="shared" si="542"/>
        <v>969</v>
      </c>
      <c r="N2655" s="22">
        <f t="shared" si="543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540"/>
        <v>16</v>
      </c>
      <c r="J2656" s="5"/>
      <c r="K2656" s="5"/>
      <c r="L2656" s="33">
        <f t="shared" si="541"/>
        <v>1937</v>
      </c>
      <c r="M2656" s="33">
        <f t="shared" si="542"/>
        <v>1937</v>
      </c>
      <c r="N2656" s="22">
        <f t="shared" si="543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540"/>
        <v>8</v>
      </c>
      <c r="J2657" s="5"/>
      <c r="K2657" s="5"/>
      <c r="L2657" s="33">
        <f t="shared" si="541"/>
        <v>969</v>
      </c>
      <c r="M2657" s="33">
        <f t="shared" si="542"/>
        <v>969</v>
      </c>
      <c r="N2657" s="22">
        <f t="shared" si="543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540"/>
        <v>120</v>
      </c>
      <c r="J2658" s="5"/>
      <c r="K2658" s="5"/>
      <c r="L2658" s="33">
        <f t="shared" si="541"/>
        <v>14529</v>
      </c>
      <c r="M2658" s="33">
        <f t="shared" si="542"/>
        <v>14529</v>
      </c>
      <c r="N2658" s="22">
        <f t="shared" si="543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540"/>
        <v>24</v>
      </c>
      <c r="J2659" s="5"/>
      <c r="K2659" s="5"/>
      <c r="L2659" s="33">
        <f t="shared" si="541"/>
        <v>3750</v>
      </c>
      <c r="M2659" s="33">
        <f t="shared" si="542"/>
        <v>3750</v>
      </c>
      <c r="N2659" s="22">
        <f t="shared" si="543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540"/>
        <v>120</v>
      </c>
      <c r="J2660" s="5"/>
      <c r="K2660" s="5"/>
      <c r="L2660" s="33">
        <f t="shared" si="541"/>
        <v>14529</v>
      </c>
      <c r="M2660" s="33">
        <f t="shared" si="542"/>
        <v>14529</v>
      </c>
      <c r="N2660" s="22">
        <f t="shared" si="543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540"/>
        <v>24</v>
      </c>
      <c r="J2661" s="5"/>
      <c r="K2661" s="5"/>
      <c r="L2661" s="33">
        <f t="shared" si="541"/>
        <v>2906</v>
      </c>
      <c r="M2661" s="33">
        <f t="shared" si="542"/>
        <v>2906</v>
      </c>
      <c r="N2661" s="22">
        <f t="shared" si="543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540"/>
        <v>24</v>
      </c>
      <c r="J2662" s="5"/>
      <c r="K2662" s="5"/>
      <c r="L2662" s="33">
        <f t="shared" si="541"/>
        <v>3750</v>
      </c>
      <c r="M2662" s="33">
        <f t="shared" si="542"/>
        <v>3750</v>
      </c>
      <c r="N2662" s="22">
        <f t="shared" si="543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540"/>
        <v>240</v>
      </c>
      <c r="J2663" s="5"/>
      <c r="K2663" s="5"/>
      <c r="L2663" s="33">
        <f t="shared" si="541"/>
        <v>31845</v>
      </c>
      <c r="M2663" s="33">
        <f t="shared" si="542"/>
        <v>31845</v>
      </c>
      <c r="N2663" s="22">
        <f t="shared" si="543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540"/>
        <v>8</v>
      </c>
      <c r="J2664" s="5"/>
      <c r="K2664" s="5"/>
      <c r="L2664" s="33">
        <f t="shared" si="541"/>
        <v>1250</v>
      </c>
      <c r="M2664" s="33">
        <f t="shared" si="542"/>
        <v>1250</v>
      </c>
      <c r="N2664" s="22">
        <f t="shared" si="543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540"/>
        <v>8</v>
      </c>
      <c r="J2665" s="5"/>
      <c r="K2665" s="5"/>
      <c r="L2665" s="33">
        <f t="shared" si="541"/>
        <v>969</v>
      </c>
      <c r="M2665" s="33">
        <f t="shared" si="542"/>
        <v>969</v>
      </c>
      <c r="N2665" s="22">
        <f t="shared" si="543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540"/>
        <v>8</v>
      </c>
      <c r="J2666" s="5"/>
      <c r="K2666" s="5"/>
      <c r="L2666" s="33">
        <f t="shared" si="541"/>
        <v>969</v>
      </c>
      <c r="M2666" s="33">
        <f t="shared" si="542"/>
        <v>969</v>
      </c>
      <c r="N2666" s="22">
        <f t="shared" si="543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540"/>
        <v>8</v>
      </c>
      <c r="J2667" s="5"/>
      <c r="K2667" s="5"/>
      <c r="L2667" s="33">
        <f t="shared" si="541"/>
        <v>969</v>
      </c>
      <c r="M2667" s="33">
        <f t="shared" si="542"/>
        <v>969</v>
      </c>
      <c r="N2667" s="22">
        <f t="shared" si="543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540"/>
        <v>8</v>
      </c>
      <c r="J2668" s="5"/>
      <c r="K2668" s="5"/>
      <c r="L2668" s="33">
        <f t="shared" si="541"/>
        <v>1250</v>
      </c>
      <c r="M2668" s="33">
        <f t="shared" si="542"/>
        <v>1250</v>
      </c>
      <c r="N2668" s="22">
        <f t="shared" si="543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540"/>
        <v>8</v>
      </c>
      <c r="J2669" s="5"/>
      <c r="K2669" s="5"/>
      <c r="L2669" s="33">
        <f t="shared" si="541"/>
        <v>969</v>
      </c>
      <c r="M2669" s="33">
        <f t="shared" si="542"/>
        <v>969</v>
      </c>
      <c r="N2669" s="22">
        <f t="shared" si="543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540"/>
        <v>8</v>
      </c>
      <c r="J2670" s="5"/>
      <c r="K2670" s="5"/>
      <c r="L2670" s="33">
        <f t="shared" si="541"/>
        <v>969</v>
      </c>
      <c r="M2670" s="33">
        <f t="shared" si="542"/>
        <v>969</v>
      </c>
      <c r="N2670" s="22">
        <f t="shared" si="543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540"/>
        <v>8</v>
      </c>
      <c r="J2671" s="5"/>
      <c r="K2671" s="5"/>
      <c r="L2671" s="33">
        <f t="shared" si="541"/>
        <v>969</v>
      </c>
      <c r="M2671" s="33">
        <f t="shared" si="542"/>
        <v>969</v>
      </c>
      <c r="N2671" s="22">
        <f t="shared" si="543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540"/>
        <v>400</v>
      </c>
      <c r="J2672" s="5"/>
      <c r="K2672" s="5"/>
      <c r="L2672" s="33">
        <f t="shared" si="541"/>
        <v>73035</v>
      </c>
      <c r="M2672" s="33">
        <f t="shared" si="542"/>
        <v>73035</v>
      </c>
      <c r="N2672" s="22">
        <f t="shared" si="543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540"/>
        <v>40</v>
      </c>
      <c r="J2673" s="5"/>
      <c r="K2673" s="5"/>
      <c r="L2673" s="33">
        <f t="shared" si="541"/>
        <v>4843</v>
      </c>
      <c r="M2673" s="33">
        <f t="shared" si="542"/>
        <v>4843</v>
      </c>
      <c r="N2673" s="22">
        <f t="shared" si="543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540"/>
        <v>40</v>
      </c>
      <c r="J2674" s="5"/>
      <c r="K2674" s="5"/>
      <c r="L2674" s="33">
        <f t="shared" si="541"/>
        <v>6249</v>
      </c>
      <c r="M2674" s="33">
        <f t="shared" si="542"/>
        <v>6249</v>
      </c>
      <c r="N2674" s="22">
        <f t="shared" si="543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540"/>
        <v>40</v>
      </c>
      <c r="J2675" s="5"/>
      <c r="K2675" s="5"/>
      <c r="L2675" s="33">
        <f t="shared" si="541"/>
        <v>4843</v>
      </c>
      <c r="M2675" s="33">
        <f t="shared" si="542"/>
        <v>4843</v>
      </c>
      <c r="N2675" s="22">
        <f t="shared" si="543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540"/>
        <v>40</v>
      </c>
      <c r="J2676" s="5"/>
      <c r="K2676" s="5"/>
      <c r="L2676" s="33">
        <f t="shared" si="541"/>
        <v>6249</v>
      </c>
      <c r="M2676" s="33">
        <f t="shared" si="542"/>
        <v>6249</v>
      </c>
      <c r="N2676" s="22">
        <f t="shared" si="543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540"/>
        <v>40</v>
      </c>
      <c r="J2677" s="5"/>
      <c r="K2677" s="5"/>
      <c r="L2677" s="33">
        <f t="shared" si="541"/>
        <v>4843</v>
      </c>
      <c r="M2677" s="33">
        <f t="shared" si="542"/>
        <v>4843</v>
      </c>
      <c r="N2677" s="22">
        <f t="shared" si="543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540"/>
        <v>10000</v>
      </c>
      <c r="J2678" s="5"/>
      <c r="K2678" s="5"/>
      <c r="L2678" s="33">
        <f t="shared" si="541"/>
        <v>11607</v>
      </c>
      <c r="M2678" s="33">
        <f t="shared" si="542"/>
        <v>11607</v>
      </c>
      <c r="N2678" s="22">
        <f t="shared" si="543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540"/>
        <v>500</v>
      </c>
      <c r="J2679" s="5"/>
      <c r="K2679" s="5"/>
      <c r="L2679" s="33">
        <f t="shared" si="541"/>
        <v>592</v>
      </c>
      <c r="M2679" s="33">
        <f t="shared" si="542"/>
        <v>592</v>
      </c>
      <c r="N2679" s="22">
        <f t="shared" si="543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540"/>
        <v>500</v>
      </c>
      <c r="J2680" s="5"/>
      <c r="K2680" s="5"/>
      <c r="L2680" s="33">
        <f t="shared" si="541"/>
        <v>592</v>
      </c>
      <c r="M2680" s="33">
        <f t="shared" si="542"/>
        <v>592</v>
      </c>
      <c r="N2680" s="22">
        <f t="shared" si="543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540"/>
        <v>500</v>
      </c>
      <c r="J2681" s="5"/>
      <c r="K2681" s="5"/>
      <c r="L2681" s="33">
        <f t="shared" si="541"/>
        <v>592</v>
      </c>
      <c r="M2681" s="33">
        <f t="shared" si="542"/>
        <v>592</v>
      </c>
      <c r="N2681" s="22">
        <f t="shared" si="543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540"/>
        <v>500</v>
      </c>
      <c r="J2682" s="5"/>
      <c r="K2682" s="5"/>
      <c r="L2682" s="33">
        <f t="shared" si="541"/>
        <v>592</v>
      </c>
      <c r="M2682" s="33">
        <f t="shared" si="542"/>
        <v>592</v>
      </c>
      <c r="N2682" s="22">
        <f t="shared" si="543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540"/>
        <v>500</v>
      </c>
      <c r="J2683" s="5"/>
      <c r="K2683" s="5"/>
      <c r="L2683" s="33">
        <f t="shared" si="541"/>
        <v>592</v>
      </c>
      <c r="M2683" s="33">
        <f t="shared" si="542"/>
        <v>592</v>
      </c>
      <c r="N2683" s="22">
        <f t="shared" si="543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540"/>
        <v>500</v>
      </c>
      <c r="J2684" s="5"/>
      <c r="K2684" s="5"/>
      <c r="L2684" s="33">
        <f t="shared" si="541"/>
        <v>592</v>
      </c>
      <c r="M2684" s="33">
        <f t="shared" si="542"/>
        <v>592</v>
      </c>
      <c r="N2684" s="22">
        <f t="shared" si="543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540"/>
        <v>20</v>
      </c>
      <c r="J2685" s="5"/>
      <c r="K2685" s="5"/>
      <c r="L2685" s="33">
        <f t="shared" si="541"/>
        <v>2654</v>
      </c>
      <c r="M2685" s="33">
        <f t="shared" si="542"/>
        <v>2654</v>
      </c>
      <c r="N2685" s="22">
        <f t="shared" si="543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540"/>
        <v>24</v>
      </c>
      <c r="J2686" s="5"/>
      <c r="K2686" s="5"/>
      <c r="L2686" s="33">
        <f t="shared" si="541"/>
        <v>2906</v>
      </c>
      <c r="M2686" s="33">
        <f t="shared" si="542"/>
        <v>2906</v>
      </c>
      <c r="N2686" s="22">
        <f t="shared" si="543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540"/>
        <v>24</v>
      </c>
      <c r="J2687" s="5"/>
      <c r="K2687" s="5"/>
      <c r="L2687" s="33">
        <f t="shared" si="541"/>
        <v>3325</v>
      </c>
      <c r="M2687" s="33">
        <f t="shared" si="542"/>
        <v>3325</v>
      </c>
      <c r="N2687" s="22">
        <f t="shared" si="543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544">D2689*(1-H2689)</f>
        <v>40</v>
      </c>
      <c r="J2689" s="5"/>
      <c r="K2689" s="5"/>
      <c r="L2689" s="33">
        <f t="shared" ref="L2689:L2752" si="545">E2689*(1-H2689)</f>
        <v>5542</v>
      </c>
      <c r="M2689" s="33">
        <f t="shared" ref="M2689:M2752" si="546">IF(J2689="",L2689,(E2689/D2689)*J2689)</f>
        <v>5542</v>
      </c>
      <c r="N2689" s="22">
        <f t="shared" ref="N2689:N2752" si="547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544"/>
        <v>8</v>
      </c>
      <c r="J2690" s="5"/>
      <c r="K2690" s="5"/>
      <c r="L2690" s="33">
        <f t="shared" si="545"/>
        <v>851</v>
      </c>
      <c r="M2690" s="33">
        <f t="shared" si="546"/>
        <v>851</v>
      </c>
      <c r="N2690" s="22">
        <f t="shared" si="547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544"/>
        <v>8</v>
      </c>
      <c r="J2691" s="5"/>
      <c r="K2691" s="5"/>
      <c r="L2691" s="33">
        <f t="shared" si="545"/>
        <v>1250</v>
      </c>
      <c r="M2691" s="33">
        <f t="shared" si="546"/>
        <v>1250</v>
      </c>
      <c r="N2691" s="22">
        <f t="shared" si="547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544"/>
        <v>16</v>
      </c>
      <c r="J2692" s="5"/>
      <c r="K2692" s="5"/>
      <c r="L2692" s="33">
        <f t="shared" si="545"/>
        <v>1937</v>
      </c>
      <c r="M2692" s="33">
        <f t="shared" si="546"/>
        <v>1937</v>
      </c>
      <c r="N2692" s="22">
        <f t="shared" si="547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544"/>
        <v>16</v>
      </c>
      <c r="J2693" s="5"/>
      <c r="K2693" s="5"/>
      <c r="L2693" s="33">
        <f t="shared" si="545"/>
        <v>2500</v>
      </c>
      <c r="M2693" s="33">
        <f t="shared" si="546"/>
        <v>2500</v>
      </c>
      <c r="N2693" s="22">
        <f t="shared" si="547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544"/>
        <v>16</v>
      </c>
      <c r="J2694" s="5"/>
      <c r="K2694" s="5"/>
      <c r="L2694" s="33">
        <f t="shared" si="545"/>
        <v>1937</v>
      </c>
      <c r="M2694" s="33">
        <f t="shared" si="546"/>
        <v>1937</v>
      </c>
      <c r="N2694" s="22">
        <f t="shared" si="547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544"/>
        <v>16</v>
      </c>
      <c r="J2695" s="5"/>
      <c r="K2695" s="5"/>
      <c r="L2695" s="33">
        <f t="shared" si="545"/>
        <v>1937</v>
      </c>
      <c r="M2695" s="33">
        <f t="shared" si="546"/>
        <v>1937</v>
      </c>
      <c r="N2695" s="22">
        <f t="shared" si="547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544"/>
        <v>16</v>
      </c>
      <c r="J2696" s="5"/>
      <c r="K2696" s="5"/>
      <c r="L2696" s="33">
        <f t="shared" si="545"/>
        <v>1937</v>
      </c>
      <c r="M2696" s="33">
        <f t="shared" si="546"/>
        <v>1937</v>
      </c>
      <c r="N2696" s="22">
        <f t="shared" si="547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544"/>
        <v>16</v>
      </c>
      <c r="J2697" s="5"/>
      <c r="K2697" s="5"/>
      <c r="L2697" s="33">
        <f t="shared" si="545"/>
        <v>2500</v>
      </c>
      <c r="M2697" s="33">
        <f t="shared" si="546"/>
        <v>2500</v>
      </c>
      <c r="N2697" s="22">
        <f t="shared" si="547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544"/>
        <v>16</v>
      </c>
      <c r="J2698" s="5"/>
      <c r="K2698" s="5"/>
      <c r="L2698" s="33">
        <f t="shared" si="545"/>
        <v>2147</v>
      </c>
      <c r="M2698" s="33">
        <f t="shared" si="546"/>
        <v>2147</v>
      </c>
      <c r="N2698" s="22">
        <f t="shared" si="547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544"/>
        <v>16</v>
      </c>
      <c r="J2699" s="5"/>
      <c r="K2699" s="5"/>
      <c r="L2699" s="33">
        <f t="shared" si="545"/>
        <v>3495</v>
      </c>
      <c r="M2699" s="33">
        <f t="shared" si="546"/>
        <v>3495</v>
      </c>
      <c r="N2699" s="22">
        <f t="shared" si="547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544"/>
        <v>16</v>
      </c>
      <c r="J2700" s="5"/>
      <c r="K2700" s="5"/>
      <c r="L2700" s="33">
        <f t="shared" si="545"/>
        <v>2887</v>
      </c>
      <c r="M2700" s="33">
        <f t="shared" si="546"/>
        <v>2887</v>
      </c>
      <c r="N2700" s="22">
        <f t="shared" si="547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544"/>
        <v>16</v>
      </c>
      <c r="J2701" s="5"/>
      <c r="K2701" s="5"/>
      <c r="L2701" s="33">
        <f t="shared" si="545"/>
        <v>2525</v>
      </c>
      <c r="M2701" s="33">
        <f t="shared" si="546"/>
        <v>2525</v>
      </c>
      <c r="N2701" s="22">
        <f t="shared" si="547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544"/>
        <v>16</v>
      </c>
      <c r="J2702" s="5"/>
      <c r="K2702" s="5"/>
      <c r="L2702" s="33">
        <f t="shared" si="545"/>
        <v>1957</v>
      </c>
      <c r="M2702" s="33">
        <f t="shared" si="546"/>
        <v>1957</v>
      </c>
      <c r="N2702" s="22">
        <f t="shared" si="547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544"/>
        <v>16</v>
      </c>
      <c r="J2703" s="5"/>
      <c r="K2703" s="5"/>
      <c r="L2703" s="33">
        <f t="shared" si="545"/>
        <v>1957</v>
      </c>
      <c r="M2703" s="33">
        <f t="shared" si="546"/>
        <v>1957</v>
      </c>
      <c r="N2703" s="22">
        <f t="shared" si="547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544"/>
        <v>16</v>
      </c>
      <c r="J2704" s="5"/>
      <c r="K2704" s="5"/>
      <c r="L2704" s="33">
        <f t="shared" si="545"/>
        <v>1957</v>
      </c>
      <c r="M2704" s="33">
        <f t="shared" si="546"/>
        <v>1957</v>
      </c>
      <c r="N2704" s="22">
        <f t="shared" si="547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544"/>
        <v>16</v>
      </c>
      <c r="J2705" s="5"/>
      <c r="K2705" s="5"/>
      <c r="L2705" s="33">
        <f t="shared" si="545"/>
        <v>2525</v>
      </c>
      <c r="M2705" s="33">
        <f t="shared" si="546"/>
        <v>2525</v>
      </c>
      <c r="N2705" s="22">
        <f t="shared" si="547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544"/>
        <v>16</v>
      </c>
      <c r="J2706" s="5"/>
      <c r="K2706" s="5"/>
      <c r="L2706" s="33">
        <f t="shared" si="545"/>
        <v>2916</v>
      </c>
      <c r="M2706" s="33">
        <f t="shared" si="546"/>
        <v>2916</v>
      </c>
      <c r="N2706" s="22">
        <f t="shared" si="547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544"/>
        <v>16</v>
      </c>
      <c r="J2707" s="5"/>
      <c r="K2707" s="5"/>
      <c r="L2707" s="33">
        <f t="shared" si="545"/>
        <v>2169</v>
      </c>
      <c r="M2707" s="33">
        <f t="shared" si="546"/>
        <v>2169</v>
      </c>
      <c r="N2707" s="22">
        <f t="shared" si="547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544"/>
        <v>16</v>
      </c>
      <c r="J2708" s="5"/>
      <c r="K2708" s="5"/>
      <c r="L2708" s="33">
        <f t="shared" si="545"/>
        <v>3530</v>
      </c>
      <c r="M2708" s="33">
        <f t="shared" si="546"/>
        <v>3530</v>
      </c>
      <c r="N2708" s="22">
        <f t="shared" si="547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544"/>
        <v>1000</v>
      </c>
      <c r="J2709" s="5"/>
      <c r="K2709" s="5"/>
      <c r="L2709" s="33">
        <f t="shared" si="545"/>
        <v>1184</v>
      </c>
      <c r="M2709" s="33">
        <f t="shared" si="546"/>
        <v>1184</v>
      </c>
      <c r="N2709" s="22">
        <f t="shared" si="547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544"/>
        <v>1000</v>
      </c>
      <c r="J2710" s="5"/>
      <c r="K2710" s="5"/>
      <c r="L2710" s="33">
        <f t="shared" si="545"/>
        <v>1184</v>
      </c>
      <c r="M2710" s="33">
        <f t="shared" si="546"/>
        <v>1184</v>
      </c>
      <c r="N2710" s="22">
        <f t="shared" si="547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544"/>
        <v>40</v>
      </c>
      <c r="J2711" s="5"/>
      <c r="K2711" s="5"/>
      <c r="L2711" s="33">
        <f t="shared" si="545"/>
        <v>5308</v>
      </c>
      <c r="M2711" s="33">
        <f t="shared" si="546"/>
        <v>5308</v>
      </c>
      <c r="N2711" s="22">
        <f t="shared" si="547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544"/>
        <v>48</v>
      </c>
      <c r="J2712" s="5"/>
      <c r="K2712" s="5"/>
      <c r="L2712" s="33">
        <f t="shared" si="545"/>
        <v>5811</v>
      </c>
      <c r="M2712" s="33">
        <f t="shared" si="546"/>
        <v>5811</v>
      </c>
      <c r="N2712" s="22">
        <f t="shared" si="547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544"/>
        <v>48</v>
      </c>
      <c r="J2713" s="5"/>
      <c r="K2713" s="5"/>
      <c r="L2713" s="33">
        <f t="shared" si="545"/>
        <v>6650</v>
      </c>
      <c r="M2713" s="33">
        <f t="shared" si="546"/>
        <v>6650</v>
      </c>
      <c r="N2713" s="22">
        <f t="shared" si="547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544"/>
        <v>8</v>
      </c>
      <c r="J2714" s="5"/>
      <c r="K2714" s="5"/>
      <c r="L2714" s="33">
        <f t="shared" si="545"/>
        <v>851</v>
      </c>
      <c r="M2714" s="33">
        <f t="shared" si="546"/>
        <v>851</v>
      </c>
      <c r="N2714" s="22">
        <f t="shared" si="547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544"/>
        <v>8</v>
      </c>
      <c r="J2715" s="5"/>
      <c r="K2715" s="5"/>
      <c r="L2715" s="33">
        <f t="shared" si="545"/>
        <v>1250</v>
      </c>
      <c r="M2715" s="33">
        <f t="shared" si="546"/>
        <v>1250</v>
      </c>
      <c r="N2715" s="22">
        <f t="shared" si="547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544"/>
        <v>8</v>
      </c>
      <c r="J2716" s="5"/>
      <c r="K2716" s="5"/>
      <c r="L2716" s="33">
        <f t="shared" si="545"/>
        <v>1250</v>
      </c>
      <c r="M2716" s="33">
        <f t="shared" si="546"/>
        <v>1250</v>
      </c>
      <c r="N2716" s="22">
        <f t="shared" si="547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544"/>
        <v>24</v>
      </c>
      <c r="J2717" s="5"/>
      <c r="K2717" s="5"/>
      <c r="L2717" s="33">
        <f t="shared" si="545"/>
        <v>2906</v>
      </c>
      <c r="M2717" s="33">
        <f t="shared" si="546"/>
        <v>2906</v>
      </c>
      <c r="N2717" s="22">
        <f t="shared" si="547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544"/>
        <v>96</v>
      </c>
      <c r="J2718" s="5"/>
      <c r="K2718" s="5"/>
      <c r="L2718" s="33">
        <f t="shared" si="545"/>
        <v>11623</v>
      </c>
      <c r="M2718" s="33">
        <f t="shared" si="546"/>
        <v>11623</v>
      </c>
      <c r="N2718" s="22">
        <f t="shared" si="547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544"/>
        <v>8</v>
      </c>
      <c r="J2719" s="5"/>
      <c r="K2719" s="5"/>
      <c r="L2719" s="33">
        <f t="shared" si="545"/>
        <v>969</v>
      </c>
      <c r="M2719" s="33">
        <f t="shared" si="546"/>
        <v>969</v>
      </c>
      <c r="N2719" s="22">
        <f t="shared" si="547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544"/>
        <v>40</v>
      </c>
      <c r="J2720" s="5"/>
      <c r="K2720" s="5"/>
      <c r="L2720" s="33">
        <f t="shared" si="545"/>
        <v>4843</v>
      </c>
      <c r="M2720" s="33">
        <f t="shared" si="546"/>
        <v>4843</v>
      </c>
      <c r="N2720" s="22">
        <f t="shared" si="547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544"/>
        <v>40</v>
      </c>
      <c r="J2721" s="5"/>
      <c r="K2721" s="5"/>
      <c r="L2721" s="33">
        <f t="shared" si="545"/>
        <v>6249</v>
      </c>
      <c r="M2721" s="33">
        <f t="shared" si="546"/>
        <v>6249</v>
      </c>
      <c r="N2721" s="22">
        <f t="shared" si="547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544"/>
        <v>40</v>
      </c>
      <c r="J2722" s="5"/>
      <c r="K2722" s="5"/>
      <c r="L2722" s="33">
        <f t="shared" si="545"/>
        <v>6249</v>
      </c>
      <c r="M2722" s="33">
        <f t="shared" si="546"/>
        <v>6249</v>
      </c>
      <c r="N2722" s="22">
        <f t="shared" si="547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544"/>
        <v>40</v>
      </c>
      <c r="J2723" s="5"/>
      <c r="K2723" s="5"/>
      <c r="L2723" s="33">
        <f t="shared" si="545"/>
        <v>7303</v>
      </c>
      <c r="M2723" s="33">
        <f t="shared" si="546"/>
        <v>7303</v>
      </c>
      <c r="N2723" s="22">
        <f t="shared" si="547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544"/>
        <v>40</v>
      </c>
      <c r="J2724" s="5"/>
      <c r="K2724" s="5"/>
      <c r="L2724" s="33">
        <f t="shared" si="545"/>
        <v>8738</v>
      </c>
      <c r="M2724" s="33">
        <f t="shared" si="546"/>
        <v>8738</v>
      </c>
      <c r="N2724" s="22">
        <f t="shared" si="547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544"/>
        <v>8</v>
      </c>
      <c r="J2725" s="5"/>
      <c r="K2725" s="5"/>
      <c r="L2725" s="33">
        <f t="shared" si="545"/>
        <v>1250</v>
      </c>
      <c r="M2725" s="33">
        <f t="shared" si="546"/>
        <v>1250</v>
      </c>
      <c r="N2725" s="22">
        <f t="shared" si="547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544"/>
        <v>8</v>
      </c>
      <c r="J2726" s="5"/>
      <c r="K2726" s="5"/>
      <c r="L2726" s="33">
        <f t="shared" si="545"/>
        <v>1250</v>
      </c>
      <c r="M2726" s="33">
        <f t="shared" si="546"/>
        <v>1250</v>
      </c>
      <c r="N2726" s="22">
        <f t="shared" si="547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544"/>
        <v>24</v>
      </c>
      <c r="J2727" s="5"/>
      <c r="K2727" s="5"/>
      <c r="L2727" s="33">
        <f t="shared" si="545"/>
        <v>5243</v>
      </c>
      <c r="M2727" s="33">
        <f t="shared" si="546"/>
        <v>5243</v>
      </c>
      <c r="N2727" s="22">
        <f t="shared" si="547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544"/>
        <v>24</v>
      </c>
      <c r="J2728" s="5"/>
      <c r="K2728" s="5"/>
      <c r="L2728" s="33">
        <f t="shared" si="545"/>
        <v>4382</v>
      </c>
      <c r="M2728" s="33">
        <f t="shared" si="546"/>
        <v>4382</v>
      </c>
      <c r="N2728" s="22">
        <f t="shared" si="547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544"/>
        <v>40</v>
      </c>
      <c r="J2729" s="5"/>
      <c r="K2729" s="5"/>
      <c r="L2729" s="33">
        <f t="shared" si="545"/>
        <v>6249</v>
      </c>
      <c r="M2729" s="33">
        <f t="shared" si="546"/>
        <v>6249</v>
      </c>
      <c r="N2729" s="22">
        <f t="shared" si="547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544"/>
        <v>40</v>
      </c>
      <c r="J2730" s="5"/>
      <c r="K2730" s="5"/>
      <c r="L2730" s="33">
        <f t="shared" si="545"/>
        <v>6249</v>
      </c>
      <c r="M2730" s="33">
        <f t="shared" si="546"/>
        <v>6249</v>
      </c>
      <c r="N2730" s="22">
        <f t="shared" si="547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544"/>
        <v>40</v>
      </c>
      <c r="J2731" s="5"/>
      <c r="K2731" s="5"/>
      <c r="L2731" s="33">
        <f t="shared" si="545"/>
        <v>7303</v>
      </c>
      <c r="M2731" s="33">
        <f t="shared" si="546"/>
        <v>7303</v>
      </c>
      <c r="N2731" s="22">
        <f t="shared" si="547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544"/>
        <v>40</v>
      </c>
      <c r="J2732" s="5"/>
      <c r="K2732" s="5"/>
      <c r="L2732" s="33">
        <f t="shared" si="545"/>
        <v>8738</v>
      </c>
      <c r="M2732" s="33">
        <f t="shared" si="546"/>
        <v>8738</v>
      </c>
      <c r="N2732" s="22">
        <f t="shared" si="547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544"/>
        <v>20</v>
      </c>
      <c r="J2733" s="5"/>
      <c r="K2733" s="5"/>
      <c r="L2733" s="33">
        <f t="shared" si="545"/>
        <v>3608</v>
      </c>
      <c r="M2733" s="33">
        <f t="shared" si="546"/>
        <v>3608</v>
      </c>
      <c r="N2733" s="22">
        <f t="shared" si="547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544"/>
        <v>20</v>
      </c>
      <c r="J2734" s="5"/>
      <c r="K2734" s="5"/>
      <c r="L2734" s="33">
        <f t="shared" si="545"/>
        <v>4095</v>
      </c>
      <c r="M2734" s="33">
        <f t="shared" si="546"/>
        <v>4095</v>
      </c>
      <c r="N2734" s="22">
        <f t="shared" si="547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544"/>
        <v>20</v>
      </c>
      <c r="J2735" s="5"/>
      <c r="K2735" s="5"/>
      <c r="L2735" s="33">
        <f t="shared" si="545"/>
        <v>2126</v>
      </c>
      <c r="M2735" s="33">
        <f t="shared" si="546"/>
        <v>2126</v>
      </c>
      <c r="N2735" s="22">
        <f t="shared" si="547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544"/>
        <v>20</v>
      </c>
      <c r="J2736" s="5"/>
      <c r="K2736" s="5"/>
      <c r="L2736" s="33">
        <f t="shared" si="545"/>
        <v>3125</v>
      </c>
      <c r="M2736" s="33">
        <f t="shared" si="546"/>
        <v>3125</v>
      </c>
      <c r="N2736" s="22">
        <f t="shared" si="547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544"/>
        <v>16</v>
      </c>
      <c r="J2737" s="5"/>
      <c r="K2737" s="5"/>
      <c r="L2737" s="33">
        <f t="shared" si="545"/>
        <v>2500</v>
      </c>
      <c r="M2737" s="33">
        <f t="shared" si="546"/>
        <v>2500</v>
      </c>
      <c r="N2737" s="22">
        <f t="shared" si="547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544"/>
        <v>16</v>
      </c>
      <c r="J2738" s="5"/>
      <c r="K2738" s="5"/>
      <c r="L2738" s="33">
        <f t="shared" si="545"/>
        <v>2500</v>
      </c>
      <c r="M2738" s="33">
        <f t="shared" si="546"/>
        <v>2500</v>
      </c>
      <c r="N2738" s="22">
        <f t="shared" si="547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544"/>
        <v>16</v>
      </c>
      <c r="J2739" s="5"/>
      <c r="K2739" s="5"/>
      <c r="L2739" s="33">
        <f t="shared" si="545"/>
        <v>2921</v>
      </c>
      <c r="M2739" s="33">
        <f t="shared" si="546"/>
        <v>2921</v>
      </c>
      <c r="N2739" s="22">
        <f t="shared" si="547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544"/>
        <v>16</v>
      </c>
      <c r="J2740" s="5"/>
      <c r="K2740" s="5"/>
      <c r="L2740" s="33">
        <f t="shared" si="545"/>
        <v>3495</v>
      </c>
      <c r="M2740" s="33">
        <f t="shared" si="546"/>
        <v>3495</v>
      </c>
      <c r="N2740" s="22">
        <f t="shared" si="547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544"/>
        <v>16</v>
      </c>
      <c r="J2741" s="5"/>
      <c r="K2741" s="5"/>
      <c r="L2741" s="33">
        <f t="shared" si="545"/>
        <v>2887</v>
      </c>
      <c r="M2741" s="33">
        <f t="shared" si="546"/>
        <v>2887</v>
      </c>
      <c r="N2741" s="22">
        <f t="shared" si="547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544"/>
        <v>16</v>
      </c>
      <c r="J2742" s="5"/>
      <c r="K2742" s="5"/>
      <c r="L2742" s="33">
        <f t="shared" si="545"/>
        <v>3276</v>
      </c>
      <c r="M2742" s="33">
        <f t="shared" si="546"/>
        <v>3276</v>
      </c>
      <c r="N2742" s="22">
        <f t="shared" si="547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544"/>
        <v>16</v>
      </c>
      <c r="J2743" s="5"/>
      <c r="K2743" s="5"/>
      <c r="L2743" s="33">
        <f t="shared" si="545"/>
        <v>2921</v>
      </c>
      <c r="M2743" s="33">
        <f t="shared" si="546"/>
        <v>2921</v>
      </c>
      <c r="N2743" s="22">
        <f t="shared" si="547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544"/>
        <v>16</v>
      </c>
      <c r="J2744" s="5"/>
      <c r="K2744" s="5"/>
      <c r="L2744" s="33">
        <f t="shared" si="545"/>
        <v>3276</v>
      </c>
      <c r="M2744" s="33">
        <f t="shared" si="546"/>
        <v>3276</v>
      </c>
      <c r="N2744" s="22">
        <f t="shared" si="547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544"/>
        <v>16</v>
      </c>
      <c r="J2745" s="5"/>
      <c r="K2745" s="5"/>
      <c r="L2745" s="33">
        <f t="shared" si="545"/>
        <v>2887</v>
      </c>
      <c r="M2745" s="33">
        <f t="shared" si="546"/>
        <v>2887</v>
      </c>
      <c r="N2745" s="22">
        <f t="shared" si="547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544"/>
        <v>24</v>
      </c>
      <c r="J2746" s="5"/>
      <c r="K2746" s="5"/>
      <c r="L2746" s="33">
        <f t="shared" si="545"/>
        <v>2906</v>
      </c>
      <c r="M2746" s="33">
        <f t="shared" si="546"/>
        <v>2906</v>
      </c>
      <c r="N2746" s="22">
        <f t="shared" si="547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544"/>
        <v>24</v>
      </c>
      <c r="J2747" s="5"/>
      <c r="K2747" s="5"/>
      <c r="L2747" s="33">
        <f t="shared" si="545"/>
        <v>3750</v>
      </c>
      <c r="M2747" s="33">
        <f t="shared" si="546"/>
        <v>3750</v>
      </c>
      <c r="N2747" s="22">
        <f t="shared" si="547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544"/>
        <v>24</v>
      </c>
      <c r="J2748" s="5"/>
      <c r="K2748" s="5"/>
      <c r="L2748" s="33">
        <f t="shared" si="545"/>
        <v>5243</v>
      </c>
      <c r="M2748" s="33">
        <f t="shared" si="546"/>
        <v>5243</v>
      </c>
      <c r="N2748" s="22">
        <f t="shared" si="547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544"/>
        <v>16</v>
      </c>
      <c r="J2749" s="5"/>
      <c r="K2749" s="5"/>
      <c r="L2749" s="33">
        <f t="shared" si="545"/>
        <v>2921</v>
      </c>
      <c r="M2749" s="33">
        <f t="shared" si="546"/>
        <v>2921</v>
      </c>
      <c r="N2749" s="22">
        <f t="shared" si="547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544"/>
        <v>16</v>
      </c>
      <c r="J2750" s="5"/>
      <c r="K2750" s="5"/>
      <c r="L2750" s="33">
        <f t="shared" si="545"/>
        <v>2887</v>
      </c>
      <c r="M2750" s="33">
        <f t="shared" si="546"/>
        <v>2887</v>
      </c>
      <c r="N2750" s="22">
        <f t="shared" si="547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544"/>
        <v>16</v>
      </c>
      <c r="J2751" s="5"/>
      <c r="K2751" s="5"/>
      <c r="L2751" s="33">
        <f t="shared" si="545"/>
        <v>3276</v>
      </c>
      <c r="M2751" s="33">
        <f t="shared" si="546"/>
        <v>3276</v>
      </c>
      <c r="N2751" s="22">
        <f t="shared" si="547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544"/>
        <v>16</v>
      </c>
      <c r="J2752" s="5"/>
      <c r="K2752" s="5"/>
      <c r="L2752" s="33">
        <f t="shared" si="545"/>
        <v>2500</v>
      </c>
      <c r="M2752" s="33">
        <f t="shared" si="546"/>
        <v>2500</v>
      </c>
      <c r="N2752" s="22">
        <f t="shared" si="547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548">D2753*(1-H2753)</f>
        <v>16</v>
      </c>
      <c r="J2753" s="5"/>
      <c r="K2753" s="5"/>
      <c r="L2753" s="33">
        <f t="shared" ref="L2753:L2767" si="549">E2753*(1-H2753)</f>
        <v>1937</v>
      </c>
      <c r="M2753" s="33">
        <f t="shared" ref="M2753:M2767" si="550">IF(J2753="",L2753,(E2753/D2753)*J2753)</f>
        <v>1937</v>
      </c>
      <c r="N2753" s="22">
        <f t="shared" ref="N2753:N2767" si="551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548"/>
        <v>16</v>
      </c>
      <c r="J2754" s="5"/>
      <c r="K2754" s="5"/>
      <c r="L2754" s="33">
        <f t="shared" si="549"/>
        <v>1937</v>
      </c>
      <c r="M2754" s="33">
        <f t="shared" si="550"/>
        <v>1937</v>
      </c>
      <c r="N2754" s="22">
        <f t="shared" si="551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548"/>
        <v>16</v>
      </c>
      <c r="J2755" s="5"/>
      <c r="K2755" s="5"/>
      <c r="L2755" s="33">
        <f t="shared" si="549"/>
        <v>2500</v>
      </c>
      <c r="M2755" s="33">
        <f t="shared" si="550"/>
        <v>2500</v>
      </c>
      <c r="N2755" s="22">
        <f t="shared" si="551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548"/>
        <v>16</v>
      </c>
      <c r="J2756" s="5"/>
      <c r="K2756" s="5"/>
      <c r="L2756" s="33">
        <f t="shared" si="549"/>
        <v>3495</v>
      </c>
      <c r="M2756" s="33">
        <f t="shared" si="550"/>
        <v>3495</v>
      </c>
      <c r="N2756" s="22">
        <f t="shared" si="551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548"/>
        <v>16</v>
      </c>
      <c r="J2757" s="5"/>
      <c r="K2757" s="5"/>
      <c r="L2757" s="33">
        <f t="shared" si="549"/>
        <v>2500</v>
      </c>
      <c r="M2757" s="33">
        <f t="shared" si="550"/>
        <v>2500</v>
      </c>
      <c r="N2757" s="22">
        <f t="shared" si="551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548"/>
        <v>16</v>
      </c>
      <c r="J2758" s="5"/>
      <c r="K2758" s="5"/>
      <c r="L2758" s="33">
        <f t="shared" si="549"/>
        <v>1937</v>
      </c>
      <c r="M2758" s="33">
        <f t="shared" si="550"/>
        <v>1937</v>
      </c>
      <c r="N2758" s="22">
        <f t="shared" si="551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548"/>
        <v>16</v>
      </c>
      <c r="J2759" s="5"/>
      <c r="K2759" s="5"/>
      <c r="L2759" s="33">
        <f t="shared" si="549"/>
        <v>1937</v>
      </c>
      <c r="M2759" s="33">
        <f t="shared" si="550"/>
        <v>1937</v>
      </c>
      <c r="N2759" s="22">
        <f t="shared" si="551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548"/>
        <v>16</v>
      </c>
      <c r="J2760" s="5"/>
      <c r="K2760" s="5"/>
      <c r="L2760" s="33">
        <f t="shared" si="549"/>
        <v>2500</v>
      </c>
      <c r="M2760" s="33">
        <f t="shared" si="550"/>
        <v>2500</v>
      </c>
      <c r="N2760" s="22">
        <f t="shared" si="551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548"/>
        <v>16</v>
      </c>
      <c r="J2761" s="5"/>
      <c r="K2761" s="5"/>
      <c r="L2761" s="33">
        <f t="shared" si="549"/>
        <v>3495</v>
      </c>
      <c r="M2761" s="33">
        <f t="shared" si="550"/>
        <v>3495</v>
      </c>
      <c r="N2761" s="22">
        <f t="shared" si="551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548"/>
        <v>16</v>
      </c>
      <c r="J2762" s="5"/>
      <c r="K2762" s="5"/>
      <c r="L2762" s="33">
        <f t="shared" si="549"/>
        <v>2921</v>
      </c>
      <c r="M2762" s="33">
        <f t="shared" si="550"/>
        <v>2921</v>
      </c>
      <c r="N2762" s="22">
        <f t="shared" si="551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548"/>
        <v>8</v>
      </c>
      <c r="J2763" s="5"/>
      <c r="K2763" s="5"/>
      <c r="L2763" s="33">
        <f t="shared" si="549"/>
        <v>1461</v>
      </c>
      <c r="M2763" s="33">
        <f t="shared" si="550"/>
        <v>1461</v>
      </c>
      <c r="N2763" s="22">
        <f t="shared" si="551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548"/>
        <v>8</v>
      </c>
      <c r="J2764" s="5"/>
      <c r="K2764" s="5"/>
      <c r="L2764" s="33">
        <f t="shared" si="549"/>
        <v>1250</v>
      </c>
      <c r="M2764" s="33">
        <f t="shared" si="550"/>
        <v>1250</v>
      </c>
      <c r="N2764" s="22">
        <f t="shared" si="551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548"/>
        <v>8</v>
      </c>
      <c r="J2765" s="5"/>
      <c r="K2765" s="5"/>
      <c r="L2765" s="33">
        <f t="shared" si="549"/>
        <v>1250</v>
      </c>
      <c r="M2765" s="33">
        <f t="shared" si="550"/>
        <v>1250</v>
      </c>
      <c r="N2765" s="22">
        <f t="shared" si="551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548"/>
        <v>8</v>
      </c>
      <c r="J2766" s="5"/>
      <c r="K2766" s="5"/>
      <c r="L2766" s="33">
        <f t="shared" si="549"/>
        <v>1638</v>
      </c>
      <c r="M2766" s="33">
        <f t="shared" si="550"/>
        <v>1638</v>
      </c>
      <c r="N2766" s="22">
        <f t="shared" si="551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548"/>
        <v>16</v>
      </c>
      <c r="J2767" s="5"/>
      <c r="K2767" s="5"/>
      <c r="L2767" s="33">
        <f t="shared" si="549"/>
        <v>3495</v>
      </c>
      <c r="M2767" s="33">
        <f t="shared" si="550"/>
        <v>3495</v>
      </c>
      <c r="N2767" s="22">
        <f t="shared" si="551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552">D2774*(1-H2774)</f>
        <v>0</v>
      </c>
      <c r="J2774" s="5"/>
      <c r="K2774" s="5"/>
      <c r="L2774" s="33">
        <f t="shared" ref="L2774:L2786" si="553">E2774*(1-H2774)</f>
        <v>0</v>
      </c>
      <c r="M2774" s="33">
        <f t="shared" ref="M2774:M2786" si="554">IF(J2774="",L2774,(E2774/D2774)*J2774)</f>
        <v>0</v>
      </c>
      <c r="N2774" s="22">
        <f t="shared" ref="N2774:N2786" si="555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552"/>
        <v>0</v>
      </c>
      <c r="J2775" s="5"/>
      <c r="K2775" s="5"/>
      <c r="L2775" s="33">
        <f t="shared" si="553"/>
        <v>0</v>
      </c>
      <c r="M2775" s="33">
        <f t="shared" si="554"/>
        <v>0</v>
      </c>
      <c r="N2775" s="22">
        <f t="shared" si="555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552"/>
        <v>0</v>
      </c>
      <c r="J2776" s="5"/>
      <c r="K2776" s="5"/>
      <c r="L2776" s="33">
        <f t="shared" si="553"/>
        <v>0</v>
      </c>
      <c r="M2776" s="33">
        <f t="shared" si="554"/>
        <v>0</v>
      </c>
      <c r="N2776" s="22">
        <f t="shared" si="555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552"/>
        <v>0</v>
      </c>
      <c r="J2777" s="5"/>
      <c r="K2777" s="5"/>
      <c r="L2777" s="33">
        <f t="shared" si="553"/>
        <v>0</v>
      </c>
      <c r="M2777" s="33">
        <f t="shared" si="554"/>
        <v>0</v>
      </c>
      <c r="N2777" s="22">
        <f t="shared" si="555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552"/>
        <v>0</v>
      </c>
      <c r="J2778" s="5"/>
      <c r="K2778" s="5"/>
      <c r="L2778" s="33">
        <f t="shared" si="553"/>
        <v>0</v>
      </c>
      <c r="M2778" s="33">
        <f t="shared" si="554"/>
        <v>0</v>
      </c>
      <c r="N2778" s="22">
        <f t="shared" si="555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552"/>
        <v>0</v>
      </c>
      <c r="J2779" s="5"/>
      <c r="K2779" s="5"/>
      <c r="L2779" s="33">
        <f t="shared" si="553"/>
        <v>0</v>
      </c>
      <c r="M2779" s="33">
        <f t="shared" si="554"/>
        <v>0</v>
      </c>
      <c r="N2779" s="22">
        <f t="shared" si="555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552"/>
        <v>0</v>
      </c>
      <c r="J2780" s="5"/>
      <c r="K2780" s="5"/>
      <c r="L2780" s="33">
        <f t="shared" si="553"/>
        <v>0</v>
      </c>
      <c r="M2780" s="33">
        <f t="shared" si="554"/>
        <v>0</v>
      </c>
      <c r="N2780" s="22">
        <f t="shared" si="555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552"/>
        <v>0</v>
      </c>
      <c r="J2781" s="5"/>
      <c r="K2781" s="5"/>
      <c r="L2781" s="33">
        <f t="shared" si="553"/>
        <v>0</v>
      </c>
      <c r="M2781" s="33">
        <f t="shared" si="554"/>
        <v>0</v>
      </c>
      <c r="N2781" s="22">
        <f t="shared" si="555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552"/>
        <v>0</v>
      </c>
      <c r="J2782" s="5"/>
      <c r="K2782" s="5"/>
      <c r="L2782" s="33">
        <f t="shared" si="553"/>
        <v>0</v>
      </c>
      <c r="M2782" s="33">
        <f t="shared" si="554"/>
        <v>0</v>
      </c>
      <c r="N2782" s="22">
        <f t="shared" si="555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552"/>
        <v>0</v>
      </c>
      <c r="J2783" s="5"/>
      <c r="K2783" s="5"/>
      <c r="L2783" s="33">
        <f t="shared" si="553"/>
        <v>0</v>
      </c>
      <c r="M2783" s="33">
        <f t="shared" si="554"/>
        <v>0</v>
      </c>
      <c r="N2783" s="22">
        <f t="shared" si="555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552"/>
        <v>0</v>
      </c>
      <c r="J2784" s="5"/>
      <c r="K2784" s="5"/>
      <c r="L2784" s="33">
        <f t="shared" si="553"/>
        <v>0</v>
      </c>
      <c r="M2784" s="33">
        <f t="shared" si="554"/>
        <v>0</v>
      </c>
      <c r="N2784" s="22">
        <f t="shared" si="555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552"/>
        <v>0</v>
      </c>
      <c r="J2785" s="5"/>
      <c r="K2785" s="5"/>
      <c r="L2785" s="33">
        <f t="shared" si="553"/>
        <v>0</v>
      </c>
      <c r="M2785" s="33">
        <f t="shared" si="554"/>
        <v>0</v>
      </c>
      <c r="N2785" s="22">
        <f t="shared" si="555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552"/>
        <v>0</v>
      </c>
      <c r="J2786" s="5"/>
      <c r="K2786" s="5"/>
      <c r="L2786" s="33">
        <f t="shared" si="553"/>
        <v>0</v>
      </c>
      <c r="M2786" s="33">
        <f t="shared" si="554"/>
        <v>0</v>
      </c>
      <c r="N2786" s="22">
        <f t="shared" si="555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556">D2788*(1-H2788)</f>
        <v>0</v>
      </c>
      <c r="J2788" s="5"/>
      <c r="K2788" s="5"/>
      <c r="L2788" s="33">
        <f t="shared" ref="L2788:L2803" si="557">E2788*(1-H2788)</f>
        <v>0</v>
      </c>
      <c r="M2788" s="33">
        <f t="shared" ref="M2788:M2803" si="558">IF(J2788="",L2788,(E2788/D2788)*J2788)</f>
        <v>0</v>
      </c>
      <c r="N2788" s="22">
        <f t="shared" ref="N2788:N2803" si="559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556"/>
        <v>0</v>
      </c>
      <c r="J2789" s="5"/>
      <c r="K2789" s="5"/>
      <c r="L2789" s="33">
        <f t="shared" si="557"/>
        <v>0</v>
      </c>
      <c r="M2789" s="33">
        <f t="shared" si="558"/>
        <v>0</v>
      </c>
      <c r="N2789" s="22">
        <f t="shared" si="559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556"/>
        <v>0</v>
      </c>
      <c r="J2790" s="5"/>
      <c r="K2790" s="5"/>
      <c r="L2790" s="33">
        <f t="shared" si="557"/>
        <v>0</v>
      </c>
      <c r="M2790" s="33">
        <f t="shared" si="558"/>
        <v>0</v>
      </c>
      <c r="N2790" s="22">
        <f t="shared" si="559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556"/>
        <v>9.6000000000000085</v>
      </c>
      <c r="J2791" s="5"/>
      <c r="K2791" s="5"/>
      <c r="L2791" s="33">
        <f t="shared" si="557"/>
        <v>0</v>
      </c>
      <c r="M2791" s="33">
        <f t="shared" si="558"/>
        <v>0</v>
      </c>
      <c r="N2791" s="22">
        <f t="shared" si="559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556"/>
        <v>1.6000000000000014</v>
      </c>
      <c r="J2792" s="5"/>
      <c r="K2792" s="5"/>
      <c r="L2792" s="33">
        <f t="shared" si="557"/>
        <v>0</v>
      </c>
      <c r="M2792" s="33">
        <f t="shared" si="558"/>
        <v>0</v>
      </c>
      <c r="N2792" s="22">
        <f t="shared" si="559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556"/>
        <v>3.2000000000000028</v>
      </c>
      <c r="J2793" s="5"/>
      <c r="K2793" s="5"/>
      <c r="L2793" s="33">
        <f t="shared" si="557"/>
        <v>0</v>
      </c>
      <c r="M2793" s="33">
        <f t="shared" si="558"/>
        <v>0</v>
      </c>
      <c r="N2793" s="22">
        <f t="shared" si="559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556"/>
        <v>0</v>
      </c>
      <c r="J2794" s="5"/>
      <c r="K2794" s="5"/>
      <c r="L2794" s="33">
        <f t="shared" si="557"/>
        <v>0</v>
      </c>
      <c r="M2794" s="33">
        <f t="shared" si="558"/>
        <v>0</v>
      </c>
      <c r="N2794" s="22">
        <f t="shared" si="559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556"/>
        <v>0</v>
      </c>
      <c r="J2795" s="5"/>
      <c r="K2795" s="5"/>
      <c r="L2795" s="33">
        <f t="shared" si="557"/>
        <v>0</v>
      </c>
      <c r="M2795" s="33">
        <f t="shared" si="558"/>
        <v>0</v>
      </c>
      <c r="N2795" s="22">
        <f t="shared" si="559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556"/>
        <v>0</v>
      </c>
      <c r="J2796" s="5"/>
      <c r="K2796" s="5"/>
      <c r="L2796" s="33">
        <f t="shared" si="557"/>
        <v>0</v>
      </c>
      <c r="M2796" s="33">
        <f t="shared" si="558"/>
        <v>0</v>
      </c>
      <c r="N2796" s="22">
        <f t="shared" si="559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556"/>
        <v>0</v>
      </c>
      <c r="J2797" s="5"/>
      <c r="K2797" s="5"/>
      <c r="L2797" s="33">
        <f t="shared" si="557"/>
        <v>0</v>
      </c>
      <c r="M2797" s="33">
        <f t="shared" si="558"/>
        <v>0</v>
      </c>
      <c r="N2797" s="22">
        <f t="shared" si="559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556"/>
        <v>7.9999999999999982</v>
      </c>
      <c r="J2798" s="5"/>
      <c r="K2798" s="5"/>
      <c r="L2798" s="33">
        <f t="shared" si="557"/>
        <v>0</v>
      </c>
      <c r="M2798" s="33">
        <f t="shared" si="558"/>
        <v>0</v>
      </c>
      <c r="N2798" s="22">
        <f t="shared" si="559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556"/>
        <v>7.9999999999999982</v>
      </c>
      <c r="J2799" s="5"/>
      <c r="K2799" s="5"/>
      <c r="L2799" s="33">
        <f t="shared" si="557"/>
        <v>0</v>
      </c>
      <c r="M2799" s="33">
        <f t="shared" si="558"/>
        <v>0</v>
      </c>
      <c r="N2799" s="22">
        <f t="shared" si="559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556"/>
        <v>7.9999999999999982</v>
      </c>
      <c r="J2800" s="5"/>
      <c r="K2800" s="5"/>
      <c r="L2800" s="33">
        <f t="shared" si="557"/>
        <v>0</v>
      </c>
      <c r="M2800" s="33">
        <f t="shared" si="558"/>
        <v>0</v>
      </c>
      <c r="N2800" s="22">
        <f t="shared" si="559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556"/>
        <v>136</v>
      </c>
      <c r="J2801" s="5"/>
      <c r="K2801" s="5"/>
      <c r="L2801" s="33">
        <f t="shared" si="557"/>
        <v>0</v>
      </c>
      <c r="M2801" s="33">
        <f t="shared" si="558"/>
        <v>0</v>
      </c>
      <c r="N2801" s="22">
        <f t="shared" si="559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556"/>
        <v>136</v>
      </c>
      <c r="J2802" s="5"/>
      <c r="K2802" s="5"/>
      <c r="L2802" s="33">
        <f t="shared" si="557"/>
        <v>0</v>
      </c>
      <c r="M2802" s="33">
        <f t="shared" si="558"/>
        <v>0</v>
      </c>
      <c r="N2802" s="22">
        <f t="shared" si="559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556"/>
        <v>136</v>
      </c>
      <c r="J2803" s="5"/>
      <c r="K2803" s="5"/>
      <c r="L2803" s="33">
        <f t="shared" si="557"/>
        <v>0</v>
      </c>
      <c r="M2803" s="33">
        <f t="shared" si="558"/>
        <v>0</v>
      </c>
      <c r="N2803" s="22">
        <f t="shared" si="559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 t="shared" ref="I2805:I2808" si="560">D2805*(1-H2805)</f>
        <v>0</v>
      </c>
      <c r="J2805" s="5"/>
      <c r="K2805" s="5"/>
      <c r="L2805" s="33">
        <f t="shared" ref="L2805:L2808" si="561">E2805*(1-H2805)</f>
        <v>0</v>
      </c>
      <c r="M2805" s="33">
        <f t="shared" ref="M2805:M2808" si="562">IF(J2805="",L2805,(E2805/D2805)*J2805)</f>
        <v>0</v>
      </c>
      <c r="N2805" s="22">
        <f t="shared" ref="N2805:N2808" si="563"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 t="shared" si="560"/>
        <v>0</v>
      </c>
      <c r="J2806" s="5"/>
      <c r="K2806" s="5"/>
      <c r="L2806" s="33">
        <f t="shared" si="561"/>
        <v>0</v>
      </c>
      <c r="M2806" s="33">
        <f t="shared" si="562"/>
        <v>0</v>
      </c>
      <c r="N2806" s="22">
        <f t="shared" si="563"/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 t="shared" si="560"/>
        <v>0</v>
      </c>
      <c r="J2807" s="5"/>
      <c r="K2807" s="5"/>
      <c r="L2807" s="33">
        <f t="shared" si="561"/>
        <v>0</v>
      </c>
      <c r="M2807" s="33">
        <f t="shared" si="562"/>
        <v>0</v>
      </c>
      <c r="N2807" s="22">
        <f t="shared" si="563"/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 t="shared" si="560"/>
        <v>0</v>
      </c>
      <c r="J2808" s="5"/>
      <c r="K2808" s="5"/>
      <c r="L2808" s="33">
        <f t="shared" si="561"/>
        <v>0</v>
      </c>
      <c r="M2808" s="33">
        <f t="shared" si="562"/>
        <v>0</v>
      </c>
      <c r="N2808" s="22">
        <f t="shared" si="563"/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 t="shared" ref="I2811:I2812" si="564">D2811*(1-H2811)</f>
        <v>0</v>
      </c>
      <c r="J2811" s="5"/>
      <c r="K2811" s="5"/>
      <c r="L2811" s="33">
        <f t="shared" ref="L2811:L2812" si="565">E2811*(1-H2811)</f>
        <v>0</v>
      </c>
      <c r="M2811" s="33">
        <f t="shared" ref="M2811:M2812" si="566">IF(J2811="",L2811,(E2811/D2811)*J2811)</f>
        <v>0</v>
      </c>
      <c r="N2811" s="22">
        <f t="shared" ref="N2811:N2812" si="567"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 t="shared" si="564"/>
        <v>0</v>
      </c>
      <c r="J2812" s="5"/>
      <c r="K2812" s="5"/>
      <c r="L2812" s="33">
        <f t="shared" si="565"/>
        <v>0</v>
      </c>
      <c r="M2812" s="33">
        <f t="shared" si="566"/>
        <v>0</v>
      </c>
      <c r="N2812" s="22">
        <f t="shared" si="567"/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568">D2815*(1-H2815)</f>
        <v>0</v>
      </c>
      <c r="J2815" s="5"/>
      <c r="K2815" s="5"/>
      <c r="L2815" s="33">
        <f t="shared" ref="L2815:L2820" si="569">E2815*(1-H2815)</f>
        <v>0</v>
      </c>
      <c r="M2815" s="33">
        <f t="shared" ref="M2815:M2820" si="570">IF(J2815="",L2815,(E2815/D2815)*J2815)</f>
        <v>0</v>
      </c>
      <c r="N2815" s="22">
        <f t="shared" ref="N2815:N2820" si="5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568"/>
        <v>0</v>
      </c>
      <c r="J2816" s="5"/>
      <c r="K2816" s="5"/>
      <c r="L2816" s="33">
        <f t="shared" si="569"/>
        <v>0</v>
      </c>
      <c r="M2816" s="33">
        <f t="shared" si="570"/>
        <v>0</v>
      </c>
      <c r="N2816" s="22">
        <f t="shared" si="5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568"/>
        <v>0</v>
      </c>
      <c r="J2817" s="5"/>
      <c r="K2817" s="5"/>
      <c r="L2817" s="33">
        <f t="shared" si="569"/>
        <v>0</v>
      </c>
      <c r="M2817" s="33">
        <f t="shared" si="570"/>
        <v>0</v>
      </c>
      <c r="N2817" s="22">
        <f t="shared" si="5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568"/>
        <v>0</v>
      </c>
      <c r="J2818" s="5"/>
      <c r="K2818" s="5"/>
      <c r="L2818" s="33">
        <f t="shared" si="569"/>
        <v>0</v>
      </c>
      <c r="M2818" s="33">
        <f t="shared" si="570"/>
        <v>0</v>
      </c>
      <c r="N2818" s="22">
        <f t="shared" si="5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568"/>
        <v>0</v>
      </c>
      <c r="J2819" s="5"/>
      <c r="K2819" s="5"/>
      <c r="L2819" s="33">
        <f t="shared" si="569"/>
        <v>0</v>
      </c>
      <c r="M2819" s="33">
        <f t="shared" si="570"/>
        <v>0</v>
      </c>
      <c r="N2819" s="22">
        <f t="shared" si="5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568"/>
        <v>0</v>
      </c>
      <c r="J2820" s="5"/>
      <c r="K2820" s="5"/>
      <c r="L2820" s="33">
        <f t="shared" si="569"/>
        <v>0</v>
      </c>
      <c r="M2820" s="33">
        <f t="shared" si="570"/>
        <v>0</v>
      </c>
      <c r="N2820" s="22">
        <f t="shared" si="5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 t="shared" ref="I2824:I2825" si="572">D2824*(1-H2824)</f>
        <v>0</v>
      </c>
      <c r="J2824" s="5"/>
      <c r="K2824" s="5"/>
      <c r="L2824" s="33">
        <f t="shared" ref="L2824:L2825" si="573">E2824*(1-H2824)</f>
        <v>0</v>
      </c>
      <c r="M2824" s="33">
        <f t="shared" ref="M2824:M2825" si="574">IF(J2824="",L2824,(E2824/D2824)*J2824)</f>
        <v>0</v>
      </c>
      <c r="N2824" s="22">
        <f t="shared" ref="N2824:N2825" si="575"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 t="shared" si="572"/>
        <v>0</v>
      </c>
      <c r="J2825" s="5"/>
      <c r="K2825" s="5"/>
      <c r="L2825" s="33">
        <f t="shared" si="573"/>
        <v>0</v>
      </c>
      <c r="M2825" s="33">
        <f t="shared" si="574"/>
        <v>0</v>
      </c>
      <c r="N2825" s="22">
        <f t="shared" si="575"/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576">D2827*(1-H2827)</f>
        <v>576</v>
      </c>
      <c r="J2827" s="5"/>
      <c r="K2827" s="5"/>
      <c r="L2827" s="33">
        <f t="shared" ref="L2827:L2834" si="577">E2827*(1-H2827)</f>
        <v>0</v>
      </c>
      <c r="M2827" s="33">
        <f t="shared" ref="M2827:M2834" si="578">IF(J2827="",L2827,(E2827/D2827)*J2827)</f>
        <v>0</v>
      </c>
      <c r="N2827" s="22">
        <f t="shared" ref="N2827:N2834" si="579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576"/>
        <v>4800</v>
      </c>
      <c r="J2828" s="5"/>
      <c r="K2828" s="5"/>
      <c r="L2828" s="33">
        <f t="shared" si="577"/>
        <v>0</v>
      </c>
      <c r="M2828" s="33">
        <f t="shared" si="578"/>
        <v>0</v>
      </c>
      <c r="N2828" s="22">
        <f t="shared" si="579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576"/>
        <v>1920</v>
      </c>
      <c r="J2829" s="5"/>
      <c r="K2829" s="5"/>
      <c r="L2829" s="33">
        <f t="shared" si="577"/>
        <v>0</v>
      </c>
      <c r="M2829" s="33">
        <f t="shared" si="578"/>
        <v>0</v>
      </c>
      <c r="N2829" s="22">
        <f t="shared" si="579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576"/>
        <v>2600</v>
      </c>
      <c r="J2830" s="5"/>
      <c r="K2830" s="5"/>
      <c r="L2830" s="33">
        <f t="shared" si="577"/>
        <v>0</v>
      </c>
      <c r="M2830" s="33">
        <f t="shared" si="578"/>
        <v>0</v>
      </c>
      <c r="N2830" s="22">
        <f t="shared" si="579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576"/>
        <v>312</v>
      </c>
      <c r="J2831" s="5"/>
      <c r="K2831" s="5"/>
      <c r="L2831" s="33">
        <f t="shared" si="577"/>
        <v>0</v>
      </c>
      <c r="M2831" s="33">
        <f t="shared" si="578"/>
        <v>0</v>
      </c>
      <c r="N2831" s="22">
        <f t="shared" si="579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576"/>
        <v>520</v>
      </c>
      <c r="J2832" s="5"/>
      <c r="K2832" s="5"/>
      <c r="L2832" s="33">
        <f t="shared" si="577"/>
        <v>0</v>
      </c>
      <c r="M2832" s="33">
        <f t="shared" si="578"/>
        <v>0</v>
      </c>
      <c r="N2832" s="22">
        <f t="shared" si="579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576"/>
        <v>8</v>
      </c>
      <c r="J2833" s="5"/>
      <c r="K2833" s="5"/>
      <c r="L2833" s="33">
        <f t="shared" si="577"/>
        <v>0</v>
      </c>
      <c r="M2833" s="33">
        <f t="shared" si="578"/>
        <v>0</v>
      </c>
      <c r="N2833" s="22">
        <f t="shared" si="579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576"/>
        <v>8</v>
      </c>
      <c r="J2834" s="5"/>
      <c r="K2834" s="5"/>
      <c r="L2834" s="33">
        <f t="shared" si="577"/>
        <v>0</v>
      </c>
      <c r="M2834" s="33">
        <f t="shared" si="578"/>
        <v>0</v>
      </c>
      <c r="N2834" s="22">
        <f t="shared" si="579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 t="shared" ref="I2841:I2844" si="580">D2841*(1-H2841)</f>
        <v>43.2</v>
      </c>
      <c r="J2841" s="5"/>
      <c r="K2841" s="5"/>
      <c r="L2841" s="33">
        <f t="shared" ref="L2841:L2844" si="581">E2841*(1-H2841)</f>
        <v>0</v>
      </c>
      <c r="M2841" s="33">
        <f t="shared" ref="M2841:M2844" si="582">IF(J2841="",L2841,(E2841/D2841)*J2841)</f>
        <v>0</v>
      </c>
      <c r="N2841" s="22">
        <f t="shared" ref="N2841:N2844" si="583"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 t="shared" si="580"/>
        <v>360.00000000000006</v>
      </c>
      <c r="J2842" s="5"/>
      <c r="K2842" s="5"/>
      <c r="L2842" s="33">
        <f t="shared" si="581"/>
        <v>0</v>
      </c>
      <c r="M2842" s="33">
        <f t="shared" si="582"/>
        <v>0</v>
      </c>
      <c r="N2842" s="22">
        <f t="shared" si="583"/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 t="shared" si="580"/>
        <v>43.2</v>
      </c>
      <c r="J2843" s="5"/>
      <c r="K2843" s="5"/>
      <c r="L2843" s="33">
        <f t="shared" si="581"/>
        <v>0</v>
      </c>
      <c r="M2843" s="33">
        <f t="shared" si="582"/>
        <v>0</v>
      </c>
      <c r="N2843" s="22">
        <f t="shared" si="583"/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 t="shared" si="580"/>
        <v>360.00000000000006</v>
      </c>
      <c r="J2844" s="5"/>
      <c r="K2844" s="5"/>
      <c r="L2844" s="33">
        <f t="shared" si="581"/>
        <v>0</v>
      </c>
      <c r="M2844" s="33">
        <f t="shared" si="582"/>
        <v>0</v>
      </c>
      <c r="N2844" s="22">
        <f t="shared" si="583"/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 t="shared" ref="I2847:I2848" si="584">D2847*(1-H2847)</f>
        <v>0</v>
      </c>
      <c r="J2847" s="5"/>
      <c r="K2847" s="5"/>
      <c r="L2847" s="33">
        <f t="shared" ref="L2847:L2848" si="585">E2847*(1-H2847)</f>
        <v>0</v>
      </c>
      <c r="M2847" s="33">
        <f t="shared" ref="M2847:M2848" si="586">IF(J2847="",L2847,(E2847/D2847)*J2847)</f>
        <v>0</v>
      </c>
      <c r="N2847" s="22">
        <f t="shared" ref="N2847:N2848" si="587"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 t="shared" si="584"/>
        <v>0</v>
      </c>
      <c r="J2848" s="5"/>
      <c r="K2848" s="5"/>
      <c r="L2848" s="33">
        <f t="shared" si="585"/>
        <v>0</v>
      </c>
      <c r="M2848" s="33">
        <f t="shared" si="586"/>
        <v>0</v>
      </c>
      <c r="N2848" s="22">
        <f t="shared" si="587"/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 t="shared" ref="I2850:I2853" si="588">D2850*(1-H2850)</f>
        <v>0</v>
      </c>
      <c r="J2850" s="5"/>
      <c r="K2850" s="5"/>
      <c r="L2850" s="33">
        <f t="shared" ref="L2850:L2853" si="589">E2850*(1-H2850)</f>
        <v>0</v>
      </c>
      <c r="M2850" s="33">
        <f t="shared" ref="M2850:M2853" si="590">IF(J2850="",L2850,(E2850/D2850)*J2850)</f>
        <v>0</v>
      </c>
      <c r="N2850" s="22">
        <f t="shared" ref="N2850:N2853" si="591"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 t="shared" si="588"/>
        <v>0</v>
      </c>
      <c r="J2851" s="5"/>
      <c r="K2851" s="5"/>
      <c r="L2851" s="33">
        <f t="shared" si="589"/>
        <v>0</v>
      </c>
      <c r="M2851" s="33">
        <f t="shared" si="590"/>
        <v>0</v>
      </c>
      <c r="N2851" s="22">
        <f t="shared" si="591"/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 t="shared" si="588"/>
        <v>0</v>
      </c>
      <c r="J2852" s="5"/>
      <c r="K2852" s="5"/>
      <c r="L2852" s="33">
        <f t="shared" si="589"/>
        <v>0</v>
      </c>
      <c r="M2852" s="33">
        <f t="shared" si="590"/>
        <v>0</v>
      </c>
      <c r="N2852" s="22">
        <f t="shared" si="591"/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 t="shared" si="588"/>
        <v>0</v>
      </c>
      <c r="J2853" s="5"/>
      <c r="K2853" s="5"/>
      <c r="L2853" s="33">
        <f t="shared" si="589"/>
        <v>0</v>
      </c>
      <c r="M2853" s="33">
        <f t="shared" si="590"/>
        <v>0</v>
      </c>
      <c r="N2853" s="22">
        <f t="shared" si="591"/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 t="shared" ref="I2855:I2859" si="592">D2855*(1-H2855)</f>
        <v>43.2</v>
      </c>
      <c r="J2855" s="5"/>
      <c r="K2855" s="5"/>
      <c r="L2855" s="33">
        <f t="shared" ref="L2855:L2859" si="593">E2855*(1-H2855)</f>
        <v>0</v>
      </c>
      <c r="M2855" s="33">
        <f t="shared" ref="M2855:M2859" si="594">IF(J2855="",L2855,(E2855/D2855)*J2855)</f>
        <v>0</v>
      </c>
      <c r="N2855" s="22">
        <f t="shared" ref="N2855:N2859" si="595"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 t="shared" si="592"/>
        <v>144.00000000000003</v>
      </c>
      <c r="J2856" s="5"/>
      <c r="K2856" s="5"/>
      <c r="L2856" s="33">
        <f t="shared" si="593"/>
        <v>0</v>
      </c>
      <c r="M2856" s="33">
        <f t="shared" si="594"/>
        <v>0</v>
      </c>
      <c r="N2856" s="22">
        <f t="shared" si="595"/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 t="shared" si="592"/>
        <v>360.00000000000006</v>
      </c>
      <c r="J2857" s="5"/>
      <c r="K2857" s="5"/>
      <c r="L2857" s="33">
        <f t="shared" si="593"/>
        <v>0</v>
      </c>
      <c r="M2857" s="33">
        <f t="shared" si="594"/>
        <v>0</v>
      </c>
      <c r="N2857" s="22">
        <f t="shared" si="595"/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 t="shared" si="592"/>
        <v>43.2</v>
      </c>
      <c r="J2858" s="5"/>
      <c r="K2858" s="5"/>
      <c r="L2858" s="33">
        <f t="shared" si="593"/>
        <v>0</v>
      </c>
      <c r="M2858" s="33">
        <f t="shared" si="594"/>
        <v>0</v>
      </c>
      <c r="N2858" s="22">
        <f t="shared" si="595"/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 t="shared" si="592"/>
        <v>360.00000000000006</v>
      </c>
      <c r="J2859" s="5"/>
      <c r="K2859" s="5"/>
      <c r="L2859" s="33">
        <f t="shared" si="593"/>
        <v>0</v>
      </c>
      <c r="M2859" s="33">
        <f t="shared" si="594"/>
        <v>0</v>
      </c>
      <c r="N2859" s="22">
        <f t="shared" si="595"/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 t="shared" ref="I2862:I2865" si="596">D2862*(1-H2862)</f>
        <v>0</v>
      </c>
      <c r="J2862" s="5"/>
      <c r="K2862" s="5"/>
      <c r="L2862" s="33">
        <f t="shared" ref="L2862:L2865" si="597">E2862*(1-H2862)</f>
        <v>0</v>
      </c>
      <c r="M2862" s="33">
        <f t="shared" ref="M2862:M2865" si="598">IF(J2862="",L2862,(E2862/D2862)*J2862)</f>
        <v>0</v>
      </c>
      <c r="N2862" s="22">
        <f t="shared" ref="N2862:N2865" si="599"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 t="shared" si="596"/>
        <v>0</v>
      </c>
      <c r="J2863" s="5"/>
      <c r="K2863" s="5"/>
      <c r="L2863" s="33">
        <f t="shared" si="597"/>
        <v>0</v>
      </c>
      <c r="M2863" s="33">
        <f t="shared" si="598"/>
        <v>0</v>
      </c>
      <c r="N2863" s="22">
        <f t="shared" si="599"/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 t="shared" si="596"/>
        <v>0</v>
      </c>
      <c r="J2864" s="5"/>
      <c r="K2864" s="5"/>
      <c r="L2864" s="33">
        <f t="shared" si="597"/>
        <v>0</v>
      </c>
      <c r="M2864" s="33">
        <f t="shared" si="598"/>
        <v>0</v>
      </c>
      <c r="N2864" s="22">
        <f t="shared" si="599"/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 t="shared" si="596"/>
        <v>0</v>
      </c>
      <c r="J2865" s="5"/>
      <c r="K2865" s="5"/>
      <c r="L2865" s="33">
        <f t="shared" si="597"/>
        <v>0</v>
      </c>
      <c r="M2865" s="33">
        <f t="shared" si="598"/>
        <v>0</v>
      </c>
      <c r="N2865" s="22">
        <f t="shared" si="599"/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600">D2867*(1-H2867)</f>
        <v>0</v>
      </c>
      <c r="J2867" s="5"/>
      <c r="K2867" s="5"/>
      <c r="L2867" s="33">
        <f t="shared" ref="L2867:L2874" si="601">E2867*(1-H2867)</f>
        <v>0</v>
      </c>
      <c r="M2867" s="33">
        <f t="shared" ref="M2867:M2874" si="602">IF(J2867="",L2867,(E2867/D2867)*J2867)</f>
        <v>0</v>
      </c>
      <c r="N2867" s="22">
        <f t="shared" ref="N2867:N2874" si="603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600"/>
        <v>0</v>
      </c>
      <c r="J2868" s="5"/>
      <c r="K2868" s="5"/>
      <c r="L2868" s="33">
        <f t="shared" si="601"/>
        <v>0</v>
      </c>
      <c r="M2868" s="33">
        <f t="shared" si="602"/>
        <v>0</v>
      </c>
      <c r="N2868" s="22">
        <f t="shared" si="603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600"/>
        <v>0</v>
      </c>
      <c r="J2869" s="5"/>
      <c r="K2869" s="5"/>
      <c r="L2869" s="33">
        <f t="shared" si="601"/>
        <v>0</v>
      </c>
      <c r="M2869" s="33">
        <f t="shared" si="602"/>
        <v>0</v>
      </c>
      <c r="N2869" s="22">
        <f t="shared" si="603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600"/>
        <v>0</v>
      </c>
      <c r="J2870" s="5"/>
      <c r="K2870" s="5"/>
      <c r="L2870" s="33">
        <f t="shared" si="601"/>
        <v>0</v>
      </c>
      <c r="M2870" s="33">
        <f t="shared" si="602"/>
        <v>0</v>
      </c>
      <c r="N2870" s="22">
        <f t="shared" si="603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600"/>
        <v>0</v>
      </c>
      <c r="J2871" s="5"/>
      <c r="K2871" s="5"/>
      <c r="L2871" s="33">
        <f t="shared" si="601"/>
        <v>0</v>
      </c>
      <c r="M2871" s="33">
        <f t="shared" si="602"/>
        <v>0</v>
      </c>
      <c r="N2871" s="22">
        <f t="shared" si="603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600"/>
        <v>0</v>
      </c>
      <c r="J2872" s="5"/>
      <c r="K2872" s="5"/>
      <c r="L2872" s="33">
        <f t="shared" si="601"/>
        <v>0</v>
      </c>
      <c r="M2872" s="33">
        <f t="shared" si="602"/>
        <v>0</v>
      </c>
      <c r="N2872" s="22">
        <f t="shared" si="603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600"/>
        <v>0</v>
      </c>
      <c r="J2873" s="5"/>
      <c r="K2873" s="5"/>
      <c r="L2873" s="33">
        <f t="shared" si="601"/>
        <v>0</v>
      </c>
      <c r="M2873" s="33">
        <f t="shared" si="602"/>
        <v>0</v>
      </c>
      <c r="N2873" s="22">
        <f t="shared" si="603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600"/>
        <v>0</v>
      </c>
      <c r="J2874" s="5"/>
      <c r="K2874" s="5"/>
      <c r="L2874" s="33">
        <f t="shared" si="601"/>
        <v>0</v>
      </c>
      <c r="M2874" s="33">
        <f t="shared" si="602"/>
        <v>0</v>
      </c>
      <c r="N2874" s="22">
        <f t="shared" si="603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604">D2876*(1-H2876)</f>
        <v>43.2</v>
      </c>
      <c r="J2876" s="5"/>
      <c r="K2876" s="5"/>
      <c r="L2876" s="33">
        <f t="shared" ref="L2876:L2887" si="605">E2876*(1-H2876)</f>
        <v>0</v>
      </c>
      <c r="M2876" s="33">
        <f t="shared" ref="M2876:M2887" si="606">IF(J2876="",L2876,(E2876/D2876)*J2876)</f>
        <v>0</v>
      </c>
      <c r="N2876" s="22">
        <f t="shared" ref="N2876:N2887" si="607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604"/>
        <v>144.00000000000003</v>
      </c>
      <c r="J2877" s="5"/>
      <c r="K2877" s="5"/>
      <c r="L2877" s="33">
        <f t="shared" si="605"/>
        <v>0</v>
      </c>
      <c r="M2877" s="33">
        <f t="shared" si="606"/>
        <v>0</v>
      </c>
      <c r="N2877" s="22">
        <f t="shared" si="607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604"/>
        <v>360.00000000000006</v>
      </c>
      <c r="J2878" s="5"/>
      <c r="K2878" s="5"/>
      <c r="L2878" s="33">
        <f t="shared" si="605"/>
        <v>0</v>
      </c>
      <c r="M2878" s="33">
        <f t="shared" si="606"/>
        <v>0</v>
      </c>
      <c r="N2878" s="22">
        <f t="shared" si="607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604"/>
        <v>43.2</v>
      </c>
      <c r="J2879" s="5"/>
      <c r="K2879" s="5"/>
      <c r="L2879" s="33">
        <f t="shared" si="605"/>
        <v>0</v>
      </c>
      <c r="M2879" s="33">
        <f t="shared" si="606"/>
        <v>0</v>
      </c>
      <c r="N2879" s="22">
        <f t="shared" si="607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604"/>
        <v>144.00000000000003</v>
      </c>
      <c r="J2880" s="5"/>
      <c r="K2880" s="5"/>
      <c r="L2880" s="33">
        <f t="shared" si="605"/>
        <v>0</v>
      </c>
      <c r="M2880" s="33">
        <f t="shared" si="606"/>
        <v>0</v>
      </c>
      <c r="N2880" s="22">
        <f t="shared" si="607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604"/>
        <v>360.00000000000006</v>
      </c>
      <c r="J2881" s="5"/>
      <c r="K2881" s="5"/>
      <c r="L2881" s="33">
        <f t="shared" si="605"/>
        <v>0</v>
      </c>
      <c r="M2881" s="33">
        <f t="shared" si="606"/>
        <v>0</v>
      </c>
      <c r="N2881" s="22">
        <f t="shared" si="607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604"/>
        <v>43.2</v>
      </c>
      <c r="J2882" s="5"/>
      <c r="K2882" s="5"/>
      <c r="L2882" s="33">
        <f t="shared" si="605"/>
        <v>0</v>
      </c>
      <c r="M2882" s="33">
        <f t="shared" si="606"/>
        <v>0</v>
      </c>
      <c r="N2882" s="22">
        <f t="shared" si="607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604"/>
        <v>144.00000000000003</v>
      </c>
      <c r="J2883" s="5"/>
      <c r="K2883" s="5"/>
      <c r="L2883" s="33">
        <f t="shared" si="605"/>
        <v>0</v>
      </c>
      <c r="M2883" s="33">
        <f t="shared" si="606"/>
        <v>0</v>
      </c>
      <c r="N2883" s="22">
        <f t="shared" si="607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604"/>
        <v>360.00000000000006</v>
      </c>
      <c r="J2884" s="5"/>
      <c r="K2884" s="5"/>
      <c r="L2884" s="33">
        <f t="shared" si="605"/>
        <v>0</v>
      </c>
      <c r="M2884" s="33">
        <f t="shared" si="606"/>
        <v>0</v>
      </c>
      <c r="N2884" s="22">
        <f t="shared" si="607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604"/>
        <v>43.2</v>
      </c>
      <c r="J2885" s="5"/>
      <c r="K2885" s="5"/>
      <c r="L2885" s="33">
        <f t="shared" si="605"/>
        <v>0</v>
      </c>
      <c r="M2885" s="33">
        <f t="shared" si="606"/>
        <v>0</v>
      </c>
      <c r="N2885" s="22">
        <f t="shared" si="607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604"/>
        <v>360.00000000000006</v>
      </c>
      <c r="J2886" s="5"/>
      <c r="K2886" s="5"/>
      <c r="L2886" s="33">
        <f t="shared" si="605"/>
        <v>0</v>
      </c>
      <c r="M2886" s="33">
        <f t="shared" si="606"/>
        <v>0</v>
      </c>
      <c r="N2886" s="22">
        <f t="shared" si="607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604"/>
        <v>144.00000000000003</v>
      </c>
      <c r="J2887" s="5"/>
      <c r="K2887" s="5"/>
      <c r="L2887" s="33">
        <f t="shared" si="605"/>
        <v>0</v>
      </c>
      <c r="M2887" s="33">
        <f t="shared" si="606"/>
        <v>0</v>
      </c>
      <c r="N2887" s="22">
        <f t="shared" si="607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 t="shared" ref="I2893:I2895" si="608">D2893*(1-H2893)</f>
        <v>0</v>
      </c>
      <c r="J2893" s="5"/>
      <c r="K2893" s="5"/>
      <c r="L2893" s="33">
        <f t="shared" ref="L2893:L2895" si="609">E2893*(1-H2893)</f>
        <v>0</v>
      </c>
      <c r="M2893" s="33">
        <f t="shared" ref="M2893:M2895" si="610">IF(J2893="",L2893,(E2893/D2893)*J2893)</f>
        <v>0</v>
      </c>
      <c r="N2893" s="22">
        <f t="shared" ref="N2893:N2895" si="611"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 t="shared" si="608"/>
        <v>0</v>
      </c>
      <c r="J2894" s="5"/>
      <c r="K2894" s="5"/>
      <c r="L2894" s="33">
        <f t="shared" si="609"/>
        <v>0</v>
      </c>
      <c r="M2894" s="33">
        <f t="shared" si="610"/>
        <v>0</v>
      </c>
      <c r="N2894" s="22">
        <f t="shared" si="611"/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 t="shared" si="608"/>
        <v>280</v>
      </c>
      <c r="J2895" s="5"/>
      <c r="K2895" s="5"/>
      <c r="L2895" s="33">
        <f t="shared" si="609"/>
        <v>0</v>
      </c>
      <c r="M2895" s="33">
        <f t="shared" si="610"/>
        <v>0</v>
      </c>
      <c r="N2895" s="22">
        <f t="shared" si="611"/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612">D2897*(1-H2897)</f>
        <v>136</v>
      </c>
      <c r="J2897" s="5"/>
      <c r="K2897" s="5"/>
      <c r="L2897" s="33">
        <f t="shared" ref="L2897:L2902" si="613">E2897*(1-H2897)</f>
        <v>0</v>
      </c>
      <c r="M2897" s="33">
        <f t="shared" ref="M2897:M2902" si="614">IF(J2897="",L2897,(E2897/D2897)*J2897)</f>
        <v>0</v>
      </c>
      <c r="N2897" s="22">
        <f t="shared" ref="N2897:N2902" si="615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612"/>
        <v>20</v>
      </c>
      <c r="J2898" s="5"/>
      <c r="K2898" s="5"/>
      <c r="L2898" s="33">
        <f t="shared" si="613"/>
        <v>0</v>
      </c>
      <c r="M2898" s="33">
        <f t="shared" si="614"/>
        <v>0</v>
      </c>
      <c r="N2898" s="22">
        <f t="shared" si="615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612"/>
        <v>0</v>
      </c>
      <c r="J2899" s="5"/>
      <c r="K2899" s="5"/>
      <c r="L2899" s="33">
        <f t="shared" si="613"/>
        <v>0</v>
      </c>
      <c r="M2899" s="33">
        <f t="shared" si="614"/>
        <v>0</v>
      </c>
      <c r="N2899" s="22">
        <f t="shared" si="615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612"/>
        <v>60</v>
      </c>
      <c r="J2900" s="5"/>
      <c r="K2900" s="5"/>
      <c r="L2900" s="33">
        <f t="shared" si="613"/>
        <v>0</v>
      </c>
      <c r="M2900" s="33">
        <f t="shared" si="614"/>
        <v>0</v>
      </c>
      <c r="N2900" s="22">
        <f t="shared" si="615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612"/>
        <v>120</v>
      </c>
      <c r="J2901" s="5"/>
      <c r="K2901" s="5"/>
      <c r="L2901" s="33">
        <f t="shared" si="613"/>
        <v>0</v>
      </c>
      <c r="M2901" s="33">
        <f t="shared" si="614"/>
        <v>0</v>
      </c>
      <c r="N2901" s="22">
        <f t="shared" si="615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612"/>
        <v>120</v>
      </c>
      <c r="J2902" s="5"/>
      <c r="K2902" s="5"/>
      <c r="L2902" s="33">
        <f t="shared" si="613"/>
        <v>0</v>
      </c>
      <c r="M2902" s="33">
        <f t="shared" si="614"/>
        <v>0</v>
      </c>
      <c r="N2902" s="22">
        <f t="shared" si="615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616">D2914*(1-H2914)</f>
        <v>480</v>
      </c>
      <c r="J2914" s="5"/>
      <c r="K2914" s="5"/>
      <c r="L2914" s="33">
        <f t="shared" ref="L2914:L2932" si="617">E2914*(1-H2914)</f>
        <v>0</v>
      </c>
      <c r="M2914" s="33">
        <f t="shared" ref="M2914:M2932" si="618">IF(J2914="",L2914,(E2914/D2914)*J2914)</f>
        <v>0</v>
      </c>
      <c r="N2914" s="22">
        <f t="shared" ref="N2914:N2932" si="619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616"/>
        <v>480</v>
      </c>
      <c r="J2915" s="5"/>
      <c r="K2915" s="5"/>
      <c r="L2915" s="33">
        <f t="shared" si="617"/>
        <v>0</v>
      </c>
      <c r="M2915" s="33">
        <f t="shared" si="618"/>
        <v>0</v>
      </c>
      <c r="N2915" s="22">
        <f t="shared" si="619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616"/>
        <v>480</v>
      </c>
      <c r="J2916" s="5"/>
      <c r="K2916" s="5"/>
      <c r="L2916" s="33">
        <f t="shared" si="617"/>
        <v>0</v>
      </c>
      <c r="M2916" s="33">
        <f t="shared" si="618"/>
        <v>0</v>
      </c>
      <c r="N2916" s="22">
        <f t="shared" si="619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616"/>
        <v>80</v>
      </c>
      <c r="J2917" s="5"/>
      <c r="K2917" s="5"/>
      <c r="L2917" s="33">
        <f t="shared" si="617"/>
        <v>0</v>
      </c>
      <c r="M2917" s="33">
        <f t="shared" si="618"/>
        <v>0</v>
      </c>
      <c r="N2917" s="22">
        <f t="shared" si="619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616"/>
        <v>80</v>
      </c>
      <c r="J2918" s="5"/>
      <c r="K2918" s="5"/>
      <c r="L2918" s="33">
        <f t="shared" si="617"/>
        <v>0</v>
      </c>
      <c r="M2918" s="33">
        <f t="shared" si="618"/>
        <v>0</v>
      </c>
      <c r="N2918" s="22">
        <f t="shared" si="619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616"/>
        <v>80</v>
      </c>
      <c r="J2919" s="5"/>
      <c r="K2919" s="5"/>
      <c r="L2919" s="33">
        <f t="shared" si="617"/>
        <v>0</v>
      </c>
      <c r="M2919" s="33">
        <f t="shared" si="618"/>
        <v>0</v>
      </c>
      <c r="N2919" s="22">
        <f t="shared" si="619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616"/>
        <v>8</v>
      </c>
      <c r="J2920" s="5"/>
      <c r="K2920" s="5"/>
      <c r="L2920" s="33">
        <f t="shared" si="617"/>
        <v>0</v>
      </c>
      <c r="M2920" s="33">
        <f t="shared" si="618"/>
        <v>0</v>
      </c>
      <c r="N2920" s="22">
        <f t="shared" si="619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616"/>
        <v>8</v>
      </c>
      <c r="J2921" s="5"/>
      <c r="K2921" s="5"/>
      <c r="L2921" s="33">
        <f t="shared" si="617"/>
        <v>0</v>
      </c>
      <c r="M2921" s="33">
        <f t="shared" si="618"/>
        <v>0</v>
      </c>
      <c r="N2921" s="22">
        <f t="shared" si="619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616"/>
        <v>8</v>
      </c>
      <c r="J2922" s="5"/>
      <c r="K2922" s="5"/>
      <c r="L2922" s="33">
        <f t="shared" si="617"/>
        <v>0</v>
      </c>
      <c r="M2922" s="33">
        <f t="shared" si="618"/>
        <v>0</v>
      </c>
      <c r="N2922" s="22">
        <f t="shared" si="619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616"/>
        <v>16</v>
      </c>
      <c r="J2923" s="5"/>
      <c r="K2923" s="5"/>
      <c r="L2923" s="33">
        <f t="shared" si="617"/>
        <v>0</v>
      </c>
      <c r="M2923" s="33">
        <f t="shared" si="618"/>
        <v>0</v>
      </c>
      <c r="N2923" s="22">
        <f t="shared" si="619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616"/>
        <v>40</v>
      </c>
      <c r="J2924" s="5"/>
      <c r="K2924" s="5"/>
      <c r="L2924" s="33">
        <f t="shared" si="617"/>
        <v>0</v>
      </c>
      <c r="M2924" s="33">
        <f t="shared" si="618"/>
        <v>0</v>
      </c>
      <c r="N2924" s="22">
        <f t="shared" si="619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616"/>
        <v>30</v>
      </c>
      <c r="J2925" s="5"/>
      <c r="K2925" s="5"/>
      <c r="L2925" s="33">
        <f t="shared" si="617"/>
        <v>0</v>
      </c>
      <c r="M2925" s="33">
        <f t="shared" si="618"/>
        <v>0</v>
      </c>
      <c r="N2925" s="22">
        <f t="shared" si="619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616"/>
        <v>30</v>
      </c>
      <c r="J2926" s="5"/>
      <c r="K2926" s="5"/>
      <c r="L2926" s="33">
        <f t="shared" si="617"/>
        <v>0</v>
      </c>
      <c r="M2926" s="33">
        <f t="shared" si="618"/>
        <v>0</v>
      </c>
      <c r="N2926" s="22">
        <f t="shared" si="619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616"/>
        <v>30</v>
      </c>
      <c r="J2927" s="5"/>
      <c r="K2927" s="5"/>
      <c r="L2927" s="33">
        <f t="shared" si="617"/>
        <v>0</v>
      </c>
      <c r="M2927" s="33">
        <f t="shared" si="618"/>
        <v>0</v>
      </c>
      <c r="N2927" s="22">
        <f t="shared" si="619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616"/>
        <v>30</v>
      </c>
      <c r="J2928" s="5"/>
      <c r="K2928" s="5"/>
      <c r="L2928" s="33">
        <f t="shared" si="617"/>
        <v>0</v>
      </c>
      <c r="M2928" s="33">
        <f t="shared" si="618"/>
        <v>0</v>
      </c>
      <c r="N2928" s="22">
        <f t="shared" si="619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616"/>
        <v>16</v>
      </c>
      <c r="J2929" s="5"/>
      <c r="K2929" s="5"/>
      <c r="L2929" s="33">
        <f t="shared" si="617"/>
        <v>0</v>
      </c>
      <c r="M2929" s="33">
        <f t="shared" si="618"/>
        <v>0</v>
      </c>
      <c r="N2929" s="22">
        <f t="shared" si="619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616"/>
        <v>16</v>
      </c>
      <c r="J2930" s="5"/>
      <c r="K2930" s="5"/>
      <c r="L2930" s="33">
        <f t="shared" si="617"/>
        <v>0</v>
      </c>
      <c r="M2930" s="33">
        <f t="shared" si="618"/>
        <v>0</v>
      </c>
      <c r="N2930" s="22">
        <f t="shared" si="619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616"/>
        <v>16</v>
      </c>
      <c r="J2931" s="5"/>
      <c r="K2931" s="5"/>
      <c r="L2931" s="33">
        <f t="shared" si="617"/>
        <v>0</v>
      </c>
      <c r="M2931" s="33">
        <f t="shared" si="618"/>
        <v>0</v>
      </c>
      <c r="N2931" s="22">
        <f t="shared" si="619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616"/>
        <v>16</v>
      </c>
      <c r="J2932" s="5"/>
      <c r="K2932" s="5"/>
      <c r="L2932" s="33">
        <f t="shared" si="617"/>
        <v>0</v>
      </c>
      <c r="M2932" s="33">
        <f t="shared" si="618"/>
        <v>0</v>
      </c>
      <c r="N2932" s="22">
        <f t="shared" si="619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 t="shared" ref="I2941:I2942" si="620">D2941*(1-H2941)</f>
        <v>0</v>
      </c>
      <c r="J2941" s="5"/>
      <c r="K2941" s="5"/>
      <c r="L2941" s="33">
        <f t="shared" ref="L2941:L2942" si="621">E2941*(1-H2941)</f>
        <v>0</v>
      </c>
      <c r="M2941" s="33">
        <f t="shared" ref="M2941:M2942" si="622">IF(J2941="",L2941,(E2941/D2941)*J2941)</f>
        <v>0</v>
      </c>
      <c r="N2941" s="22">
        <f t="shared" ref="N2941:N2942" si="623"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 t="shared" si="620"/>
        <v>0</v>
      </c>
      <c r="J2942" s="5"/>
      <c r="K2942" s="5"/>
      <c r="L2942" s="33">
        <f t="shared" si="621"/>
        <v>0</v>
      </c>
      <c r="M2942" s="33">
        <f t="shared" si="622"/>
        <v>0</v>
      </c>
      <c r="N2942" s="22">
        <f t="shared" si="623"/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624">D2944*(1-H2944)</f>
        <v>0</v>
      </c>
      <c r="J2944" s="5"/>
      <c r="K2944" s="5"/>
      <c r="L2944" s="33">
        <f t="shared" ref="L2944:L2958" si="625">E2944*(1-H2944)</f>
        <v>0</v>
      </c>
      <c r="M2944" s="33">
        <f t="shared" ref="M2944:M2958" si="626">IF(J2944="",L2944,(E2944/D2944)*J2944)</f>
        <v>0</v>
      </c>
      <c r="N2944" s="22">
        <f t="shared" ref="N2944:N2958" si="627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624"/>
        <v>0</v>
      </c>
      <c r="J2945" s="5"/>
      <c r="K2945" s="5"/>
      <c r="L2945" s="33">
        <f t="shared" si="625"/>
        <v>0</v>
      </c>
      <c r="M2945" s="33">
        <f t="shared" si="626"/>
        <v>0</v>
      </c>
      <c r="N2945" s="22">
        <f t="shared" si="627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624"/>
        <v>0</v>
      </c>
      <c r="J2946" s="5"/>
      <c r="K2946" s="5"/>
      <c r="L2946" s="33">
        <f t="shared" si="625"/>
        <v>0</v>
      </c>
      <c r="M2946" s="33">
        <f t="shared" si="626"/>
        <v>0</v>
      </c>
      <c r="N2946" s="22">
        <f t="shared" si="627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624"/>
        <v>0</v>
      </c>
      <c r="J2947" s="5"/>
      <c r="K2947" s="5"/>
      <c r="L2947" s="33">
        <f t="shared" si="625"/>
        <v>0</v>
      </c>
      <c r="M2947" s="33">
        <f t="shared" si="626"/>
        <v>0</v>
      </c>
      <c r="N2947" s="22">
        <f t="shared" si="627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624"/>
        <v>0</v>
      </c>
      <c r="J2948" s="5"/>
      <c r="K2948" s="5"/>
      <c r="L2948" s="33">
        <f t="shared" si="625"/>
        <v>0</v>
      </c>
      <c r="M2948" s="33">
        <f t="shared" si="626"/>
        <v>0</v>
      </c>
      <c r="N2948" s="22">
        <f t="shared" si="627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624"/>
        <v>0</v>
      </c>
      <c r="J2949" s="5"/>
      <c r="K2949" s="5"/>
      <c r="L2949" s="33">
        <f t="shared" si="625"/>
        <v>0</v>
      </c>
      <c r="M2949" s="33">
        <f t="shared" si="626"/>
        <v>0</v>
      </c>
      <c r="N2949" s="22">
        <f t="shared" si="627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624"/>
        <v>0</v>
      </c>
      <c r="J2950" s="5"/>
      <c r="K2950" s="5"/>
      <c r="L2950" s="33">
        <f t="shared" si="625"/>
        <v>0</v>
      </c>
      <c r="M2950" s="33">
        <f t="shared" si="626"/>
        <v>0</v>
      </c>
      <c r="N2950" s="22">
        <f t="shared" si="627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624"/>
        <v>0</v>
      </c>
      <c r="J2951" s="5"/>
      <c r="K2951" s="5"/>
      <c r="L2951" s="33">
        <f t="shared" si="625"/>
        <v>0</v>
      </c>
      <c r="M2951" s="33">
        <f t="shared" si="626"/>
        <v>0</v>
      </c>
      <c r="N2951" s="22">
        <f t="shared" si="627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624"/>
        <v>0</v>
      </c>
      <c r="J2952" s="5"/>
      <c r="K2952" s="5"/>
      <c r="L2952" s="33">
        <f t="shared" si="625"/>
        <v>0</v>
      </c>
      <c r="M2952" s="33">
        <f t="shared" si="626"/>
        <v>0</v>
      </c>
      <c r="N2952" s="22">
        <f t="shared" si="627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624"/>
        <v>0</v>
      </c>
      <c r="J2953" s="5"/>
      <c r="K2953" s="5"/>
      <c r="L2953" s="33">
        <f t="shared" si="625"/>
        <v>0</v>
      </c>
      <c r="M2953" s="33">
        <f t="shared" si="626"/>
        <v>0</v>
      </c>
      <c r="N2953" s="22">
        <f t="shared" si="627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624"/>
        <v>0</v>
      </c>
      <c r="J2954" s="5"/>
      <c r="K2954" s="5"/>
      <c r="L2954" s="33">
        <f t="shared" si="625"/>
        <v>0</v>
      </c>
      <c r="M2954" s="33">
        <f t="shared" si="626"/>
        <v>0</v>
      </c>
      <c r="N2954" s="22">
        <f t="shared" si="627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624"/>
        <v>0</v>
      </c>
      <c r="J2955" s="5"/>
      <c r="K2955" s="5"/>
      <c r="L2955" s="33">
        <f t="shared" si="625"/>
        <v>0</v>
      </c>
      <c r="M2955" s="33">
        <f t="shared" si="626"/>
        <v>0</v>
      </c>
      <c r="N2955" s="22">
        <f t="shared" si="627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624"/>
        <v>0</v>
      </c>
      <c r="J2956" s="5"/>
      <c r="K2956" s="5"/>
      <c r="L2956" s="33">
        <f t="shared" si="625"/>
        <v>0</v>
      </c>
      <c r="M2956" s="33">
        <f t="shared" si="626"/>
        <v>0</v>
      </c>
      <c r="N2956" s="22">
        <f t="shared" si="627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624"/>
        <v>0</v>
      </c>
      <c r="J2957" s="5"/>
      <c r="K2957" s="5"/>
      <c r="L2957" s="33">
        <f t="shared" si="625"/>
        <v>0</v>
      </c>
      <c r="M2957" s="33">
        <f t="shared" si="626"/>
        <v>0</v>
      </c>
      <c r="N2957" s="22">
        <f t="shared" si="627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624"/>
        <v>0</v>
      </c>
      <c r="J2958" s="5"/>
      <c r="K2958" s="5"/>
      <c r="L2958" s="33">
        <f t="shared" si="625"/>
        <v>0</v>
      </c>
      <c r="M2958" s="33">
        <f t="shared" si="626"/>
        <v>0</v>
      </c>
      <c r="N2958" s="22">
        <f t="shared" si="627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 t="shared" ref="I2960:I2962" si="628">D2960*(1-H2960)</f>
        <v>0</v>
      </c>
      <c r="J2960" s="5"/>
      <c r="K2960" s="5"/>
      <c r="L2960" s="33">
        <f t="shared" ref="L2960:L2962" si="629">E2960*(1-H2960)</f>
        <v>0</v>
      </c>
      <c r="M2960" s="33">
        <f t="shared" ref="M2960:M2962" si="630">IF(J2960="",L2960,(E2960/D2960)*J2960)</f>
        <v>0</v>
      </c>
      <c r="N2960" s="22">
        <f t="shared" ref="N2960:N2962" si="631"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 t="shared" si="628"/>
        <v>0</v>
      </c>
      <c r="J2961" s="5"/>
      <c r="K2961" s="5"/>
      <c r="L2961" s="33">
        <f t="shared" si="629"/>
        <v>0</v>
      </c>
      <c r="M2961" s="33">
        <f t="shared" si="630"/>
        <v>0</v>
      </c>
      <c r="N2961" s="22">
        <f t="shared" si="631"/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 t="shared" si="628"/>
        <v>0</v>
      </c>
      <c r="J2962" s="5"/>
      <c r="K2962" s="5"/>
      <c r="L2962" s="33">
        <f t="shared" si="629"/>
        <v>0</v>
      </c>
      <c r="M2962" s="33">
        <f t="shared" si="630"/>
        <v>0</v>
      </c>
      <c r="N2962" s="22">
        <f t="shared" si="631"/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632">D2965*(1-H2965)</f>
        <v>0</v>
      </c>
      <c r="J2965" s="5"/>
      <c r="K2965" s="5"/>
      <c r="L2965" s="33">
        <f t="shared" ref="L2965:L2973" si="633">E2965*(1-H2965)</f>
        <v>0</v>
      </c>
      <c r="M2965" s="33">
        <f t="shared" ref="M2965:M2973" si="634">IF(J2965="",L2965,(E2965/D2965)*J2965)</f>
        <v>0</v>
      </c>
      <c r="N2965" s="22">
        <f t="shared" ref="N2965:N2973" si="635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632"/>
        <v>0</v>
      </c>
      <c r="J2966" s="5"/>
      <c r="K2966" s="5"/>
      <c r="L2966" s="33">
        <f t="shared" si="633"/>
        <v>0</v>
      </c>
      <c r="M2966" s="33">
        <f t="shared" si="634"/>
        <v>0</v>
      </c>
      <c r="N2966" s="22">
        <f t="shared" si="635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632"/>
        <v>0</v>
      </c>
      <c r="J2967" s="5"/>
      <c r="K2967" s="5"/>
      <c r="L2967" s="33">
        <f t="shared" si="633"/>
        <v>0</v>
      </c>
      <c r="M2967" s="33">
        <f t="shared" si="634"/>
        <v>0</v>
      </c>
      <c r="N2967" s="22">
        <f t="shared" si="635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632"/>
        <v>0</v>
      </c>
      <c r="J2968" s="5"/>
      <c r="K2968" s="5"/>
      <c r="L2968" s="33">
        <f t="shared" si="633"/>
        <v>0</v>
      </c>
      <c r="M2968" s="33">
        <f t="shared" si="634"/>
        <v>0</v>
      </c>
      <c r="N2968" s="22">
        <f t="shared" si="635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632"/>
        <v>0</v>
      </c>
      <c r="J2969" s="5"/>
      <c r="K2969" s="5"/>
      <c r="L2969" s="33">
        <f t="shared" si="633"/>
        <v>0</v>
      </c>
      <c r="M2969" s="33">
        <f t="shared" si="634"/>
        <v>0</v>
      </c>
      <c r="N2969" s="22">
        <f t="shared" si="635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632"/>
        <v>0</v>
      </c>
      <c r="J2970" s="5"/>
      <c r="K2970" s="5"/>
      <c r="L2970" s="33">
        <f t="shared" si="633"/>
        <v>0</v>
      </c>
      <c r="M2970" s="33">
        <f t="shared" si="634"/>
        <v>0</v>
      </c>
      <c r="N2970" s="22">
        <f t="shared" si="635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632"/>
        <v>0</v>
      </c>
      <c r="J2971" s="5"/>
      <c r="K2971" s="5"/>
      <c r="L2971" s="33">
        <f t="shared" si="633"/>
        <v>0</v>
      </c>
      <c r="M2971" s="33">
        <f t="shared" si="634"/>
        <v>0</v>
      </c>
      <c r="N2971" s="22">
        <f t="shared" si="635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632"/>
        <v>0</v>
      </c>
      <c r="J2972" s="5"/>
      <c r="K2972" s="5"/>
      <c r="L2972" s="33">
        <f t="shared" si="633"/>
        <v>0</v>
      </c>
      <c r="M2972" s="33">
        <f t="shared" si="634"/>
        <v>0</v>
      </c>
      <c r="N2972" s="22">
        <f t="shared" si="635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632"/>
        <v>0</v>
      </c>
      <c r="J2973" s="5"/>
      <c r="K2973" s="5"/>
      <c r="L2973" s="33">
        <f t="shared" si="633"/>
        <v>0</v>
      </c>
      <c r="M2973" s="33">
        <f t="shared" si="634"/>
        <v>0</v>
      </c>
      <c r="N2973" s="22">
        <f t="shared" si="635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636">D2975*(1-H2975)</f>
        <v>0</v>
      </c>
      <c r="J2975" s="5"/>
      <c r="K2975" s="5"/>
      <c r="L2975" s="33">
        <f t="shared" ref="L2975:L2982" si="637">E2975*(1-H2975)</f>
        <v>0</v>
      </c>
      <c r="M2975" s="33">
        <f t="shared" ref="M2975:M2982" si="638">IF(J2975="",L2975,(E2975/D2975)*J2975)</f>
        <v>0</v>
      </c>
      <c r="N2975" s="22">
        <f t="shared" ref="N2975:N2982" si="639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636"/>
        <v>0</v>
      </c>
      <c r="J2976" s="5"/>
      <c r="K2976" s="5"/>
      <c r="L2976" s="33">
        <f t="shared" si="637"/>
        <v>0</v>
      </c>
      <c r="M2976" s="33">
        <f t="shared" si="638"/>
        <v>0</v>
      </c>
      <c r="N2976" s="22">
        <f t="shared" si="639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636"/>
        <v>0</v>
      </c>
      <c r="J2977" s="5"/>
      <c r="K2977" s="5"/>
      <c r="L2977" s="33">
        <f t="shared" si="637"/>
        <v>0</v>
      </c>
      <c r="M2977" s="33">
        <f t="shared" si="638"/>
        <v>0</v>
      </c>
      <c r="N2977" s="22">
        <f t="shared" si="639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636"/>
        <v>0</v>
      </c>
      <c r="J2978" s="5"/>
      <c r="K2978" s="5"/>
      <c r="L2978" s="33">
        <f t="shared" si="637"/>
        <v>0</v>
      </c>
      <c r="M2978" s="33">
        <f t="shared" si="638"/>
        <v>0</v>
      </c>
      <c r="N2978" s="22">
        <f t="shared" si="639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636"/>
        <v>0</v>
      </c>
      <c r="J2979" s="5"/>
      <c r="K2979" s="5"/>
      <c r="L2979" s="33">
        <f t="shared" si="637"/>
        <v>0</v>
      </c>
      <c r="M2979" s="33">
        <f t="shared" si="638"/>
        <v>0</v>
      </c>
      <c r="N2979" s="22">
        <f t="shared" si="639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636"/>
        <v>0</v>
      </c>
      <c r="J2980" s="5"/>
      <c r="K2980" s="5"/>
      <c r="L2980" s="33">
        <f t="shared" si="637"/>
        <v>0</v>
      </c>
      <c r="M2980" s="33">
        <f t="shared" si="638"/>
        <v>0</v>
      </c>
      <c r="N2980" s="22">
        <f t="shared" si="639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636"/>
        <v>0</v>
      </c>
      <c r="J2981" s="5"/>
      <c r="K2981" s="5"/>
      <c r="L2981" s="33">
        <f t="shared" si="637"/>
        <v>0</v>
      </c>
      <c r="M2981" s="33">
        <f t="shared" si="638"/>
        <v>0</v>
      </c>
      <c r="N2981" s="22">
        <f t="shared" si="639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636"/>
        <v>0</v>
      </c>
      <c r="J2982" s="5"/>
      <c r="K2982" s="5"/>
      <c r="L2982" s="33">
        <f t="shared" si="637"/>
        <v>0</v>
      </c>
      <c r="M2982" s="33">
        <f t="shared" si="638"/>
        <v>0</v>
      </c>
      <c r="N2982" s="22">
        <f t="shared" si="639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 t="shared" ref="I2984:I2985" si="640">D2984*(1-H2984)</f>
        <v>0</v>
      </c>
      <c r="J2984" s="5"/>
      <c r="K2984" s="5"/>
      <c r="L2984" s="33">
        <f t="shared" ref="L2984:L2985" si="641">E2984*(1-H2984)</f>
        <v>0</v>
      </c>
      <c r="M2984" s="33">
        <f t="shared" ref="M2984:M2985" si="642">IF(J2984="",L2984,(E2984/D2984)*J2984)</f>
        <v>0</v>
      </c>
      <c r="N2984" s="22">
        <f t="shared" ref="N2984:N2985" si="643"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 t="shared" si="640"/>
        <v>0</v>
      </c>
      <c r="J2985" s="5"/>
      <c r="K2985" s="5"/>
      <c r="L2985" s="33">
        <f t="shared" si="641"/>
        <v>0</v>
      </c>
      <c r="M2985" s="33">
        <f t="shared" si="642"/>
        <v>0</v>
      </c>
      <c r="N2985" s="22">
        <f t="shared" si="643"/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 t="shared" ref="I2987:I2989" si="644">D2987*(1-H2987)</f>
        <v>400</v>
      </c>
      <c r="J2987" s="5"/>
      <c r="K2987" s="5"/>
      <c r="L2987" s="33">
        <f t="shared" ref="L2987:L2989" si="645">E2987*(1-H2987)</f>
        <v>0</v>
      </c>
      <c r="M2987" s="33">
        <f t="shared" ref="M2987:M2989" si="646">IF(J2987="",L2987,(E2987/D2987)*J2987)</f>
        <v>0</v>
      </c>
      <c r="N2987" s="22">
        <f t="shared" ref="N2987:N2989" si="647"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 t="shared" si="644"/>
        <v>160</v>
      </c>
      <c r="J2988" s="5"/>
      <c r="K2988" s="5"/>
      <c r="L2988" s="33">
        <f t="shared" si="645"/>
        <v>18807</v>
      </c>
      <c r="M2988" s="33">
        <f t="shared" si="646"/>
        <v>18807</v>
      </c>
      <c r="N2988" s="22">
        <f t="shared" si="647"/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 t="shared" si="644"/>
        <v>48</v>
      </c>
      <c r="J2989" s="5"/>
      <c r="K2989" s="5"/>
      <c r="L2989" s="33">
        <f t="shared" si="645"/>
        <v>0</v>
      </c>
      <c r="M2989" s="33">
        <f t="shared" si="646"/>
        <v>0</v>
      </c>
      <c r="N2989" s="22">
        <f t="shared" si="647"/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648">D2992*(1-H2992)</f>
        <v>0</v>
      </c>
      <c r="J2992" s="5"/>
      <c r="K2992" s="5"/>
      <c r="L2992" s="33">
        <f t="shared" ref="L2992:L3001" si="649">E2992*(1-H2992)</f>
        <v>0</v>
      </c>
      <c r="M2992" s="33">
        <f t="shared" ref="M2992:M3001" si="650">IF(J2992="",L2992,(E2992/D2992)*J2992)</f>
        <v>0</v>
      </c>
      <c r="N2992" s="22">
        <f t="shared" ref="N2992:N3001" si="651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648"/>
        <v>0</v>
      </c>
      <c r="J2993" s="5"/>
      <c r="K2993" s="5"/>
      <c r="L2993" s="33">
        <f t="shared" si="649"/>
        <v>0</v>
      </c>
      <c r="M2993" s="33">
        <f t="shared" si="650"/>
        <v>0</v>
      </c>
      <c r="N2993" s="22">
        <f t="shared" si="651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648"/>
        <v>0</v>
      </c>
      <c r="J2994" s="5"/>
      <c r="K2994" s="5"/>
      <c r="L2994" s="33">
        <f t="shared" si="649"/>
        <v>0</v>
      </c>
      <c r="M2994" s="33">
        <f t="shared" si="650"/>
        <v>0</v>
      </c>
      <c r="N2994" s="22">
        <f t="shared" si="651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648"/>
        <v>0</v>
      </c>
      <c r="J2995" s="5"/>
      <c r="K2995" s="5"/>
      <c r="L2995" s="33">
        <f t="shared" si="649"/>
        <v>0</v>
      </c>
      <c r="M2995" s="33">
        <f t="shared" si="650"/>
        <v>0</v>
      </c>
      <c r="N2995" s="22">
        <f t="shared" si="651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648"/>
        <v>0</v>
      </c>
      <c r="J2996" s="5"/>
      <c r="K2996" s="5"/>
      <c r="L2996" s="33">
        <f t="shared" si="649"/>
        <v>0</v>
      </c>
      <c r="M2996" s="33">
        <f t="shared" si="650"/>
        <v>0</v>
      </c>
      <c r="N2996" s="22">
        <f t="shared" si="651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648"/>
        <v>0</v>
      </c>
      <c r="J2997" s="5"/>
      <c r="K2997" s="5"/>
      <c r="L2997" s="33">
        <f t="shared" si="649"/>
        <v>0</v>
      </c>
      <c r="M2997" s="33">
        <f t="shared" si="650"/>
        <v>0</v>
      </c>
      <c r="N2997" s="22">
        <f t="shared" si="651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648"/>
        <v>0</v>
      </c>
      <c r="J2998" s="5"/>
      <c r="K2998" s="5"/>
      <c r="L2998" s="33">
        <f t="shared" si="649"/>
        <v>0</v>
      </c>
      <c r="M2998" s="33">
        <f t="shared" si="650"/>
        <v>0</v>
      </c>
      <c r="N2998" s="22">
        <f t="shared" si="651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648"/>
        <v>0</v>
      </c>
      <c r="J2999" s="5"/>
      <c r="K2999" s="5"/>
      <c r="L2999" s="33">
        <f t="shared" si="649"/>
        <v>0</v>
      </c>
      <c r="M2999" s="33">
        <f t="shared" si="650"/>
        <v>0</v>
      </c>
      <c r="N2999" s="22">
        <f t="shared" si="651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648"/>
        <v>0</v>
      </c>
      <c r="J3000" s="5"/>
      <c r="K3000" s="5"/>
      <c r="L3000" s="33">
        <f t="shared" si="649"/>
        <v>0</v>
      </c>
      <c r="M3000" s="33">
        <f t="shared" si="650"/>
        <v>0</v>
      </c>
      <c r="N3000" s="22">
        <f t="shared" si="651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648"/>
        <v>0</v>
      </c>
      <c r="J3001" s="5"/>
      <c r="K3001" s="5"/>
      <c r="L3001" s="33">
        <f t="shared" si="649"/>
        <v>0</v>
      </c>
      <c r="M3001" s="33">
        <f t="shared" si="650"/>
        <v>0</v>
      </c>
      <c r="N3001" s="22">
        <f t="shared" si="651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652">D3003*(1-H3003)</f>
        <v>0</v>
      </c>
      <c r="J3003" s="5"/>
      <c r="K3003" s="5"/>
      <c r="L3003" s="33">
        <f t="shared" ref="L3003:L3010" si="653">E3003*(1-H3003)</f>
        <v>0</v>
      </c>
      <c r="M3003" s="33">
        <f t="shared" ref="M3003:M3010" si="654">IF(J3003="",L3003,(E3003/D3003)*J3003)</f>
        <v>0</v>
      </c>
      <c r="N3003" s="22">
        <f t="shared" ref="N3003:N3010" si="655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652"/>
        <v>0</v>
      </c>
      <c r="J3004" s="5"/>
      <c r="K3004" s="5"/>
      <c r="L3004" s="33">
        <f t="shared" si="653"/>
        <v>0</v>
      </c>
      <c r="M3004" s="33">
        <f t="shared" si="654"/>
        <v>0</v>
      </c>
      <c r="N3004" s="22">
        <f t="shared" si="655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652"/>
        <v>0</v>
      </c>
      <c r="J3005" s="5"/>
      <c r="K3005" s="5"/>
      <c r="L3005" s="33">
        <f t="shared" si="653"/>
        <v>0</v>
      </c>
      <c r="M3005" s="33">
        <f t="shared" si="654"/>
        <v>0</v>
      </c>
      <c r="N3005" s="22">
        <f t="shared" si="655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652"/>
        <v>56</v>
      </c>
      <c r="J3006" s="5"/>
      <c r="K3006" s="5"/>
      <c r="L3006" s="33">
        <f t="shared" si="653"/>
        <v>8494</v>
      </c>
      <c r="M3006" s="33">
        <f t="shared" si="654"/>
        <v>8494</v>
      </c>
      <c r="N3006" s="22">
        <f t="shared" si="655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652"/>
        <v>56</v>
      </c>
      <c r="J3007" s="5"/>
      <c r="K3007" s="5"/>
      <c r="L3007" s="33">
        <f t="shared" si="653"/>
        <v>0</v>
      </c>
      <c r="M3007" s="33">
        <f t="shared" si="654"/>
        <v>0</v>
      </c>
      <c r="N3007" s="22">
        <f t="shared" si="655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652"/>
        <v>280</v>
      </c>
      <c r="J3008" s="5"/>
      <c r="K3008" s="5"/>
      <c r="L3008" s="33">
        <f t="shared" si="653"/>
        <v>0</v>
      </c>
      <c r="M3008" s="33">
        <f t="shared" si="654"/>
        <v>0</v>
      </c>
      <c r="N3008" s="22">
        <f t="shared" si="655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652"/>
        <v>168</v>
      </c>
      <c r="J3009" s="5"/>
      <c r="K3009" s="5"/>
      <c r="L3009" s="33">
        <f t="shared" si="653"/>
        <v>19748</v>
      </c>
      <c r="M3009" s="33">
        <f t="shared" si="654"/>
        <v>19748</v>
      </c>
      <c r="N3009" s="22">
        <f t="shared" si="655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652"/>
        <v>323</v>
      </c>
      <c r="J3010" s="5"/>
      <c r="K3010" s="5"/>
      <c r="L3010" s="33">
        <f t="shared" si="653"/>
        <v>57258</v>
      </c>
      <c r="M3010" s="33">
        <f t="shared" si="654"/>
        <v>57258</v>
      </c>
      <c r="N3010" s="22">
        <f t="shared" si="655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656">D3013*(1-H3013)</f>
        <v>0</v>
      </c>
      <c r="J3013" s="5"/>
      <c r="K3013" s="5"/>
      <c r="L3013" s="33">
        <f t="shared" ref="L3013:L3021" si="657">E3013*(1-H3013)</f>
        <v>0</v>
      </c>
      <c r="M3013" s="33">
        <f t="shared" ref="M3013:M3021" si="658">IF(J3013="",L3013,(E3013/D3013)*J3013)</f>
        <v>0</v>
      </c>
      <c r="N3013" s="22">
        <f t="shared" ref="N3013:N3021" si="659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656"/>
        <v>0</v>
      </c>
      <c r="J3014" s="5"/>
      <c r="K3014" s="5"/>
      <c r="L3014" s="33">
        <f t="shared" si="657"/>
        <v>0</v>
      </c>
      <c r="M3014" s="33">
        <f t="shared" si="658"/>
        <v>0</v>
      </c>
      <c r="N3014" s="22">
        <f t="shared" si="659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656"/>
        <v>0</v>
      </c>
      <c r="J3015" s="5"/>
      <c r="K3015" s="5"/>
      <c r="L3015" s="33">
        <f t="shared" si="657"/>
        <v>0</v>
      </c>
      <c r="M3015" s="33">
        <f t="shared" si="658"/>
        <v>0</v>
      </c>
      <c r="N3015" s="22">
        <f t="shared" si="659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656"/>
        <v>0</v>
      </c>
      <c r="J3016" s="5"/>
      <c r="K3016" s="5"/>
      <c r="L3016" s="33">
        <f t="shared" si="657"/>
        <v>0</v>
      </c>
      <c r="M3016" s="33">
        <f t="shared" si="658"/>
        <v>0</v>
      </c>
      <c r="N3016" s="22">
        <f t="shared" si="659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656"/>
        <v>0</v>
      </c>
      <c r="J3017" s="5"/>
      <c r="K3017" s="5"/>
      <c r="L3017" s="33">
        <f t="shared" si="657"/>
        <v>0</v>
      </c>
      <c r="M3017" s="33">
        <f t="shared" si="658"/>
        <v>0</v>
      </c>
      <c r="N3017" s="22">
        <f t="shared" si="659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656"/>
        <v>0</v>
      </c>
      <c r="J3018" s="5"/>
      <c r="K3018" s="5"/>
      <c r="L3018" s="33">
        <f t="shared" si="657"/>
        <v>0</v>
      </c>
      <c r="M3018" s="33">
        <f t="shared" si="658"/>
        <v>0</v>
      </c>
      <c r="N3018" s="22">
        <f t="shared" si="659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656"/>
        <v>0</v>
      </c>
      <c r="J3019" s="5"/>
      <c r="K3019" s="5"/>
      <c r="L3019" s="33">
        <f t="shared" si="657"/>
        <v>0</v>
      </c>
      <c r="M3019" s="33">
        <f t="shared" si="658"/>
        <v>0</v>
      </c>
      <c r="N3019" s="22">
        <f t="shared" si="659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656"/>
        <v>0</v>
      </c>
      <c r="J3020" s="5"/>
      <c r="K3020" s="5"/>
      <c r="L3020" s="33">
        <f t="shared" si="657"/>
        <v>0</v>
      </c>
      <c r="M3020" s="33">
        <f t="shared" si="658"/>
        <v>0</v>
      </c>
      <c r="N3020" s="22">
        <f t="shared" si="659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656"/>
        <v>0</v>
      </c>
      <c r="J3021" s="5"/>
      <c r="K3021" s="5"/>
      <c r="L3021" s="33">
        <f t="shared" si="657"/>
        <v>0</v>
      </c>
      <c r="M3021" s="33">
        <f t="shared" si="658"/>
        <v>0</v>
      </c>
      <c r="N3021" s="22">
        <f t="shared" si="659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660">D3023*(1-H3023)</f>
        <v>0</v>
      </c>
      <c r="J3023" s="5"/>
      <c r="K3023" s="5"/>
      <c r="L3023" s="33">
        <f t="shared" ref="L3023:L3043" si="661">E3023*(1-H3023)</f>
        <v>0</v>
      </c>
      <c r="M3023" s="33">
        <f t="shared" ref="M3023:M3043" si="662">IF(J3023="",L3023,(E3023/D3023)*J3023)</f>
        <v>0</v>
      </c>
      <c r="N3023" s="22">
        <f t="shared" ref="N3023:N3043" si="663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660"/>
        <v>0</v>
      </c>
      <c r="J3024" s="5"/>
      <c r="K3024" s="5"/>
      <c r="L3024" s="33">
        <f t="shared" si="661"/>
        <v>0</v>
      </c>
      <c r="M3024" s="33">
        <f t="shared" si="662"/>
        <v>0</v>
      </c>
      <c r="N3024" s="22">
        <f t="shared" si="663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660"/>
        <v>0</v>
      </c>
      <c r="J3025" s="5"/>
      <c r="K3025" s="5"/>
      <c r="L3025" s="33">
        <f t="shared" si="661"/>
        <v>0</v>
      </c>
      <c r="M3025" s="33">
        <f t="shared" si="662"/>
        <v>0</v>
      </c>
      <c r="N3025" s="22">
        <f t="shared" si="663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660"/>
        <v>39.6</v>
      </c>
      <c r="J3026" s="5"/>
      <c r="K3026" s="5"/>
      <c r="L3026" s="33">
        <f t="shared" si="661"/>
        <v>6006.6</v>
      </c>
      <c r="M3026" s="33">
        <f t="shared" si="662"/>
        <v>6006.6</v>
      </c>
      <c r="N3026" s="22">
        <f t="shared" si="663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660"/>
        <v>237.6</v>
      </c>
      <c r="J3027" s="5"/>
      <c r="K3027" s="5"/>
      <c r="L3027" s="33">
        <f t="shared" si="661"/>
        <v>27928.799999999999</v>
      </c>
      <c r="M3027" s="33">
        <f t="shared" si="662"/>
        <v>27928.799999999999</v>
      </c>
      <c r="N3027" s="22">
        <f t="shared" si="663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660"/>
        <v>39.6</v>
      </c>
      <c r="J3028" s="5"/>
      <c r="K3028" s="5"/>
      <c r="L3028" s="33">
        <f t="shared" si="661"/>
        <v>0</v>
      </c>
      <c r="M3028" s="33">
        <f t="shared" si="662"/>
        <v>0</v>
      </c>
      <c r="N3028" s="22">
        <f t="shared" si="663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660"/>
        <v>198</v>
      </c>
      <c r="J3029" s="5"/>
      <c r="K3029" s="5"/>
      <c r="L3029" s="33">
        <f t="shared" si="661"/>
        <v>0</v>
      </c>
      <c r="M3029" s="33">
        <f t="shared" si="662"/>
        <v>0</v>
      </c>
      <c r="N3029" s="22">
        <f t="shared" si="663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660"/>
        <v>164.70000000000002</v>
      </c>
      <c r="J3030" s="5"/>
      <c r="K3030" s="5"/>
      <c r="L3030" s="33">
        <f t="shared" si="661"/>
        <v>29196</v>
      </c>
      <c r="M3030" s="33">
        <f t="shared" si="662"/>
        <v>29196</v>
      </c>
      <c r="N3030" s="22">
        <f t="shared" si="663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660"/>
        <v>0</v>
      </c>
      <c r="J3031" s="5"/>
      <c r="K3031" s="5"/>
      <c r="L3031" s="33">
        <f t="shared" si="661"/>
        <v>0</v>
      </c>
      <c r="M3031" s="33">
        <f t="shared" si="662"/>
        <v>0</v>
      </c>
      <c r="N3031" s="22">
        <f t="shared" si="663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660"/>
        <v>0</v>
      </c>
      <c r="J3032" s="5"/>
      <c r="K3032" s="5"/>
      <c r="L3032" s="33">
        <f t="shared" si="661"/>
        <v>0</v>
      </c>
      <c r="M3032" s="33">
        <f t="shared" si="662"/>
        <v>0</v>
      </c>
      <c r="N3032" s="22">
        <f t="shared" si="663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660"/>
        <v>0</v>
      </c>
      <c r="J3033" s="5"/>
      <c r="K3033" s="5"/>
      <c r="L3033" s="33">
        <f t="shared" si="661"/>
        <v>0</v>
      </c>
      <c r="M3033" s="33">
        <f t="shared" si="662"/>
        <v>0</v>
      </c>
      <c r="N3033" s="22">
        <f t="shared" si="663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660"/>
        <v>960</v>
      </c>
      <c r="J3034" s="5"/>
      <c r="K3034" s="5"/>
      <c r="L3034" s="33">
        <f t="shared" si="661"/>
        <v>145959</v>
      </c>
      <c r="M3034" s="33">
        <f t="shared" si="662"/>
        <v>145959</v>
      </c>
      <c r="N3034" s="22">
        <f t="shared" si="663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660"/>
        <v>440</v>
      </c>
      <c r="J3035" s="5"/>
      <c r="K3035" s="5"/>
      <c r="L3035" s="33">
        <f t="shared" si="661"/>
        <v>0</v>
      </c>
      <c r="M3035" s="33">
        <f t="shared" si="662"/>
        <v>0</v>
      </c>
      <c r="N3035" s="22">
        <f t="shared" si="663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660"/>
        <v>440</v>
      </c>
      <c r="J3036" s="5"/>
      <c r="K3036" s="5"/>
      <c r="L3036" s="33">
        <f t="shared" si="661"/>
        <v>78182</v>
      </c>
      <c r="M3036" s="33">
        <f t="shared" si="662"/>
        <v>78182</v>
      </c>
      <c r="N3036" s="22">
        <f t="shared" si="663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660"/>
        <v>0</v>
      </c>
      <c r="J3037" s="5"/>
      <c r="K3037" s="5"/>
      <c r="L3037" s="33">
        <f t="shared" si="661"/>
        <v>0</v>
      </c>
      <c r="M3037" s="33">
        <f t="shared" si="662"/>
        <v>0</v>
      </c>
      <c r="N3037" s="22">
        <f t="shared" si="663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660"/>
        <v>0</v>
      </c>
      <c r="J3038" s="5"/>
      <c r="K3038" s="5"/>
      <c r="L3038" s="33">
        <f t="shared" si="661"/>
        <v>0</v>
      </c>
      <c r="M3038" s="33">
        <f t="shared" si="662"/>
        <v>0</v>
      </c>
      <c r="N3038" s="22">
        <f t="shared" si="663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660"/>
        <v>0</v>
      </c>
      <c r="J3039" s="5"/>
      <c r="K3039" s="5"/>
      <c r="L3039" s="33">
        <f t="shared" si="661"/>
        <v>0</v>
      </c>
      <c r="M3039" s="33">
        <f t="shared" si="662"/>
        <v>0</v>
      </c>
      <c r="N3039" s="22">
        <f t="shared" si="663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660"/>
        <v>0</v>
      </c>
      <c r="J3040" s="5"/>
      <c r="K3040" s="5"/>
      <c r="L3040" s="33">
        <f t="shared" si="661"/>
        <v>0</v>
      </c>
      <c r="M3040" s="33">
        <f t="shared" si="662"/>
        <v>0</v>
      </c>
      <c r="N3040" s="22">
        <f t="shared" si="663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660"/>
        <v>0</v>
      </c>
      <c r="J3041" s="5"/>
      <c r="K3041" s="5"/>
      <c r="L3041" s="33">
        <f t="shared" si="661"/>
        <v>0</v>
      </c>
      <c r="M3041" s="33">
        <f t="shared" si="662"/>
        <v>0</v>
      </c>
      <c r="N3041" s="22">
        <f t="shared" si="663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660"/>
        <v>0</v>
      </c>
      <c r="J3042" s="5"/>
      <c r="K3042" s="5"/>
      <c r="L3042" s="33">
        <f t="shared" si="661"/>
        <v>0</v>
      </c>
      <c r="M3042" s="33">
        <f t="shared" si="662"/>
        <v>0</v>
      </c>
      <c r="N3042" s="22">
        <f t="shared" si="663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660"/>
        <v>0</v>
      </c>
      <c r="J3043" s="5"/>
      <c r="K3043" s="5"/>
      <c r="L3043" s="33">
        <f t="shared" si="661"/>
        <v>0</v>
      </c>
      <c r="M3043" s="33">
        <f t="shared" si="662"/>
        <v>0</v>
      </c>
      <c r="N3043" s="22">
        <f t="shared" si="663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664">D3046*(1-H3046)</f>
        <v>0</v>
      </c>
      <c r="J3046" s="5"/>
      <c r="K3046" s="5"/>
      <c r="L3046" s="33">
        <f t="shared" ref="L3046:L3054" si="665">E3046*(1-H3046)</f>
        <v>0</v>
      </c>
      <c r="M3046" s="33">
        <f t="shared" ref="M3046:M3054" si="666">IF(J3046="",L3046,(E3046/D3046)*J3046)</f>
        <v>0</v>
      </c>
      <c r="N3046" s="22">
        <f t="shared" ref="N3046:N3054" si="667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664"/>
        <v>0</v>
      </c>
      <c r="J3047" s="5"/>
      <c r="K3047" s="5"/>
      <c r="L3047" s="33">
        <f t="shared" si="665"/>
        <v>0</v>
      </c>
      <c r="M3047" s="33">
        <f t="shared" si="666"/>
        <v>0</v>
      </c>
      <c r="N3047" s="22">
        <f t="shared" si="667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664"/>
        <v>0</v>
      </c>
      <c r="J3048" s="5"/>
      <c r="K3048" s="5"/>
      <c r="L3048" s="33">
        <f t="shared" si="665"/>
        <v>0</v>
      </c>
      <c r="M3048" s="33">
        <f t="shared" si="666"/>
        <v>0</v>
      </c>
      <c r="N3048" s="22">
        <f t="shared" si="667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664"/>
        <v>0</v>
      </c>
      <c r="J3049" s="5"/>
      <c r="K3049" s="5"/>
      <c r="L3049" s="33">
        <f t="shared" si="665"/>
        <v>0</v>
      </c>
      <c r="M3049" s="33">
        <f t="shared" si="666"/>
        <v>0</v>
      </c>
      <c r="N3049" s="22">
        <f t="shared" si="667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664"/>
        <v>0</v>
      </c>
      <c r="J3050" s="5"/>
      <c r="K3050" s="5"/>
      <c r="L3050" s="33">
        <f t="shared" si="665"/>
        <v>0</v>
      </c>
      <c r="M3050" s="33">
        <f t="shared" si="666"/>
        <v>0</v>
      </c>
      <c r="N3050" s="22">
        <f t="shared" si="667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664"/>
        <v>0</v>
      </c>
      <c r="J3051" s="5"/>
      <c r="K3051" s="5"/>
      <c r="L3051" s="33">
        <f t="shared" si="665"/>
        <v>0</v>
      </c>
      <c r="M3051" s="33">
        <f t="shared" si="666"/>
        <v>0</v>
      </c>
      <c r="N3051" s="22">
        <f t="shared" si="667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664"/>
        <v>0</v>
      </c>
      <c r="J3052" s="5"/>
      <c r="K3052" s="5"/>
      <c r="L3052" s="33">
        <f t="shared" si="665"/>
        <v>0</v>
      </c>
      <c r="M3052" s="33">
        <f t="shared" si="666"/>
        <v>0</v>
      </c>
      <c r="N3052" s="22">
        <f t="shared" si="667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664"/>
        <v>12</v>
      </c>
      <c r="J3053" s="5"/>
      <c r="K3053" s="5"/>
      <c r="L3053" s="33">
        <f t="shared" si="665"/>
        <v>0</v>
      </c>
      <c r="M3053" s="33">
        <f t="shared" si="666"/>
        <v>0</v>
      </c>
      <c r="N3053" s="22">
        <f t="shared" si="667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664"/>
        <v>12</v>
      </c>
      <c r="J3054" s="5"/>
      <c r="K3054" s="5"/>
      <c r="L3054" s="33">
        <f t="shared" si="665"/>
        <v>1766.5</v>
      </c>
      <c r="M3054" s="33">
        <f t="shared" si="666"/>
        <v>1766.5</v>
      </c>
      <c r="N3054" s="22">
        <f t="shared" si="667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668">D3056*(1-H3056)</f>
        <v>0</v>
      </c>
      <c r="J3056" s="5"/>
      <c r="K3056" s="5"/>
      <c r="L3056" s="33">
        <f t="shared" ref="L3056:L3063" si="669">E3056*(1-H3056)</f>
        <v>0</v>
      </c>
      <c r="M3056" s="33">
        <f t="shared" ref="M3056:M3063" si="670">IF(J3056="",L3056,(E3056/D3056)*J3056)</f>
        <v>0</v>
      </c>
      <c r="N3056" s="22">
        <f t="shared" ref="N3056:N3063" si="671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668"/>
        <v>0</v>
      </c>
      <c r="J3057" s="5"/>
      <c r="K3057" s="5"/>
      <c r="L3057" s="33">
        <f t="shared" si="669"/>
        <v>0</v>
      </c>
      <c r="M3057" s="33">
        <f t="shared" si="670"/>
        <v>0</v>
      </c>
      <c r="N3057" s="22">
        <f t="shared" si="671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668"/>
        <v>0</v>
      </c>
      <c r="J3058" s="5"/>
      <c r="K3058" s="5"/>
      <c r="L3058" s="33">
        <f t="shared" si="669"/>
        <v>0</v>
      </c>
      <c r="M3058" s="33">
        <f t="shared" si="670"/>
        <v>0</v>
      </c>
      <c r="N3058" s="22">
        <f t="shared" si="671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668"/>
        <v>43.2</v>
      </c>
      <c r="J3059" s="5"/>
      <c r="K3059" s="5"/>
      <c r="L3059" s="33">
        <f t="shared" si="669"/>
        <v>6362.1</v>
      </c>
      <c r="M3059" s="33">
        <f t="shared" si="670"/>
        <v>6362.1</v>
      </c>
      <c r="N3059" s="22">
        <f t="shared" si="671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668"/>
        <v>1728</v>
      </c>
      <c r="J3060" s="5"/>
      <c r="K3060" s="5"/>
      <c r="L3060" s="33">
        <f t="shared" si="669"/>
        <v>0</v>
      </c>
      <c r="M3060" s="33">
        <f t="shared" si="670"/>
        <v>0</v>
      </c>
      <c r="N3060" s="22">
        <f t="shared" si="671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668"/>
        <v>432</v>
      </c>
      <c r="J3061" s="5"/>
      <c r="K3061" s="5"/>
      <c r="L3061" s="33">
        <f t="shared" si="669"/>
        <v>49301.1</v>
      </c>
      <c r="M3061" s="33">
        <f t="shared" si="670"/>
        <v>49301.1</v>
      </c>
      <c r="N3061" s="22">
        <f t="shared" si="671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668"/>
        <v>18</v>
      </c>
      <c r="J3062" s="5"/>
      <c r="K3062" s="5"/>
      <c r="L3062" s="33">
        <f t="shared" si="669"/>
        <v>2657.25</v>
      </c>
      <c r="M3062" s="33">
        <f t="shared" si="670"/>
        <v>2657.25</v>
      </c>
      <c r="N3062" s="22">
        <f t="shared" si="671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668"/>
        <v>360</v>
      </c>
      <c r="J3063" s="5"/>
      <c r="K3063" s="5"/>
      <c r="L3063" s="33">
        <f t="shared" si="669"/>
        <v>0</v>
      </c>
      <c r="M3063" s="33">
        <f t="shared" si="670"/>
        <v>0</v>
      </c>
      <c r="N3063" s="22">
        <f t="shared" si="671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 t="shared" ref="I3065:I3067" si="672">D3065*(1-H3065)</f>
        <v>0</v>
      </c>
      <c r="J3065" s="5"/>
      <c r="K3065" s="5"/>
      <c r="L3065" s="33">
        <f t="shared" ref="L3065:L3067" si="673">E3065*(1-H3065)</f>
        <v>0</v>
      </c>
      <c r="M3065" s="33">
        <f t="shared" ref="M3065:M3067" si="674">IF(J3065="",L3065,(E3065/D3065)*J3065)</f>
        <v>0</v>
      </c>
      <c r="N3065" s="22">
        <f t="shared" ref="N3065:N3067" si="675"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 t="shared" si="672"/>
        <v>0</v>
      </c>
      <c r="J3066" s="5"/>
      <c r="K3066" s="5"/>
      <c r="L3066" s="33">
        <f t="shared" si="673"/>
        <v>0</v>
      </c>
      <c r="M3066" s="33">
        <f t="shared" si="674"/>
        <v>0</v>
      </c>
      <c r="N3066" s="22">
        <f t="shared" si="675"/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 t="shared" si="672"/>
        <v>0</v>
      </c>
      <c r="J3067" s="5"/>
      <c r="K3067" s="5"/>
      <c r="L3067" s="33">
        <f t="shared" si="673"/>
        <v>0</v>
      </c>
      <c r="M3067" s="33">
        <f t="shared" si="674"/>
        <v>0</v>
      </c>
      <c r="N3067" s="22">
        <f t="shared" si="675"/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676">D3072*(1-H3072)</f>
        <v>0</v>
      </c>
      <c r="J3072" s="5"/>
      <c r="K3072" s="5"/>
      <c r="L3072" s="33">
        <f t="shared" ref="L3072:L3087" si="677">E3072*(1-H3072)</f>
        <v>0</v>
      </c>
      <c r="M3072" s="33">
        <f t="shared" ref="M3072:M3087" si="678">IF(J3072="",L3072,(E3072/D3072)*J3072)</f>
        <v>0</v>
      </c>
      <c r="N3072" s="22">
        <f t="shared" ref="N3072:N3087" si="679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676"/>
        <v>0</v>
      </c>
      <c r="J3073" s="5"/>
      <c r="K3073" s="5"/>
      <c r="L3073" s="33">
        <f t="shared" si="677"/>
        <v>0</v>
      </c>
      <c r="M3073" s="33">
        <f t="shared" si="678"/>
        <v>0</v>
      </c>
      <c r="N3073" s="22">
        <f t="shared" si="679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676"/>
        <v>0</v>
      </c>
      <c r="J3074" s="5"/>
      <c r="K3074" s="5"/>
      <c r="L3074" s="33">
        <f t="shared" si="677"/>
        <v>0</v>
      </c>
      <c r="M3074" s="33">
        <f t="shared" si="678"/>
        <v>0</v>
      </c>
      <c r="N3074" s="22">
        <f t="shared" si="679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676"/>
        <v>0</v>
      </c>
      <c r="J3075" s="5"/>
      <c r="K3075" s="5"/>
      <c r="L3075" s="33">
        <f t="shared" si="677"/>
        <v>0</v>
      </c>
      <c r="M3075" s="33">
        <f t="shared" si="678"/>
        <v>0</v>
      </c>
      <c r="N3075" s="22">
        <f t="shared" si="679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676"/>
        <v>0</v>
      </c>
      <c r="J3076" s="5"/>
      <c r="K3076" s="5"/>
      <c r="L3076" s="33">
        <f t="shared" si="677"/>
        <v>0</v>
      </c>
      <c r="M3076" s="33">
        <f t="shared" si="678"/>
        <v>0</v>
      </c>
      <c r="N3076" s="22">
        <f t="shared" si="679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676"/>
        <v>0</v>
      </c>
      <c r="J3077" s="5"/>
      <c r="K3077" s="5"/>
      <c r="L3077" s="33">
        <f t="shared" si="677"/>
        <v>0</v>
      </c>
      <c r="M3077" s="33">
        <f t="shared" si="678"/>
        <v>0</v>
      </c>
      <c r="N3077" s="22">
        <f t="shared" si="679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676"/>
        <v>0</v>
      </c>
      <c r="J3078" s="5"/>
      <c r="K3078" s="5"/>
      <c r="L3078" s="33">
        <f t="shared" si="677"/>
        <v>0</v>
      </c>
      <c r="M3078" s="33">
        <f t="shared" si="678"/>
        <v>0</v>
      </c>
      <c r="N3078" s="22">
        <f t="shared" si="679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676"/>
        <v>0</v>
      </c>
      <c r="J3079" s="5"/>
      <c r="K3079" s="5"/>
      <c r="L3079" s="33">
        <f t="shared" si="677"/>
        <v>0</v>
      </c>
      <c r="M3079" s="33">
        <f t="shared" si="678"/>
        <v>0</v>
      </c>
      <c r="N3079" s="22">
        <f t="shared" si="679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676"/>
        <v>0</v>
      </c>
      <c r="J3080" s="5"/>
      <c r="K3080" s="5"/>
      <c r="L3080" s="33">
        <f t="shared" si="677"/>
        <v>0</v>
      </c>
      <c r="M3080" s="33">
        <f t="shared" si="678"/>
        <v>0</v>
      </c>
      <c r="N3080" s="22">
        <f t="shared" si="679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676"/>
        <v>0</v>
      </c>
      <c r="J3081" s="5"/>
      <c r="K3081" s="5"/>
      <c r="L3081" s="33">
        <f t="shared" si="677"/>
        <v>0</v>
      </c>
      <c r="M3081" s="33">
        <f t="shared" si="678"/>
        <v>0</v>
      </c>
      <c r="N3081" s="22">
        <f t="shared" si="679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676"/>
        <v>0</v>
      </c>
      <c r="J3082" s="5"/>
      <c r="K3082" s="5"/>
      <c r="L3082" s="33">
        <f t="shared" si="677"/>
        <v>0</v>
      </c>
      <c r="M3082" s="33">
        <f t="shared" si="678"/>
        <v>0</v>
      </c>
      <c r="N3082" s="22">
        <f t="shared" si="679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676"/>
        <v>0</v>
      </c>
      <c r="J3083" s="5"/>
      <c r="K3083" s="5"/>
      <c r="L3083" s="33">
        <f t="shared" si="677"/>
        <v>0</v>
      </c>
      <c r="M3083" s="33">
        <f t="shared" si="678"/>
        <v>0</v>
      </c>
      <c r="N3083" s="22">
        <f t="shared" si="679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676"/>
        <v>0</v>
      </c>
      <c r="J3084" s="5"/>
      <c r="K3084" s="5"/>
      <c r="L3084" s="33">
        <f t="shared" si="677"/>
        <v>0</v>
      </c>
      <c r="M3084" s="33">
        <f t="shared" si="678"/>
        <v>0</v>
      </c>
      <c r="N3084" s="22">
        <f t="shared" si="679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676"/>
        <v>0</v>
      </c>
      <c r="J3085" s="5"/>
      <c r="K3085" s="5"/>
      <c r="L3085" s="33">
        <f t="shared" si="677"/>
        <v>0</v>
      </c>
      <c r="M3085" s="33">
        <f t="shared" si="678"/>
        <v>0</v>
      </c>
      <c r="N3085" s="22">
        <f t="shared" si="679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676"/>
        <v>0</v>
      </c>
      <c r="J3086" s="5"/>
      <c r="K3086" s="5"/>
      <c r="L3086" s="33">
        <f t="shared" si="677"/>
        <v>0</v>
      </c>
      <c r="M3086" s="33">
        <f t="shared" si="678"/>
        <v>0</v>
      </c>
      <c r="N3086" s="22">
        <f t="shared" si="679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676"/>
        <v>0</v>
      </c>
      <c r="J3087" s="5"/>
      <c r="K3087" s="5"/>
      <c r="L3087" s="33">
        <f t="shared" si="677"/>
        <v>0</v>
      </c>
      <c r="M3087" s="33">
        <f t="shared" si="678"/>
        <v>0</v>
      </c>
      <c r="N3087" s="22">
        <f t="shared" si="679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680">D3089*(1-H3089)</f>
        <v>415.8</v>
      </c>
      <c r="J3089" s="5"/>
      <c r="K3089" s="5"/>
      <c r="L3089" s="33">
        <f t="shared" ref="L3089:L3097" si="681">E3089*(1-H3089)</f>
        <v>63196.200000000004</v>
      </c>
      <c r="M3089" s="33">
        <f t="shared" ref="M3089:M3097" si="682">IF(J3089="",L3089,(E3089/D3089)*J3089)</f>
        <v>63196.200000000004</v>
      </c>
      <c r="N3089" s="22">
        <f t="shared" ref="N3089:N3097" si="683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680"/>
        <v>415.8</v>
      </c>
      <c r="J3090" s="5"/>
      <c r="K3090" s="5"/>
      <c r="L3090" s="33">
        <f t="shared" si="681"/>
        <v>48973.5</v>
      </c>
      <c r="M3090" s="33">
        <f t="shared" si="682"/>
        <v>48973.5</v>
      </c>
      <c r="N3090" s="22">
        <f t="shared" si="683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680"/>
        <v>4147.2</v>
      </c>
      <c r="J3091" s="5"/>
      <c r="K3091" s="5"/>
      <c r="L3091" s="33">
        <f t="shared" si="681"/>
        <v>0</v>
      </c>
      <c r="M3091" s="33">
        <f t="shared" si="682"/>
        <v>0</v>
      </c>
      <c r="N3091" s="22">
        <f t="shared" si="683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680"/>
        <v>159.38999999999999</v>
      </c>
      <c r="J3092" s="5"/>
      <c r="K3092" s="5"/>
      <c r="L3092" s="33">
        <f t="shared" si="681"/>
        <v>24228.66</v>
      </c>
      <c r="M3092" s="33">
        <f t="shared" si="682"/>
        <v>24228.66</v>
      </c>
      <c r="N3092" s="22">
        <f t="shared" si="683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680"/>
        <v>318.77999999999997</v>
      </c>
      <c r="J3093" s="5"/>
      <c r="K3093" s="5"/>
      <c r="L3093" s="33">
        <f t="shared" si="681"/>
        <v>37551.869999999995</v>
      </c>
      <c r="M3093" s="33">
        <f t="shared" si="682"/>
        <v>37551.869999999995</v>
      </c>
      <c r="N3093" s="22">
        <f t="shared" si="683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680"/>
        <v>1589.7599999999998</v>
      </c>
      <c r="J3094" s="5"/>
      <c r="K3094" s="5"/>
      <c r="L3094" s="33">
        <f t="shared" si="681"/>
        <v>0</v>
      </c>
      <c r="M3094" s="33">
        <f t="shared" si="682"/>
        <v>0</v>
      </c>
      <c r="N3094" s="22">
        <f t="shared" si="683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680"/>
        <v>318.77999999999997</v>
      </c>
      <c r="J3095" s="5"/>
      <c r="K3095" s="5"/>
      <c r="L3095" s="33">
        <f t="shared" si="681"/>
        <v>67753.17</v>
      </c>
      <c r="M3095" s="33">
        <f t="shared" si="682"/>
        <v>67753.17</v>
      </c>
      <c r="N3095" s="22">
        <f t="shared" si="683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680"/>
        <v>159.38999999999999</v>
      </c>
      <c r="J3096" s="5"/>
      <c r="K3096" s="5"/>
      <c r="L3096" s="33">
        <f t="shared" si="681"/>
        <v>24228.66</v>
      </c>
      <c r="M3096" s="33">
        <f t="shared" si="682"/>
        <v>24228.66</v>
      </c>
      <c r="N3096" s="22">
        <f t="shared" si="683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680"/>
        <v>159.38999999999999</v>
      </c>
      <c r="J3097" s="5"/>
      <c r="K3097" s="5"/>
      <c r="L3097" s="33">
        <f t="shared" si="681"/>
        <v>18775.59</v>
      </c>
      <c r="M3097" s="33">
        <f t="shared" si="682"/>
        <v>18775.59</v>
      </c>
      <c r="N3097" s="22">
        <f t="shared" si="683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 t="shared" ref="I3100:I3104" si="684">D3100*(1-H3100)</f>
        <v>0</v>
      </c>
      <c r="J3100" s="5"/>
      <c r="K3100" s="5"/>
      <c r="L3100" s="33">
        <f t="shared" ref="L3100:L3104" si="685">E3100*(1-H3100)</f>
        <v>0</v>
      </c>
      <c r="M3100" s="33">
        <f t="shared" ref="M3100:M3104" si="686">IF(J3100="",L3100,(E3100/D3100)*J3100)</f>
        <v>0</v>
      </c>
      <c r="N3100" s="22">
        <f t="shared" ref="N3100:N3104" si="687"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 t="shared" si="684"/>
        <v>0</v>
      </c>
      <c r="J3101" s="5"/>
      <c r="K3101" s="5"/>
      <c r="L3101" s="33">
        <f t="shared" si="685"/>
        <v>0</v>
      </c>
      <c r="M3101" s="33">
        <f t="shared" si="686"/>
        <v>0</v>
      </c>
      <c r="N3101" s="22">
        <f t="shared" si="687"/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 t="shared" si="684"/>
        <v>0</v>
      </c>
      <c r="J3102" s="5"/>
      <c r="K3102" s="5"/>
      <c r="L3102" s="33">
        <f t="shared" si="685"/>
        <v>0</v>
      </c>
      <c r="M3102" s="33">
        <f t="shared" si="686"/>
        <v>0</v>
      </c>
      <c r="N3102" s="22">
        <f t="shared" si="687"/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 t="shared" si="684"/>
        <v>0</v>
      </c>
      <c r="J3103" s="5"/>
      <c r="K3103" s="5"/>
      <c r="L3103" s="33">
        <f t="shared" si="685"/>
        <v>0</v>
      </c>
      <c r="M3103" s="33">
        <f t="shared" si="686"/>
        <v>0</v>
      </c>
      <c r="N3103" s="22">
        <f t="shared" si="687"/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 t="shared" si="684"/>
        <v>0</v>
      </c>
      <c r="J3104" s="5"/>
      <c r="K3104" s="5"/>
      <c r="L3104" s="33">
        <f t="shared" si="685"/>
        <v>0</v>
      </c>
      <c r="M3104" s="33">
        <f t="shared" si="686"/>
        <v>0</v>
      </c>
      <c r="N3104" s="22">
        <f t="shared" si="687"/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688">D3107*(1-H3107)</f>
        <v>0</v>
      </c>
      <c r="J3107" s="5"/>
      <c r="K3107" s="5"/>
      <c r="L3107" s="33">
        <f t="shared" ref="L3107:L3130" si="689">E3107*(1-H3107)</f>
        <v>0</v>
      </c>
      <c r="M3107" s="33">
        <f t="shared" ref="M3107:M3130" si="690">IF(J3107="",L3107,(E3107/D3107)*J3107)</f>
        <v>0</v>
      </c>
      <c r="N3107" s="22">
        <f t="shared" ref="N3107:N3130" si="691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688"/>
        <v>0</v>
      </c>
      <c r="J3108" s="5"/>
      <c r="K3108" s="5"/>
      <c r="L3108" s="33">
        <f t="shared" si="689"/>
        <v>0</v>
      </c>
      <c r="M3108" s="33">
        <f t="shared" si="690"/>
        <v>0</v>
      </c>
      <c r="N3108" s="22">
        <f t="shared" si="691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688"/>
        <v>0</v>
      </c>
      <c r="J3109" s="5"/>
      <c r="K3109" s="5"/>
      <c r="L3109" s="33">
        <f t="shared" si="689"/>
        <v>0</v>
      </c>
      <c r="M3109" s="33">
        <f t="shared" si="690"/>
        <v>0</v>
      </c>
      <c r="N3109" s="22">
        <f t="shared" si="691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688"/>
        <v>0</v>
      </c>
      <c r="J3110" s="5"/>
      <c r="K3110" s="5"/>
      <c r="L3110" s="33">
        <f t="shared" si="689"/>
        <v>0</v>
      </c>
      <c r="M3110" s="33">
        <f t="shared" si="690"/>
        <v>0</v>
      </c>
      <c r="N3110" s="22">
        <f t="shared" si="691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688"/>
        <v>0</v>
      </c>
      <c r="J3111" s="5"/>
      <c r="K3111" s="5"/>
      <c r="L3111" s="33">
        <f t="shared" si="689"/>
        <v>0</v>
      </c>
      <c r="M3111" s="33">
        <f t="shared" si="690"/>
        <v>0</v>
      </c>
      <c r="N3111" s="22">
        <f t="shared" si="691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688"/>
        <v>0</v>
      </c>
      <c r="J3112" s="5"/>
      <c r="K3112" s="5"/>
      <c r="L3112" s="33">
        <f t="shared" si="689"/>
        <v>0</v>
      </c>
      <c r="M3112" s="33">
        <f t="shared" si="690"/>
        <v>0</v>
      </c>
      <c r="N3112" s="22">
        <f t="shared" si="691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688"/>
        <v>0</v>
      </c>
      <c r="J3113" s="5"/>
      <c r="K3113" s="5"/>
      <c r="L3113" s="33">
        <f t="shared" si="689"/>
        <v>0</v>
      </c>
      <c r="M3113" s="33">
        <f t="shared" si="690"/>
        <v>0</v>
      </c>
      <c r="N3113" s="22">
        <f t="shared" si="691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688"/>
        <v>0</v>
      </c>
      <c r="J3114" s="5"/>
      <c r="K3114" s="5"/>
      <c r="L3114" s="33">
        <f t="shared" si="689"/>
        <v>0</v>
      </c>
      <c r="M3114" s="33">
        <f t="shared" si="690"/>
        <v>0</v>
      </c>
      <c r="N3114" s="22">
        <f t="shared" si="691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688"/>
        <v>0</v>
      </c>
      <c r="J3115" s="5"/>
      <c r="K3115" s="5"/>
      <c r="L3115" s="33">
        <f t="shared" si="689"/>
        <v>0</v>
      </c>
      <c r="M3115" s="33">
        <f t="shared" si="690"/>
        <v>0</v>
      </c>
      <c r="N3115" s="22">
        <f t="shared" si="691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688"/>
        <v>0</v>
      </c>
      <c r="J3116" s="5"/>
      <c r="K3116" s="5"/>
      <c r="L3116" s="33">
        <f t="shared" si="689"/>
        <v>0</v>
      </c>
      <c r="M3116" s="33">
        <f t="shared" si="690"/>
        <v>0</v>
      </c>
      <c r="N3116" s="22">
        <f t="shared" si="691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688"/>
        <v>0</v>
      </c>
      <c r="J3117" s="5"/>
      <c r="K3117" s="5"/>
      <c r="L3117" s="33">
        <f t="shared" si="689"/>
        <v>0</v>
      </c>
      <c r="M3117" s="33">
        <f t="shared" si="690"/>
        <v>0</v>
      </c>
      <c r="N3117" s="22">
        <f t="shared" si="691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688"/>
        <v>0</v>
      </c>
      <c r="J3118" s="5"/>
      <c r="K3118" s="5"/>
      <c r="L3118" s="33">
        <f t="shared" si="689"/>
        <v>0</v>
      </c>
      <c r="M3118" s="33">
        <f t="shared" si="690"/>
        <v>0</v>
      </c>
      <c r="N3118" s="22">
        <f t="shared" si="691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688"/>
        <v>0</v>
      </c>
      <c r="J3119" s="5"/>
      <c r="K3119" s="5"/>
      <c r="L3119" s="33">
        <f t="shared" si="689"/>
        <v>0</v>
      </c>
      <c r="M3119" s="33">
        <f t="shared" si="690"/>
        <v>0</v>
      </c>
      <c r="N3119" s="22">
        <f t="shared" si="691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688"/>
        <v>0</v>
      </c>
      <c r="J3120" s="5"/>
      <c r="K3120" s="5"/>
      <c r="L3120" s="33">
        <f t="shared" si="689"/>
        <v>0</v>
      </c>
      <c r="M3120" s="33">
        <f t="shared" si="690"/>
        <v>0</v>
      </c>
      <c r="N3120" s="22">
        <f t="shared" si="691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688"/>
        <v>0</v>
      </c>
      <c r="J3121" s="5"/>
      <c r="K3121" s="5"/>
      <c r="L3121" s="33">
        <f t="shared" si="689"/>
        <v>0</v>
      </c>
      <c r="M3121" s="33">
        <f t="shared" si="690"/>
        <v>0</v>
      </c>
      <c r="N3121" s="22">
        <f t="shared" si="691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688"/>
        <v>0</v>
      </c>
      <c r="J3122" s="5"/>
      <c r="K3122" s="5"/>
      <c r="L3122" s="33">
        <f t="shared" si="689"/>
        <v>0</v>
      </c>
      <c r="M3122" s="33">
        <f t="shared" si="690"/>
        <v>0</v>
      </c>
      <c r="N3122" s="22">
        <f t="shared" si="691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688"/>
        <v>0</v>
      </c>
      <c r="J3123" s="5"/>
      <c r="K3123" s="5"/>
      <c r="L3123" s="33">
        <f t="shared" si="689"/>
        <v>0</v>
      </c>
      <c r="M3123" s="33">
        <f t="shared" si="690"/>
        <v>0</v>
      </c>
      <c r="N3123" s="22">
        <f t="shared" si="691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688"/>
        <v>0</v>
      </c>
      <c r="J3124" s="5"/>
      <c r="K3124" s="5"/>
      <c r="L3124" s="33">
        <f t="shared" si="689"/>
        <v>0</v>
      </c>
      <c r="M3124" s="33">
        <f t="shared" si="690"/>
        <v>0</v>
      </c>
      <c r="N3124" s="22">
        <f t="shared" si="691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688"/>
        <v>0</v>
      </c>
      <c r="J3125" s="5"/>
      <c r="K3125" s="5"/>
      <c r="L3125" s="33">
        <f t="shared" si="689"/>
        <v>0</v>
      </c>
      <c r="M3125" s="33">
        <f t="shared" si="690"/>
        <v>0</v>
      </c>
      <c r="N3125" s="22">
        <f t="shared" si="691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688"/>
        <v>0</v>
      </c>
      <c r="J3126" s="5"/>
      <c r="K3126" s="5"/>
      <c r="L3126" s="33">
        <f t="shared" si="689"/>
        <v>0</v>
      </c>
      <c r="M3126" s="33">
        <f t="shared" si="690"/>
        <v>0</v>
      </c>
      <c r="N3126" s="22">
        <f t="shared" si="691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688"/>
        <v>0</v>
      </c>
      <c r="J3127" s="5"/>
      <c r="K3127" s="5"/>
      <c r="L3127" s="33">
        <f t="shared" si="689"/>
        <v>0</v>
      </c>
      <c r="M3127" s="33">
        <f t="shared" si="690"/>
        <v>0</v>
      </c>
      <c r="N3127" s="22">
        <f t="shared" si="691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688"/>
        <v>0</v>
      </c>
      <c r="J3128" s="5"/>
      <c r="K3128" s="5"/>
      <c r="L3128" s="33">
        <f t="shared" si="689"/>
        <v>0</v>
      </c>
      <c r="M3128" s="33">
        <f t="shared" si="690"/>
        <v>0</v>
      </c>
      <c r="N3128" s="22">
        <f t="shared" si="691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688"/>
        <v>0</v>
      </c>
      <c r="J3129" s="5"/>
      <c r="K3129" s="5"/>
      <c r="L3129" s="33">
        <f t="shared" si="689"/>
        <v>0</v>
      </c>
      <c r="M3129" s="33">
        <f t="shared" si="690"/>
        <v>0</v>
      </c>
      <c r="N3129" s="22">
        <f t="shared" si="691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688"/>
        <v>0</v>
      </c>
      <c r="J3130" s="5"/>
      <c r="K3130" s="5"/>
      <c r="L3130" s="33">
        <f t="shared" si="689"/>
        <v>0</v>
      </c>
      <c r="M3130" s="33">
        <f t="shared" si="690"/>
        <v>0</v>
      </c>
      <c r="N3130" s="22">
        <f t="shared" si="691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692">D3132*(1-H3132)</f>
        <v>0</v>
      </c>
      <c r="J3132" s="5"/>
      <c r="K3132" s="5"/>
      <c r="L3132" s="33">
        <f t="shared" ref="L3132:L3150" si="693">E3132*(1-H3132)</f>
        <v>0</v>
      </c>
      <c r="M3132" s="33">
        <f t="shared" ref="M3132:M3150" si="694">IF(J3132="",L3132,(E3132/D3132)*J3132)</f>
        <v>0</v>
      </c>
      <c r="N3132" s="22">
        <f t="shared" ref="N3132:N3150" si="695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692"/>
        <v>0</v>
      </c>
      <c r="J3133" s="5"/>
      <c r="K3133" s="5"/>
      <c r="L3133" s="33">
        <f t="shared" si="693"/>
        <v>0</v>
      </c>
      <c r="M3133" s="33">
        <f t="shared" si="694"/>
        <v>0</v>
      </c>
      <c r="N3133" s="22">
        <f t="shared" si="695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692"/>
        <v>0</v>
      </c>
      <c r="J3134" s="5"/>
      <c r="K3134" s="5"/>
      <c r="L3134" s="33">
        <f t="shared" si="693"/>
        <v>0</v>
      </c>
      <c r="M3134" s="33">
        <f t="shared" si="694"/>
        <v>0</v>
      </c>
      <c r="N3134" s="22">
        <f t="shared" si="695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692"/>
        <v>0</v>
      </c>
      <c r="J3135" s="5"/>
      <c r="K3135" s="5"/>
      <c r="L3135" s="33">
        <f t="shared" si="693"/>
        <v>0</v>
      </c>
      <c r="M3135" s="33">
        <f t="shared" si="694"/>
        <v>0</v>
      </c>
      <c r="N3135" s="22">
        <f t="shared" si="695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692"/>
        <v>0</v>
      </c>
      <c r="J3136" s="5"/>
      <c r="K3136" s="5"/>
      <c r="L3136" s="33">
        <f t="shared" si="693"/>
        <v>0</v>
      </c>
      <c r="M3136" s="33">
        <f t="shared" si="694"/>
        <v>0</v>
      </c>
      <c r="N3136" s="22">
        <f t="shared" si="695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692"/>
        <v>0</v>
      </c>
      <c r="J3137" s="5"/>
      <c r="K3137" s="5"/>
      <c r="L3137" s="33">
        <f t="shared" si="693"/>
        <v>0</v>
      </c>
      <c r="M3137" s="33">
        <f t="shared" si="694"/>
        <v>0</v>
      </c>
      <c r="N3137" s="22">
        <f t="shared" si="695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692"/>
        <v>0</v>
      </c>
      <c r="J3138" s="5"/>
      <c r="K3138" s="5"/>
      <c r="L3138" s="33">
        <f t="shared" si="693"/>
        <v>0</v>
      </c>
      <c r="M3138" s="33">
        <f t="shared" si="694"/>
        <v>0</v>
      </c>
      <c r="N3138" s="22">
        <f t="shared" si="695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692"/>
        <v>0</v>
      </c>
      <c r="J3139" s="5"/>
      <c r="K3139" s="5"/>
      <c r="L3139" s="33">
        <f t="shared" si="693"/>
        <v>0</v>
      </c>
      <c r="M3139" s="33">
        <f t="shared" si="694"/>
        <v>0</v>
      </c>
      <c r="N3139" s="22">
        <f t="shared" si="695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692"/>
        <v>0</v>
      </c>
      <c r="J3140" s="5"/>
      <c r="K3140" s="5"/>
      <c r="L3140" s="33">
        <f t="shared" si="693"/>
        <v>0</v>
      </c>
      <c r="M3140" s="33">
        <f t="shared" si="694"/>
        <v>0</v>
      </c>
      <c r="N3140" s="22">
        <f t="shared" si="695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692"/>
        <v>0</v>
      </c>
      <c r="J3141" s="5"/>
      <c r="K3141" s="5"/>
      <c r="L3141" s="33">
        <f t="shared" si="693"/>
        <v>0</v>
      </c>
      <c r="M3141" s="33">
        <f t="shared" si="694"/>
        <v>0</v>
      </c>
      <c r="N3141" s="22">
        <f t="shared" si="695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692"/>
        <v>0</v>
      </c>
      <c r="J3142" s="5"/>
      <c r="K3142" s="5"/>
      <c r="L3142" s="33">
        <f t="shared" si="693"/>
        <v>0</v>
      </c>
      <c r="M3142" s="33">
        <f t="shared" si="694"/>
        <v>0</v>
      </c>
      <c r="N3142" s="22">
        <f t="shared" si="695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692"/>
        <v>0</v>
      </c>
      <c r="J3143" s="5"/>
      <c r="K3143" s="5"/>
      <c r="L3143" s="33">
        <f t="shared" si="693"/>
        <v>0</v>
      </c>
      <c r="M3143" s="33">
        <f t="shared" si="694"/>
        <v>0</v>
      </c>
      <c r="N3143" s="22">
        <f t="shared" si="695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692"/>
        <v>0</v>
      </c>
      <c r="J3144" s="5"/>
      <c r="K3144" s="5"/>
      <c r="L3144" s="33">
        <f t="shared" si="693"/>
        <v>0</v>
      </c>
      <c r="M3144" s="33">
        <f t="shared" si="694"/>
        <v>0</v>
      </c>
      <c r="N3144" s="22">
        <f t="shared" si="695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692"/>
        <v>0</v>
      </c>
      <c r="J3145" s="5"/>
      <c r="K3145" s="5"/>
      <c r="L3145" s="33">
        <f t="shared" si="693"/>
        <v>0</v>
      </c>
      <c r="M3145" s="33">
        <f t="shared" si="694"/>
        <v>0</v>
      </c>
      <c r="N3145" s="22">
        <f t="shared" si="695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692"/>
        <v>0</v>
      </c>
      <c r="J3146" s="5"/>
      <c r="K3146" s="5"/>
      <c r="L3146" s="33">
        <f t="shared" si="693"/>
        <v>0</v>
      </c>
      <c r="M3146" s="33">
        <f t="shared" si="694"/>
        <v>0</v>
      </c>
      <c r="N3146" s="22">
        <f t="shared" si="695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692"/>
        <v>0</v>
      </c>
      <c r="J3147" s="5"/>
      <c r="K3147" s="5"/>
      <c r="L3147" s="33">
        <f t="shared" si="693"/>
        <v>0</v>
      </c>
      <c r="M3147" s="33">
        <f t="shared" si="694"/>
        <v>0</v>
      </c>
      <c r="N3147" s="22">
        <f t="shared" si="695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692"/>
        <v>0</v>
      </c>
      <c r="J3148" s="5"/>
      <c r="K3148" s="5"/>
      <c r="L3148" s="33">
        <f t="shared" si="693"/>
        <v>0</v>
      </c>
      <c r="M3148" s="33">
        <f t="shared" si="694"/>
        <v>0</v>
      </c>
      <c r="N3148" s="22">
        <f t="shared" si="695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692"/>
        <v>0</v>
      </c>
      <c r="J3149" s="5"/>
      <c r="K3149" s="5"/>
      <c r="L3149" s="33">
        <f t="shared" si="693"/>
        <v>0</v>
      </c>
      <c r="M3149" s="33">
        <f t="shared" si="694"/>
        <v>0</v>
      </c>
      <c r="N3149" s="22">
        <f t="shared" si="695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692"/>
        <v>0</v>
      </c>
      <c r="J3150" s="5"/>
      <c r="K3150" s="5"/>
      <c r="L3150" s="33">
        <f t="shared" si="693"/>
        <v>0</v>
      </c>
      <c r="M3150" s="33">
        <f t="shared" si="694"/>
        <v>0</v>
      </c>
      <c r="N3150" s="22">
        <f t="shared" si="695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696">D3153*(1-H3153)</f>
        <v>0</v>
      </c>
      <c r="J3153" s="5"/>
      <c r="K3153" s="5"/>
      <c r="L3153" s="33">
        <f t="shared" ref="L3153:L3191" si="697">E3153*(1-H3153)</f>
        <v>0</v>
      </c>
      <c r="M3153" s="33">
        <f t="shared" ref="M3153:M3191" si="698">IF(J3153="",L3153,(E3153/D3153)*J3153)</f>
        <v>0</v>
      </c>
      <c r="N3153" s="22">
        <f t="shared" ref="N3153:N3191" si="699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696"/>
        <v>0</v>
      </c>
      <c r="J3154" s="5"/>
      <c r="K3154" s="5"/>
      <c r="L3154" s="33">
        <f t="shared" si="697"/>
        <v>0</v>
      </c>
      <c r="M3154" s="33">
        <f t="shared" si="698"/>
        <v>0</v>
      </c>
      <c r="N3154" s="22">
        <f t="shared" si="699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696"/>
        <v>0</v>
      </c>
      <c r="J3155" s="5"/>
      <c r="K3155" s="5"/>
      <c r="L3155" s="33">
        <f t="shared" si="697"/>
        <v>0</v>
      </c>
      <c r="M3155" s="33">
        <f t="shared" si="698"/>
        <v>0</v>
      </c>
      <c r="N3155" s="22">
        <f t="shared" si="699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696"/>
        <v>0</v>
      </c>
      <c r="J3156" s="5"/>
      <c r="K3156" s="5"/>
      <c r="L3156" s="33">
        <f t="shared" si="697"/>
        <v>0</v>
      </c>
      <c r="M3156" s="33">
        <f t="shared" si="698"/>
        <v>0</v>
      </c>
      <c r="N3156" s="22">
        <f t="shared" si="699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696"/>
        <v>0</v>
      </c>
      <c r="J3157" s="5"/>
      <c r="K3157" s="5"/>
      <c r="L3157" s="33">
        <f t="shared" si="697"/>
        <v>0</v>
      </c>
      <c r="M3157" s="33">
        <f t="shared" si="698"/>
        <v>0</v>
      </c>
      <c r="N3157" s="22">
        <f t="shared" si="699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696"/>
        <v>0</v>
      </c>
      <c r="J3158" s="5"/>
      <c r="K3158" s="5"/>
      <c r="L3158" s="33">
        <f t="shared" si="697"/>
        <v>0</v>
      </c>
      <c r="M3158" s="33">
        <f t="shared" si="698"/>
        <v>0</v>
      </c>
      <c r="N3158" s="22">
        <f t="shared" si="699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696"/>
        <v>0</v>
      </c>
      <c r="J3159" s="5"/>
      <c r="K3159" s="5"/>
      <c r="L3159" s="33">
        <f t="shared" si="697"/>
        <v>0</v>
      </c>
      <c r="M3159" s="33">
        <f t="shared" si="698"/>
        <v>0</v>
      </c>
      <c r="N3159" s="22">
        <f t="shared" si="699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696"/>
        <v>0</v>
      </c>
      <c r="J3160" s="5"/>
      <c r="K3160" s="5"/>
      <c r="L3160" s="33">
        <f t="shared" si="697"/>
        <v>0</v>
      </c>
      <c r="M3160" s="33">
        <f t="shared" si="698"/>
        <v>0</v>
      </c>
      <c r="N3160" s="22">
        <f t="shared" si="699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696"/>
        <v>0</v>
      </c>
      <c r="J3161" s="5"/>
      <c r="K3161" s="5"/>
      <c r="L3161" s="33">
        <f t="shared" si="697"/>
        <v>0</v>
      </c>
      <c r="M3161" s="33">
        <f t="shared" si="698"/>
        <v>0</v>
      </c>
      <c r="N3161" s="22">
        <f t="shared" si="699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696"/>
        <v>0</v>
      </c>
      <c r="J3162" s="5"/>
      <c r="K3162" s="5"/>
      <c r="L3162" s="33">
        <f t="shared" si="697"/>
        <v>0</v>
      </c>
      <c r="M3162" s="33">
        <f t="shared" si="698"/>
        <v>0</v>
      </c>
      <c r="N3162" s="22">
        <f t="shared" si="699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696"/>
        <v>0</v>
      </c>
      <c r="J3163" s="5"/>
      <c r="K3163" s="5"/>
      <c r="L3163" s="33">
        <f t="shared" si="697"/>
        <v>0</v>
      </c>
      <c r="M3163" s="33">
        <f t="shared" si="698"/>
        <v>0</v>
      </c>
      <c r="N3163" s="22">
        <f t="shared" si="699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696"/>
        <v>0</v>
      </c>
      <c r="J3164" s="5"/>
      <c r="K3164" s="5"/>
      <c r="L3164" s="33">
        <f t="shared" si="697"/>
        <v>0</v>
      </c>
      <c r="M3164" s="33">
        <f t="shared" si="698"/>
        <v>0</v>
      </c>
      <c r="N3164" s="22">
        <f t="shared" si="699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696"/>
        <v>0</v>
      </c>
      <c r="J3165" s="5"/>
      <c r="K3165" s="5"/>
      <c r="L3165" s="33">
        <f t="shared" si="697"/>
        <v>0</v>
      </c>
      <c r="M3165" s="33">
        <f t="shared" si="698"/>
        <v>0</v>
      </c>
      <c r="N3165" s="22">
        <f t="shared" si="699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696"/>
        <v>0</v>
      </c>
      <c r="J3166" s="5"/>
      <c r="K3166" s="5"/>
      <c r="L3166" s="33">
        <f t="shared" si="697"/>
        <v>0</v>
      </c>
      <c r="M3166" s="33">
        <f t="shared" si="698"/>
        <v>0</v>
      </c>
      <c r="N3166" s="22">
        <f t="shared" si="699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696"/>
        <v>0</v>
      </c>
      <c r="J3167" s="5"/>
      <c r="K3167" s="5"/>
      <c r="L3167" s="33">
        <f t="shared" si="697"/>
        <v>0</v>
      </c>
      <c r="M3167" s="33">
        <f t="shared" si="698"/>
        <v>0</v>
      </c>
      <c r="N3167" s="22">
        <f t="shared" si="699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696"/>
        <v>0</v>
      </c>
      <c r="J3168" s="5"/>
      <c r="K3168" s="5"/>
      <c r="L3168" s="33">
        <f t="shared" si="697"/>
        <v>0</v>
      </c>
      <c r="M3168" s="33">
        <f t="shared" si="698"/>
        <v>0</v>
      </c>
      <c r="N3168" s="22">
        <f t="shared" si="699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696"/>
        <v>0</v>
      </c>
      <c r="J3169" s="5"/>
      <c r="K3169" s="5"/>
      <c r="L3169" s="33">
        <f t="shared" si="697"/>
        <v>0</v>
      </c>
      <c r="M3169" s="33">
        <f t="shared" si="698"/>
        <v>0</v>
      </c>
      <c r="N3169" s="22">
        <f t="shared" si="699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696"/>
        <v>0</v>
      </c>
      <c r="J3170" s="5"/>
      <c r="K3170" s="5"/>
      <c r="L3170" s="33">
        <f t="shared" si="697"/>
        <v>0</v>
      </c>
      <c r="M3170" s="33">
        <f t="shared" si="698"/>
        <v>0</v>
      </c>
      <c r="N3170" s="22">
        <f t="shared" si="699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696"/>
        <v>0</v>
      </c>
      <c r="J3171" s="5"/>
      <c r="K3171" s="5"/>
      <c r="L3171" s="33">
        <f t="shared" si="697"/>
        <v>0</v>
      </c>
      <c r="M3171" s="33">
        <f t="shared" si="698"/>
        <v>0</v>
      </c>
      <c r="N3171" s="22">
        <f t="shared" si="699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696"/>
        <v>0</v>
      </c>
      <c r="J3172" s="5"/>
      <c r="K3172" s="5"/>
      <c r="L3172" s="33">
        <f t="shared" si="697"/>
        <v>0</v>
      </c>
      <c r="M3172" s="33">
        <f t="shared" si="698"/>
        <v>0</v>
      </c>
      <c r="N3172" s="22">
        <f t="shared" si="699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696"/>
        <v>0</v>
      </c>
      <c r="J3173" s="5"/>
      <c r="K3173" s="5"/>
      <c r="L3173" s="33">
        <f t="shared" si="697"/>
        <v>0</v>
      </c>
      <c r="M3173" s="33">
        <f t="shared" si="698"/>
        <v>0</v>
      </c>
      <c r="N3173" s="22">
        <f t="shared" si="699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696"/>
        <v>0</v>
      </c>
      <c r="J3174" s="5"/>
      <c r="K3174" s="5"/>
      <c r="L3174" s="33">
        <f t="shared" si="697"/>
        <v>0</v>
      </c>
      <c r="M3174" s="33">
        <f t="shared" si="698"/>
        <v>0</v>
      </c>
      <c r="N3174" s="22">
        <f t="shared" si="699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696"/>
        <v>0</v>
      </c>
      <c r="J3175" s="5"/>
      <c r="K3175" s="5"/>
      <c r="L3175" s="33">
        <f t="shared" si="697"/>
        <v>0</v>
      </c>
      <c r="M3175" s="33">
        <f t="shared" si="698"/>
        <v>0</v>
      </c>
      <c r="N3175" s="22">
        <f t="shared" si="699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696"/>
        <v>0</v>
      </c>
      <c r="J3176" s="5"/>
      <c r="K3176" s="5"/>
      <c r="L3176" s="33">
        <f t="shared" si="697"/>
        <v>0</v>
      </c>
      <c r="M3176" s="33">
        <f t="shared" si="698"/>
        <v>0</v>
      </c>
      <c r="N3176" s="22">
        <f t="shared" si="699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696"/>
        <v>0</v>
      </c>
      <c r="J3177" s="5"/>
      <c r="K3177" s="5"/>
      <c r="L3177" s="33">
        <f t="shared" si="697"/>
        <v>0</v>
      </c>
      <c r="M3177" s="33">
        <f t="shared" si="698"/>
        <v>0</v>
      </c>
      <c r="N3177" s="22">
        <f t="shared" si="699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696"/>
        <v>0</v>
      </c>
      <c r="J3178" s="5"/>
      <c r="K3178" s="5"/>
      <c r="L3178" s="33">
        <f t="shared" si="697"/>
        <v>0</v>
      </c>
      <c r="M3178" s="33">
        <f t="shared" si="698"/>
        <v>0</v>
      </c>
      <c r="N3178" s="22">
        <f t="shared" si="699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696"/>
        <v>0</v>
      </c>
      <c r="J3179" s="5"/>
      <c r="K3179" s="5"/>
      <c r="L3179" s="33">
        <f t="shared" si="697"/>
        <v>0</v>
      </c>
      <c r="M3179" s="33">
        <f t="shared" si="698"/>
        <v>0</v>
      </c>
      <c r="N3179" s="22">
        <f t="shared" si="699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696"/>
        <v>0</v>
      </c>
      <c r="J3180" s="5"/>
      <c r="K3180" s="5"/>
      <c r="L3180" s="33">
        <f t="shared" si="697"/>
        <v>0</v>
      </c>
      <c r="M3180" s="33">
        <f t="shared" si="698"/>
        <v>0</v>
      </c>
      <c r="N3180" s="22">
        <f t="shared" si="699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696"/>
        <v>0</v>
      </c>
      <c r="J3181" s="5"/>
      <c r="K3181" s="5"/>
      <c r="L3181" s="33">
        <f t="shared" si="697"/>
        <v>0</v>
      </c>
      <c r="M3181" s="33">
        <f t="shared" si="698"/>
        <v>0</v>
      </c>
      <c r="N3181" s="22">
        <f t="shared" si="699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696"/>
        <v>0</v>
      </c>
      <c r="J3182" s="5"/>
      <c r="K3182" s="5"/>
      <c r="L3182" s="33">
        <f t="shared" si="697"/>
        <v>0</v>
      </c>
      <c r="M3182" s="33">
        <f t="shared" si="698"/>
        <v>0</v>
      </c>
      <c r="N3182" s="22">
        <f t="shared" si="699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696"/>
        <v>0</v>
      </c>
      <c r="J3183" s="5"/>
      <c r="K3183" s="5"/>
      <c r="L3183" s="33">
        <f t="shared" si="697"/>
        <v>0</v>
      </c>
      <c r="M3183" s="33">
        <f t="shared" si="698"/>
        <v>0</v>
      </c>
      <c r="N3183" s="22">
        <f t="shared" si="699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696"/>
        <v>0</v>
      </c>
      <c r="J3184" s="5"/>
      <c r="K3184" s="5"/>
      <c r="L3184" s="33">
        <f t="shared" si="697"/>
        <v>0</v>
      </c>
      <c r="M3184" s="33">
        <f t="shared" si="698"/>
        <v>0</v>
      </c>
      <c r="N3184" s="22">
        <f t="shared" si="699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696"/>
        <v>0</v>
      </c>
      <c r="J3185" s="5"/>
      <c r="K3185" s="5"/>
      <c r="L3185" s="33">
        <f t="shared" si="697"/>
        <v>0</v>
      </c>
      <c r="M3185" s="33">
        <f t="shared" si="698"/>
        <v>0</v>
      </c>
      <c r="N3185" s="22">
        <f t="shared" si="699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696"/>
        <v>0</v>
      </c>
      <c r="J3186" s="5"/>
      <c r="K3186" s="5"/>
      <c r="L3186" s="33">
        <f t="shared" si="697"/>
        <v>0</v>
      </c>
      <c r="M3186" s="33">
        <f t="shared" si="698"/>
        <v>0</v>
      </c>
      <c r="N3186" s="22">
        <f t="shared" si="699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696"/>
        <v>0</v>
      </c>
      <c r="J3187" s="5"/>
      <c r="K3187" s="5"/>
      <c r="L3187" s="33">
        <f t="shared" si="697"/>
        <v>0</v>
      </c>
      <c r="M3187" s="33">
        <f t="shared" si="698"/>
        <v>0</v>
      </c>
      <c r="N3187" s="22">
        <f t="shared" si="699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696"/>
        <v>0</v>
      </c>
      <c r="J3188" s="5"/>
      <c r="K3188" s="5"/>
      <c r="L3188" s="33">
        <f t="shared" si="697"/>
        <v>0</v>
      </c>
      <c r="M3188" s="33">
        <f t="shared" si="698"/>
        <v>0</v>
      </c>
      <c r="N3188" s="22">
        <f t="shared" si="699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696"/>
        <v>0</v>
      </c>
      <c r="J3189" s="5"/>
      <c r="K3189" s="5"/>
      <c r="L3189" s="33">
        <f t="shared" si="697"/>
        <v>0</v>
      </c>
      <c r="M3189" s="33">
        <f t="shared" si="698"/>
        <v>0</v>
      </c>
      <c r="N3189" s="22">
        <f t="shared" si="699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696"/>
        <v>0</v>
      </c>
      <c r="J3190" s="5"/>
      <c r="K3190" s="5"/>
      <c r="L3190" s="33">
        <f t="shared" si="697"/>
        <v>0</v>
      </c>
      <c r="M3190" s="33">
        <f t="shared" si="698"/>
        <v>0</v>
      </c>
      <c r="N3190" s="22">
        <f t="shared" si="699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696"/>
        <v>0</v>
      </c>
      <c r="J3191" s="5"/>
      <c r="K3191" s="5"/>
      <c r="L3191" s="33">
        <f t="shared" si="697"/>
        <v>0</v>
      </c>
      <c r="M3191" s="33">
        <f t="shared" si="698"/>
        <v>0</v>
      </c>
      <c r="N3191" s="22">
        <f t="shared" si="699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700">D3194*(1-H3194)</f>
        <v>0</v>
      </c>
      <c r="J3194" s="5"/>
      <c r="K3194" s="5"/>
      <c r="L3194" s="33">
        <f t="shared" ref="L3194:L3208" si="701">E3194*(1-H3194)</f>
        <v>0</v>
      </c>
      <c r="M3194" s="33">
        <f t="shared" ref="M3194:M3208" si="702">IF(J3194="",L3194,(E3194/D3194)*J3194)</f>
        <v>0</v>
      </c>
      <c r="N3194" s="22">
        <f t="shared" ref="N3194:N3208" si="703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700"/>
        <v>0</v>
      </c>
      <c r="J3195" s="5"/>
      <c r="K3195" s="5"/>
      <c r="L3195" s="33">
        <f t="shared" si="701"/>
        <v>0</v>
      </c>
      <c r="M3195" s="33">
        <f t="shared" si="702"/>
        <v>0</v>
      </c>
      <c r="N3195" s="22">
        <f t="shared" si="703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700"/>
        <v>0</v>
      </c>
      <c r="J3196" s="5"/>
      <c r="K3196" s="5"/>
      <c r="L3196" s="33">
        <f t="shared" si="701"/>
        <v>0</v>
      </c>
      <c r="M3196" s="33">
        <f t="shared" si="702"/>
        <v>0</v>
      </c>
      <c r="N3196" s="22">
        <f t="shared" si="703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700"/>
        <v>0</v>
      </c>
      <c r="J3197" s="5"/>
      <c r="K3197" s="5"/>
      <c r="L3197" s="33">
        <f t="shared" si="701"/>
        <v>0</v>
      </c>
      <c r="M3197" s="33">
        <f t="shared" si="702"/>
        <v>0</v>
      </c>
      <c r="N3197" s="22">
        <f t="shared" si="703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700"/>
        <v>0</v>
      </c>
      <c r="J3198" s="5"/>
      <c r="K3198" s="5"/>
      <c r="L3198" s="33">
        <f t="shared" si="701"/>
        <v>0</v>
      </c>
      <c r="M3198" s="33">
        <f t="shared" si="702"/>
        <v>0</v>
      </c>
      <c r="N3198" s="22">
        <f t="shared" si="703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700"/>
        <v>0</v>
      </c>
      <c r="J3199" s="5"/>
      <c r="K3199" s="5"/>
      <c r="L3199" s="33">
        <f t="shared" si="701"/>
        <v>0</v>
      </c>
      <c r="M3199" s="33">
        <f t="shared" si="702"/>
        <v>0</v>
      </c>
      <c r="N3199" s="22">
        <f t="shared" si="703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700"/>
        <v>0</v>
      </c>
      <c r="J3200" s="5"/>
      <c r="K3200" s="5"/>
      <c r="L3200" s="33">
        <f t="shared" si="701"/>
        <v>0</v>
      </c>
      <c r="M3200" s="33">
        <f t="shared" si="702"/>
        <v>0</v>
      </c>
      <c r="N3200" s="22">
        <f t="shared" si="703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700"/>
        <v>0</v>
      </c>
      <c r="J3201" s="5"/>
      <c r="K3201" s="5"/>
      <c r="L3201" s="33">
        <f t="shared" si="701"/>
        <v>0</v>
      </c>
      <c r="M3201" s="33">
        <f t="shared" si="702"/>
        <v>0</v>
      </c>
      <c r="N3201" s="22">
        <f t="shared" si="703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700"/>
        <v>0</v>
      </c>
      <c r="J3202" s="5"/>
      <c r="K3202" s="5"/>
      <c r="L3202" s="33">
        <f t="shared" si="701"/>
        <v>0</v>
      </c>
      <c r="M3202" s="33">
        <f t="shared" si="702"/>
        <v>0</v>
      </c>
      <c r="N3202" s="22">
        <f t="shared" si="703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700"/>
        <v>0</v>
      </c>
      <c r="J3203" s="5"/>
      <c r="K3203" s="5"/>
      <c r="L3203" s="33">
        <f t="shared" si="701"/>
        <v>0</v>
      </c>
      <c r="M3203" s="33">
        <f t="shared" si="702"/>
        <v>0</v>
      </c>
      <c r="N3203" s="22">
        <f t="shared" si="703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700"/>
        <v>0</v>
      </c>
      <c r="J3204" s="5"/>
      <c r="K3204" s="5"/>
      <c r="L3204" s="33">
        <f t="shared" si="701"/>
        <v>0</v>
      </c>
      <c r="M3204" s="33">
        <f t="shared" si="702"/>
        <v>0</v>
      </c>
      <c r="N3204" s="22">
        <f t="shared" si="703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700"/>
        <v>0</v>
      </c>
      <c r="J3205" s="5"/>
      <c r="K3205" s="5"/>
      <c r="L3205" s="33">
        <f t="shared" si="701"/>
        <v>0</v>
      </c>
      <c r="M3205" s="33">
        <f t="shared" si="702"/>
        <v>0</v>
      </c>
      <c r="N3205" s="22">
        <f t="shared" si="703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700"/>
        <v>0</v>
      </c>
      <c r="J3206" s="5"/>
      <c r="K3206" s="5"/>
      <c r="L3206" s="33">
        <f t="shared" si="701"/>
        <v>0</v>
      </c>
      <c r="M3206" s="33">
        <f t="shared" si="702"/>
        <v>0</v>
      </c>
      <c r="N3206" s="22">
        <f t="shared" si="703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700"/>
        <v>0</v>
      </c>
      <c r="J3207" s="5"/>
      <c r="K3207" s="5"/>
      <c r="L3207" s="33">
        <f t="shared" si="701"/>
        <v>0</v>
      </c>
      <c r="M3207" s="33">
        <f t="shared" si="702"/>
        <v>0</v>
      </c>
      <c r="N3207" s="22">
        <f t="shared" si="703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700"/>
        <v>0</v>
      </c>
      <c r="J3208" s="5"/>
      <c r="K3208" s="5"/>
      <c r="L3208" s="33">
        <f t="shared" si="701"/>
        <v>0</v>
      </c>
      <c r="M3208" s="33">
        <f t="shared" si="702"/>
        <v>0</v>
      </c>
      <c r="N3208" s="22">
        <f t="shared" si="703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 t="shared" ref="I3210:I3214" si="704">D3210*(1-H3210)</f>
        <v>128.4</v>
      </c>
      <c r="J3210" s="5"/>
      <c r="K3210" s="5"/>
      <c r="L3210" s="33">
        <f t="shared" ref="L3210:L3214" si="705">E3210*(1-H3210)</f>
        <v>16697.600000000002</v>
      </c>
      <c r="M3210" s="33">
        <f t="shared" ref="M3210:M3214" si="706">IF(J3210="",L3210,(E3210/D3210)*J3210)</f>
        <v>16697.600000000002</v>
      </c>
      <c r="N3210" s="22">
        <f t="shared" ref="N3210:N3214" si="707"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 t="shared" si="704"/>
        <v>32</v>
      </c>
      <c r="J3211" s="5"/>
      <c r="K3211" s="5"/>
      <c r="L3211" s="33">
        <f t="shared" si="705"/>
        <v>5661.2000000000007</v>
      </c>
      <c r="M3211" s="33">
        <f t="shared" si="706"/>
        <v>5661.2000000000007</v>
      </c>
      <c r="N3211" s="22">
        <f t="shared" si="707"/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 t="shared" si="704"/>
        <v>32</v>
      </c>
      <c r="J3212" s="5"/>
      <c r="K3212" s="5"/>
      <c r="L3212" s="33">
        <f t="shared" si="705"/>
        <v>3754</v>
      </c>
      <c r="M3212" s="33">
        <f t="shared" si="706"/>
        <v>3754</v>
      </c>
      <c r="N3212" s="22">
        <f t="shared" si="707"/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 t="shared" si="704"/>
        <v>70.400000000000006</v>
      </c>
      <c r="J3213" s="5"/>
      <c r="K3213" s="5"/>
      <c r="L3213" s="33">
        <f t="shared" si="705"/>
        <v>0</v>
      </c>
      <c r="M3213" s="33">
        <f t="shared" si="706"/>
        <v>0</v>
      </c>
      <c r="N3213" s="22">
        <f t="shared" si="707"/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 t="shared" si="704"/>
        <v>70.400000000000006</v>
      </c>
      <c r="J3214" s="5"/>
      <c r="K3214" s="5"/>
      <c r="L3214" s="33">
        <f t="shared" si="705"/>
        <v>0</v>
      </c>
      <c r="M3214" s="33">
        <f t="shared" si="706"/>
        <v>0</v>
      </c>
      <c r="N3214" s="22">
        <f t="shared" si="707"/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708">D3216*(1-H3216)</f>
        <v>0</v>
      </c>
      <c r="J3216" s="5"/>
      <c r="K3216" s="5"/>
      <c r="L3216" s="33">
        <f t="shared" ref="L3216:L3224" si="709">E3216*(1-H3216)</f>
        <v>0</v>
      </c>
      <c r="M3216" s="33">
        <f t="shared" ref="M3216:M3224" si="710">IF(J3216="",L3216,(E3216/D3216)*J3216)</f>
        <v>0</v>
      </c>
      <c r="N3216" s="22">
        <f t="shared" ref="N3216:N3224" si="711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708"/>
        <v>0</v>
      </c>
      <c r="J3217" s="5"/>
      <c r="K3217" s="5"/>
      <c r="L3217" s="33">
        <f t="shared" si="709"/>
        <v>0</v>
      </c>
      <c r="M3217" s="33">
        <f t="shared" si="710"/>
        <v>0</v>
      </c>
      <c r="N3217" s="22">
        <f t="shared" si="711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708"/>
        <v>0</v>
      </c>
      <c r="J3218" s="5"/>
      <c r="K3218" s="5"/>
      <c r="L3218" s="33">
        <f t="shared" si="709"/>
        <v>0</v>
      </c>
      <c r="M3218" s="33">
        <f t="shared" si="710"/>
        <v>0</v>
      </c>
      <c r="N3218" s="22">
        <f t="shared" si="711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708"/>
        <v>0</v>
      </c>
      <c r="J3219" s="5"/>
      <c r="K3219" s="5"/>
      <c r="L3219" s="33">
        <f t="shared" si="709"/>
        <v>0</v>
      </c>
      <c r="M3219" s="33">
        <f t="shared" si="710"/>
        <v>0</v>
      </c>
      <c r="N3219" s="22">
        <f t="shared" si="711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708"/>
        <v>0</v>
      </c>
      <c r="J3220" s="5"/>
      <c r="K3220" s="5"/>
      <c r="L3220" s="33">
        <f t="shared" si="709"/>
        <v>0</v>
      </c>
      <c r="M3220" s="33">
        <f t="shared" si="710"/>
        <v>0</v>
      </c>
      <c r="N3220" s="22">
        <f t="shared" si="711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708"/>
        <v>0</v>
      </c>
      <c r="J3221" s="5"/>
      <c r="K3221" s="5"/>
      <c r="L3221" s="33">
        <f t="shared" si="709"/>
        <v>0</v>
      </c>
      <c r="M3221" s="33">
        <f t="shared" si="710"/>
        <v>0</v>
      </c>
      <c r="N3221" s="22">
        <f t="shared" si="711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708"/>
        <v>0</v>
      </c>
      <c r="J3222" s="5"/>
      <c r="K3222" s="5"/>
      <c r="L3222" s="33">
        <f t="shared" si="709"/>
        <v>0</v>
      </c>
      <c r="M3222" s="33">
        <f t="shared" si="710"/>
        <v>0</v>
      </c>
      <c r="N3222" s="22">
        <f t="shared" si="711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708"/>
        <v>0</v>
      </c>
      <c r="J3223" s="5"/>
      <c r="K3223" s="5"/>
      <c r="L3223" s="33">
        <f t="shared" si="709"/>
        <v>0</v>
      </c>
      <c r="M3223" s="33">
        <f t="shared" si="710"/>
        <v>0</v>
      </c>
      <c r="N3223" s="22">
        <f t="shared" si="711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708"/>
        <v>0</v>
      </c>
      <c r="J3224" s="5"/>
      <c r="K3224" s="5"/>
      <c r="L3224" s="33">
        <f t="shared" si="709"/>
        <v>0</v>
      </c>
      <c r="M3224" s="33">
        <f t="shared" si="710"/>
        <v>0</v>
      </c>
      <c r="N3224" s="22">
        <f t="shared" si="711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712">D3226*(1-H3226)</f>
        <v>0</v>
      </c>
      <c r="J3226" s="5"/>
      <c r="K3226" s="5"/>
      <c r="L3226" s="33">
        <f t="shared" ref="L3226:L3245" si="713">E3226*(1-H3226)</f>
        <v>0</v>
      </c>
      <c r="M3226" s="33">
        <f t="shared" ref="M3226:M3245" si="714">IF(J3226="",L3226,(E3226/D3226)*J3226)</f>
        <v>0</v>
      </c>
      <c r="N3226" s="22">
        <f t="shared" ref="N3226:N3245" si="715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712"/>
        <v>0</v>
      </c>
      <c r="J3227" s="5"/>
      <c r="K3227" s="5"/>
      <c r="L3227" s="33">
        <f t="shared" si="713"/>
        <v>0</v>
      </c>
      <c r="M3227" s="33">
        <f t="shared" si="714"/>
        <v>0</v>
      </c>
      <c r="N3227" s="22">
        <f t="shared" si="715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712"/>
        <v>0</v>
      </c>
      <c r="J3228" s="5"/>
      <c r="K3228" s="5"/>
      <c r="L3228" s="33">
        <f t="shared" si="713"/>
        <v>0</v>
      </c>
      <c r="M3228" s="33">
        <f t="shared" si="714"/>
        <v>0</v>
      </c>
      <c r="N3228" s="22">
        <f t="shared" si="715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712"/>
        <v>0</v>
      </c>
      <c r="J3229" s="5"/>
      <c r="K3229" s="5"/>
      <c r="L3229" s="33">
        <f t="shared" si="713"/>
        <v>0</v>
      </c>
      <c r="M3229" s="33">
        <f t="shared" si="714"/>
        <v>0</v>
      </c>
      <c r="N3229" s="22">
        <f t="shared" si="715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712"/>
        <v>0</v>
      </c>
      <c r="J3230" s="5"/>
      <c r="K3230" s="5"/>
      <c r="L3230" s="33">
        <f t="shared" si="713"/>
        <v>0</v>
      </c>
      <c r="M3230" s="33">
        <f t="shared" si="714"/>
        <v>0</v>
      </c>
      <c r="N3230" s="22">
        <f t="shared" si="715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712"/>
        <v>0</v>
      </c>
      <c r="J3231" s="5"/>
      <c r="K3231" s="5"/>
      <c r="L3231" s="33">
        <f t="shared" si="713"/>
        <v>0</v>
      </c>
      <c r="M3231" s="33">
        <f t="shared" si="714"/>
        <v>0</v>
      </c>
      <c r="N3231" s="22">
        <f t="shared" si="715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712"/>
        <v>0</v>
      </c>
      <c r="J3232" s="5"/>
      <c r="K3232" s="5"/>
      <c r="L3232" s="33">
        <f t="shared" si="713"/>
        <v>0</v>
      </c>
      <c r="M3232" s="33">
        <f t="shared" si="714"/>
        <v>0</v>
      </c>
      <c r="N3232" s="22">
        <f t="shared" si="715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712"/>
        <v>0</v>
      </c>
      <c r="J3233" s="5"/>
      <c r="K3233" s="5"/>
      <c r="L3233" s="33">
        <f t="shared" si="713"/>
        <v>0</v>
      </c>
      <c r="M3233" s="33">
        <f t="shared" si="714"/>
        <v>0</v>
      </c>
      <c r="N3233" s="22">
        <f t="shared" si="715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712"/>
        <v>0</v>
      </c>
      <c r="J3234" s="5"/>
      <c r="K3234" s="5"/>
      <c r="L3234" s="33">
        <f t="shared" si="713"/>
        <v>0</v>
      </c>
      <c r="M3234" s="33">
        <f t="shared" si="714"/>
        <v>0</v>
      </c>
      <c r="N3234" s="22">
        <f t="shared" si="715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712"/>
        <v>0</v>
      </c>
      <c r="J3235" s="5"/>
      <c r="K3235" s="5"/>
      <c r="L3235" s="33">
        <f t="shared" si="713"/>
        <v>0</v>
      </c>
      <c r="M3235" s="33">
        <f t="shared" si="714"/>
        <v>0</v>
      </c>
      <c r="N3235" s="22">
        <f t="shared" si="715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712"/>
        <v>0</v>
      </c>
      <c r="J3236" s="5"/>
      <c r="K3236" s="5"/>
      <c r="L3236" s="33">
        <f t="shared" si="713"/>
        <v>0</v>
      </c>
      <c r="M3236" s="33">
        <f t="shared" si="714"/>
        <v>0</v>
      </c>
      <c r="N3236" s="22">
        <f t="shared" si="715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712"/>
        <v>0</v>
      </c>
      <c r="J3237" s="5"/>
      <c r="K3237" s="5"/>
      <c r="L3237" s="33">
        <f t="shared" si="713"/>
        <v>0</v>
      </c>
      <c r="M3237" s="33">
        <f t="shared" si="714"/>
        <v>0</v>
      </c>
      <c r="N3237" s="22">
        <f t="shared" si="715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712"/>
        <v>0</v>
      </c>
      <c r="J3238" s="5"/>
      <c r="K3238" s="5"/>
      <c r="L3238" s="33">
        <f t="shared" si="713"/>
        <v>0</v>
      </c>
      <c r="M3238" s="33">
        <f t="shared" si="714"/>
        <v>0</v>
      </c>
      <c r="N3238" s="22">
        <f t="shared" si="715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712"/>
        <v>0</v>
      </c>
      <c r="J3239" s="5"/>
      <c r="K3239" s="5"/>
      <c r="L3239" s="33">
        <f t="shared" si="713"/>
        <v>0</v>
      </c>
      <c r="M3239" s="33">
        <f t="shared" si="714"/>
        <v>0</v>
      </c>
      <c r="N3239" s="22">
        <f t="shared" si="715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712"/>
        <v>0</v>
      </c>
      <c r="J3240" s="5"/>
      <c r="K3240" s="5"/>
      <c r="L3240" s="33">
        <f t="shared" si="713"/>
        <v>0</v>
      </c>
      <c r="M3240" s="33">
        <f t="shared" si="714"/>
        <v>0</v>
      </c>
      <c r="N3240" s="22">
        <f t="shared" si="715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712"/>
        <v>0</v>
      </c>
      <c r="J3241" s="5"/>
      <c r="K3241" s="5"/>
      <c r="L3241" s="33">
        <f t="shared" si="713"/>
        <v>0</v>
      </c>
      <c r="M3241" s="33">
        <f t="shared" si="714"/>
        <v>0</v>
      </c>
      <c r="N3241" s="22">
        <f t="shared" si="715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712"/>
        <v>0</v>
      </c>
      <c r="J3242" s="5"/>
      <c r="K3242" s="5"/>
      <c r="L3242" s="33">
        <f t="shared" si="713"/>
        <v>0</v>
      </c>
      <c r="M3242" s="33">
        <f t="shared" si="714"/>
        <v>0</v>
      </c>
      <c r="N3242" s="22">
        <f t="shared" si="715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712"/>
        <v>0</v>
      </c>
      <c r="J3243" s="5"/>
      <c r="K3243" s="5"/>
      <c r="L3243" s="33">
        <f t="shared" si="713"/>
        <v>0</v>
      </c>
      <c r="M3243" s="33">
        <f t="shared" si="714"/>
        <v>0</v>
      </c>
      <c r="N3243" s="22">
        <f t="shared" si="715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712"/>
        <v>0</v>
      </c>
      <c r="J3244" s="5"/>
      <c r="K3244" s="5"/>
      <c r="L3244" s="33">
        <f t="shared" si="713"/>
        <v>0</v>
      </c>
      <c r="M3244" s="33">
        <f t="shared" si="714"/>
        <v>0</v>
      </c>
      <c r="N3244" s="22">
        <f t="shared" si="715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712"/>
        <v>0</v>
      </c>
      <c r="J3245" s="5"/>
      <c r="K3245" s="5"/>
      <c r="L3245" s="33">
        <f t="shared" si="713"/>
        <v>0</v>
      </c>
      <c r="M3245" s="33">
        <f t="shared" si="714"/>
        <v>0</v>
      </c>
      <c r="N3245" s="22">
        <f t="shared" si="715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716">D3249*(1-H3249)</f>
        <v>0</v>
      </c>
      <c r="J3249" s="5"/>
      <c r="K3249" s="5"/>
      <c r="L3249" s="33">
        <f t="shared" ref="L3249:L3254" si="717">E3249*(1-H3249)</f>
        <v>0</v>
      </c>
      <c r="M3249" s="33">
        <f t="shared" ref="M3249:M3254" si="718">IF(J3249="",L3249,(E3249/D3249)*J3249)</f>
        <v>0</v>
      </c>
      <c r="N3249" s="22">
        <f t="shared" ref="N3249:N3254" si="719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716"/>
        <v>0</v>
      </c>
      <c r="J3250" s="5"/>
      <c r="K3250" s="5"/>
      <c r="L3250" s="33">
        <f t="shared" si="717"/>
        <v>0</v>
      </c>
      <c r="M3250" s="33">
        <f t="shared" si="718"/>
        <v>0</v>
      </c>
      <c r="N3250" s="22">
        <f t="shared" si="719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716"/>
        <v>0</v>
      </c>
      <c r="J3251" s="5"/>
      <c r="K3251" s="5"/>
      <c r="L3251" s="33">
        <f t="shared" si="717"/>
        <v>0</v>
      </c>
      <c r="M3251" s="33">
        <f t="shared" si="718"/>
        <v>0</v>
      </c>
      <c r="N3251" s="22">
        <f t="shared" si="719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716"/>
        <v>0</v>
      </c>
      <c r="J3252" s="5"/>
      <c r="K3252" s="5"/>
      <c r="L3252" s="33">
        <f t="shared" si="717"/>
        <v>0</v>
      </c>
      <c r="M3252" s="33">
        <f t="shared" si="718"/>
        <v>0</v>
      </c>
      <c r="N3252" s="22">
        <f t="shared" si="719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716"/>
        <v>0</v>
      </c>
      <c r="J3253" s="5"/>
      <c r="K3253" s="5"/>
      <c r="L3253" s="33">
        <f t="shared" si="717"/>
        <v>0</v>
      </c>
      <c r="M3253" s="33">
        <f t="shared" si="718"/>
        <v>0</v>
      </c>
      <c r="N3253" s="22">
        <f t="shared" si="719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716"/>
        <v>0</v>
      </c>
      <c r="J3254" s="5"/>
      <c r="K3254" s="5"/>
      <c r="L3254" s="33">
        <f t="shared" si="717"/>
        <v>0</v>
      </c>
      <c r="M3254" s="33">
        <f t="shared" si="718"/>
        <v>0</v>
      </c>
      <c r="N3254" s="22">
        <f t="shared" si="719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720">D3256*(1-H3256)</f>
        <v>64</v>
      </c>
      <c r="J3256" s="5"/>
      <c r="K3256" s="5"/>
      <c r="L3256" s="33">
        <f t="shared" ref="L3256:L3261" si="721">E3256*(1-H3256)</f>
        <v>11345</v>
      </c>
      <c r="M3256" s="33">
        <f t="shared" ref="M3256:M3261" si="722">IF(J3256="",L3256,(E3256/D3256)*J3256)</f>
        <v>11345</v>
      </c>
      <c r="N3256" s="22">
        <f t="shared" ref="N3256:N3261" si="723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720"/>
        <v>240</v>
      </c>
      <c r="J3257" s="5"/>
      <c r="K3257" s="5"/>
      <c r="L3257" s="33">
        <f t="shared" si="721"/>
        <v>0</v>
      </c>
      <c r="M3257" s="33">
        <f t="shared" si="722"/>
        <v>0</v>
      </c>
      <c r="N3257" s="22">
        <f t="shared" si="723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720"/>
        <v>960</v>
      </c>
      <c r="J3258" s="5"/>
      <c r="K3258" s="5"/>
      <c r="L3258" s="33">
        <f t="shared" si="721"/>
        <v>125093</v>
      </c>
      <c r="M3258" s="33">
        <f t="shared" si="722"/>
        <v>125093</v>
      </c>
      <c r="N3258" s="22">
        <f t="shared" si="723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720"/>
        <v>87.999999999999986</v>
      </c>
      <c r="J3259" s="5"/>
      <c r="K3259" s="5"/>
      <c r="L3259" s="33">
        <f t="shared" si="721"/>
        <v>13005.999999999996</v>
      </c>
      <c r="M3259" s="33">
        <f t="shared" si="722"/>
        <v>13005.999999999996</v>
      </c>
      <c r="N3259" s="22">
        <f t="shared" si="723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720"/>
        <v>87.999999999999986</v>
      </c>
      <c r="J3260" s="5"/>
      <c r="K3260" s="5"/>
      <c r="L3260" s="33">
        <f t="shared" si="721"/>
        <v>15199.799999999997</v>
      </c>
      <c r="M3260" s="33">
        <f t="shared" si="722"/>
        <v>15199.799999999997</v>
      </c>
      <c r="N3260" s="22">
        <f t="shared" si="723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720"/>
        <v>175.99999999999997</v>
      </c>
      <c r="J3261" s="5"/>
      <c r="K3261" s="5"/>
      <c r="L3261" s="33">
        <f t="shared" si="721"/>
        <v>0</v>
      </c>
      <c r="M3261" s="33">
        <f t="shared" si="722"/>
        <v>0</v>
      </c>
      <c r="N3261" s="22">
        <f t="shared" si="723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 t="shared" ref="I3264:I3265" si="724">D3264*(1-H3264)</f>
        <v>0</v>
      </c>
      <c r="J3264" s="5"/>
      <c r="K3264" s="5"/>
      <c r="L3264" s="33">
        <f t="shared" ref="L3264:L3265" si="725">E3264*(1-H3264)</f>
        <v>0</v>
      </c>
      <c r="M3264" s="33">
        <f t="shared" ref="M3264:M3265" si="726">IF(J3264="",L3264,(E3264/D3264)*J3264)</f>
        <v>0</v>
      </c>
      <c r="N3264" s="22">
        <f t="shared" ref="N3264:N3265" si="727"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 t="shared" si="724"/>
        <v>0</v>
      </c>
      <c r="J3265" s="5"/>
      <c r="K3265" s="5"/>
      <c r="L3265" s="33">
        <f t="shared" si="725"/>
        <v>0</v>
      </c>
      <c r="M3265" s="33">
        <f t="shared" si="726"/>
        <v>0</v>
      </c>
      <c r="N3265" s="22">
        <f t="shared" si="727"/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 t="shared" ref="I3267:I3268" si="728">D3267*(1-H3267)</f>
        <v>32</v>
      </c>
      <c r="J3267" s="5"/>
      <c r="K3267" s="5"/>
      <c r="L3267" s="33">
        <f t="shared" ref="L3267:L3268" si="729">E3267*(1-H3267)</f>
        <v>0</v>
      </c>
      <c r="M3267" s="33">
        <f t="shared" ref="M3267:M3268" si="730">IF(J3267="",L3267,(E3267/D3267)*J3267)</f>
        <v>0</v>
      </c>
      <c r="N3267" s="22">
        <f t="shared" ref="N3267:N3268" si="731"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 t="shared" si="728"/>
        <v>32</v>
      </c>
      <c r="J3268" s="5"/>
      <c r="K3268" s="5"/>
      <c r="L3268" s="33">
        <f t="shared" si="729"/>
        <v>5673</v>
      </c>
      <c r="M3268" s="33">
        <f t="shared" si="730"/>
        <v>5673</v>
      </c>
      <c r="N3268" s="22">
        <f t="shared" si="731"/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 t="shared" ref="I3270:I3271" si="732">D3270*(1-H3270)</f>
        <v>32</v>
      </c>
      <c r="J3270" s="5"/>
      <c r="K3270" s="5"/>
      <c r="L3270" s="33">
        <f t="shared" ref="L3270:L3271" si="733">E3270*(1-H3270)</f>
        <v>0</v>
      </c>
      <c r="M3270" s="33">
        <f t="shared" ref="M3270:M3271" si="734">IF(J3270="",L3270,(E3270/D3270)*J3270)</f>
        <v>0</v>
      </c>
      <c r="N3270" s="22">
        <f t="shared" ref="N3270:N3271" si="735"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 t="shared" si="732"/>
        <v>32</v>
      </c>
      <c r="J3271" s="5"/>
      <c r="K3271" s="5"/>
      <c r="L3271" s="33">
        <f t="shared" si="733"/>
        <v>5673</v>
      </c>
      <c r="M3271" s="33">
        <f t="shared" si="734"/>
        <v>5673</v>
      </c>
      <c r="N3271" s="22">
        <f t="shared" si="735"/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736">D3274*(1-H3274)</f>
        <v>4.0000000000000036</v>
      </c>
      <c r="J3274" s="5"/>
      <c r="K3274" s="5"/>
      <c r="L3274" s="33">
        <f t="shared" ref="L3274:L3283" si="737">E3274*(1-H3274)</f>
        <v>688.40000000000066</v>
      </c>
      <c r="M3274" s="33">
        <f t="shared" ref="M3274:M3283" si="738">IF(J3274="",L3274,(E3274/D3274)*J3274)</f>
        <v>688.40000000000066</v>
      </c>
      <c r="N3274" s="22">
        <f t="shared" ref="N3274:N3283" si="739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736"/>
        <v>12.000000000000011</v>
      </c>
      <c r="J3275" s="5"/>
      <c r="K3275" s="5"/>
      <c r="L3275" s="33">
        <f t="shared" si="737"/>
        <v>0</v>
      </c>
      <c r="M3275" s="33">
        <f t="shared" si="738"/>
        <v>0</v>
      </c>
      <c r="N3275" s="22">
        <f t="shared" si="739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736"/>
        <v>12.000000000000011</v>
      </c>
      <c r="J3276" s="5"/>
      <c r="K3276" s="5"/>
      <c r="L3276" s="33">
        <f t="shared" si="737"/>
        <v>1518.1000000000013</v>
      </c>
      <c r="M3276" s="33">
        <f t="shared" si="738"/>
        <v>1518.1000000000013</v>
      </c>
      <c r="N3276" s="22">
        <f t="shared" si="739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736"/>
        <v>32</v>
      </c>
      <c r="J3277" s="5"/>
      <c r="K3277" s="5"/>
      <c r="L3277" s="33">
        <f t="shared" si="737"/>
        <v>5507.2000000000007</v>
      </c>
      <c r="M3277" s="33">
        <f t="shared" si="738"/>
        <v>5507.2000000000007</v>
      </c>
      <c r="N3277" s="22">
        <f t="shared" si="739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736"/>
        <v>40</v>
      </c>
      <c r="J3278" s="5"/>
      <c r="K3278" s="5"/>
      <c r="L3278" s="33">
        <f t="shared" si="737"/>
        <v>0</v>
      </c>
      <c r="M3278" s="33">
        <f t="shared" si="738"/>
        <v>0</v>
      </c>
      <c r="N3278" s="22">
        <f t="shared" si="739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736"/>
        <v>80</v>
      </c>
      <c r="J3279" s="5"/>
      <c r="K3279" s="5"/>
      <c r="L3279" s="33">
        <f t="shared" si="737"/>
        <v>0</v>
      </c>
      <c r="M3279" s="33">
        <f t="shared" si="738"/>
        <v>0</v>
      </c>
      <c r="N3279" s="22">
        <f t="shared" si="739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736"/>
        <v>32</v>
      </c>
      <c r="J3280" s="5"/>
      <c r="K3280" s="5"/>
      <c r="L3280" s="33">
        <f t="shared" si="737"/>
        <v>4048.4</v>
      </c>
      <c r="M3280" s="33">
        <f t="shared" si="738"/>
        <v>4048.4</v>
      </c>
      <c r="N3280" s="22">
        <f t="shared" si="739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736"/>
        <v>64</v>
      </c>
      <c r="J3281" s="5"/>
      <c r="K3281" s="5"/>
      <c r="L3281" s="33">
        <f t="shared" si="737"/>
        <v>11015</v>
      </c>
      <c r="M3281" s="33">
        <f t="shared" si="738"/>
        <v>11015</v>
      </c>
      <c r="N3281" s="22">
        <f t="shared" si="739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736"/>
        <v>60</v>
      </c>
      <c r="J3282" s="5"/>
      <c r="K3282" s="5"/>
      <c r="L3282" s="33">
        <f t="shared" si="737"/>
        <v>0</v>
      </c>
      <c r="M3282" s="33">
        <f t="shared" si="738"/>
        <v>0</v>
      </c>
      <c r="N3282" s="22">
        <f t="shared" si="739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736"/>
        <v>80</v>
      </c>
      <c r="J3283" s="5"/>
      <c r="K3283" s="5"/>
      <c r="L3283" s="33">
        <f t="shared" si="737"/>
        <v>10121</v>
      </c>
      <c r="M3283" s="33">
        <f t="shared" si="738"/>
        <v>10121</v>
      </c>
      <c r="N3283" s="22">
        <f t="shared" si="739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740">D3285*(1-H3285)</f>
        <v>0</v>
      </c>
      <c r="J3285" s="5"/>
      <c r="K3285" s="5"/>
      <c r="L3285" s="33">
        <f t="shared" ref="L3285:L3295" si="741">E3285*(1-H3285)</f>
        <v>0</v>
      </c>
      <c r="M3285" s="33">
        <f t="shared" ref="M3285:M3295" si="742">IF(J3285="",L3285,(E3285/D3285)*J3285)</f>
        <v>0</v>
      </c>
      <c r="N3285" s="22">
        <f t="shared" ref="N3285:N3295" si="743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740"/>
        <v>0</v>
      </c>
      <c r="J3286" s="5"/>
      <c r="K3286" s="5"/>
      <c r="L3286" s="33">
        <f t="shared" si="741"/>
        <v>0</v>
      </c>
      <c r="M3286" s="33">
        <f t="shared" si="742"/>
        <v>0</v>
      </c>
      <c r="N3286" s="22">
        <f t="shared" si="743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740"/>
        <v>64</v>
      </c>
      <c r="J3287" s="5"/>
      <c r="K3287" s="5"/>
      <c r="L3287" s="33">
        <f t="shared" si="741"/>
        <v>0</v>
      </c>
      <c r="M3287" s="33">
        <f t="shared" si="742"/>
        <v>0</v>
      </c>
      <c r="N3287" s="22">
        <f t="shared" si="743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740"/>
        <v>64</v>
      </c>
      <c r="J3288" s="5"/>
      <c r="K3288" s="5"/>
      <c r="L3288" s="33">
        <f t="shared" si="741"/>
        <v>11015</v>
      </c>
      <c r="M3288" s="33">
        <f t="shared" si="742"/>
        <v>11015</v>
      </c>
      <c r="N3288" s="22">
        <f t="shared" si="743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740"/>
        <v>406</v>
      </c>
      <c r="J3289" s="5"/>
      <c r="K3289" s="5"/>
      <c r="L3289" s="33">
        <f t="shared" si="741"/>
        <v>51363</v>
      </c>
      <c r="M3289" s="33">
        <f t="shared" si="742"/>
        <v>51363</v>
      </c>
      <c r="N3289" s="22">
        <f t="shared" si="743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740"/>
        <v>80</v>
      </c>
      <c r="J3290" s="5"/>
      <c r="K3290" s="5"/>
      <c r="L3290" s="33">
        <f t="shared" si="741"/>
        <v>10424</v>
      </c>
      <c r="M3290" s="33">
        <f t="shared" si="742"/>
        <v>10424</v>
      </c>
      <c r="N3290" s="22">
        <f t="shared" si="743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740"/>
        <v>320</v>
      </c>
      <c r="J3291" s="5"/>
      <c r="K3291" s="5"/>
      <c r="L3291" s="33">
        <f t="shared" si="741"/>
        <v>37615</v>
      </c>
      <c r="M3291" s="33">
        <f t="shared" si="742"/>
        <v>37615</v>
      </c>
      <c r="N3291" s="22">
        <f t="shared" si="743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740"/>
        <v>160</v>
      </c>
      <c r="J3292" s="5"/>
      <c r="K3292" s="5"/>
      <c r="L3292" s="33">
        <f t="shared" si="741"/>
        <v>0</v>
      </c>
      <c r="M3292" s="33">
        <f t="shared" si="742"/>
        <v>0</v>
      </c>
      <c r="N3292" s="22">
        <f t="shared" si="743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740"/>
        <v>72</v>
      </c>
      <c r="J3293" s="5"/>
      <c r="K3293" s="5"/>
      <c r="L3293" s="33">
        <f t="shared" si="741"/>
        <v>12763</v>
      </c>
      <c r="M3293" s="33">
        <f t="shared" si="742"/>
        <v>12763</v>
      </c>
      <c r="N3293" s="22">
        <f t="shared" si="743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740"/>
        <v>108</v>
      </c>
      <c r="J3294" s="5"/>
      <c r="K3294" s="5"/>
      <c r="L3294" s="33">
        <f t="shared" si="741"/>
        <v>0</v>
      </c>
      <c r="M3294" s="33">
        <f t="shared" si="742"/>
        <v>0</v>
      </c>
      <c r="N3294" s="22">
        <f t="shared" si="743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740"/>
        <v>108</v>
      </c>
      <c r="J3295" s="5"/>
      <c r="K3295" s="5"/>
      <c r="L3295" s="33">
        <f t="shared" si="741"/>
        <v>14073</v>
      </c>
      <c r="M3295" s="33">
        <f t="shared" si="742"/>
        <v>14073</v>
      </c>
      <c r="N3295" s="22">
        <f t="shared" si="743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744">D3298*(1-H3298)</f>
        <v>0</v>
      </c>
      <c r="J3298" s="5"/>
      <c r="K3298" s="5"/>
      <c r="L3298" s="33">
        <f t="shared" ref="L3298:L3308" si="745">E3298*(1-H3298)</f>
        <v>0</v>
      </c>
      <c r="M3298" s="33">
        <f t="shared" ref="M3298:M3308" si="746">IF(J3298="",L3298,(E3298/D3298)*J3298)</f>
        <v>0</v>
      </c>
      <c r="N3298" s="22">
        <f t="shared" ref="N3298:N3308" si="747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744"/>
        <v>0</v>
      </c>
      <c r="J3299" s="5"/>
      <c r="K3299" s="5"/>
      <c r="L3299" s="33">
        <f t="shared" si="745"/>
        <v>0</v>
      </c>
      <c r="M3299" s="33">
        <f t="shared" si="746"/>
        <v>0</v>
      </c>
      <c r="N3299" s="22">
        <f t="shared" si="747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744"/>
        <v>0</v>
      </c>
      <c r="J3300" s="5"/>
      <c r="K3300" s="5"/>
      <c r="L3300" s="33">
        <f t="shared" si="745"/>
        <v>0</v>
      </c>
      <c r="M3300" s="33">
        <f t="shared" si="746"/>
        <v>0</v>
      </c>
      <c r="N3300" s="22">
        <f t="shared" si="747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744"/>
        <v>0.80000000000000071</v>
      </c>
      <c r="J3301" s="5"/>
      <c r="K3301" s="5"/>
      <c r="L3301" s="33">
        <f t="shared" si="745"/>
        <v>137.70000000000013</v>
      </c>
      <c r="M3301" s="33">
        <f t="shared" si="746"/>
        <v>137.70000000000013</v>
      </c>
      <c r="N3301" s="22">
        <f t="shared" si="747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744"/>
        <v>4.0000000000000036</v>
      </c>
      <c r="J3302" s="5"/>
      <c r="K3302" s="5"/>
      <c r="L3302" s="33">
        <f t="shared" si="745"/>
        <v>0</v>
      </c>
      <c r="M3302" s="33">
        <f t="shared" si="746"/>
        <v>0</v>
      </c>
      <c r="N3302" s="22">
        <f t="shared" si="747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744"/>
        <v>2.0000000000000018</v>
      </c>
      <c r="J3303" s="5"/>
      <c r="K3303" s="5"/>
      <c r="L3303" s="33">
        <f t="shared" si="745"/>
        <v>0</v>
      </c>
      <c r="M3303" s="33">
        <f t="shared" si="746"/>
        <v>0</v>
      </c>
      <c r="N3303" s="22">
        <f t="shared" si="747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744"/>
        <v>12</v>
      </c>
      <c r="J3304" s="5"/>
      <c r="K3304" s="5"/>
      <c r="L3304" s="33">
        <f t="shared" si="745"/>
        <v>2065</v>
      </c>
      <c r="M3304" s="33">
        <f t="shared" si="746"/>
        <v>2065</v>
      </c>
      <c r="N3304" s="22">
        <f t="shared" si="747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744"/>
        <v>30</v>
      </c>
      <c r="J3305" s="5"/>
      <c r="K3305" s="5"/>
      <c r="L3305" s="33">
        <f t="shared" si="745"/>
        <v>0</v>
      </c>
      <c r="M3305" s="33">
        <f t="shared" si="746"/>
        <v>0</v>
      </c>
      <c r="N3305" s="22">
        <f t="shared" si="747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744"/>
        <v>0</v>
      </c>
      <c r="J3306" s="5"/>
      <c r="K3306" s="5"/>
      <c r="L3306" s="33">
        <f t="shared" si="745"/>
        <v>0</v>
      </c>
      <c r="M3306" s="33">
        <f t="shared" si="746"/>
        <v>0</v>
      </c>
      <c r="N3306" s="22">
        <f t="shared" si="747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744"/>
        <v>0</v>
      </c>
      <c r="J3307" s="5"/>
      <c r="K3307" s="5"/>
      <c r="L3307" s="33">
        <f t="shared" si="745"/>
        <v>0</v>
      </c>
      <c r="M3307" s="33">
        <f t="shared" si="746"/>
        <v>0</v>
      </c>
      <c r="N3307" s="22">
        <f t="shared" si="747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744"/>
        <v>0</v>
      </c>
      <c r="J3308" s="5"/>
      <c r="K3308" s="5"/>
      <c r="L3308" s="33">
        <f t="shared" si="745"/>
        <v>0</v>
      </c>
      <c r="M3308" s="33">
        <f t="shared" si="746"/>
        <v>0</v>
      </c>
      <c r="N3308" s="22">
        <f t="shared" si="747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748">D3310*(1-H3310)</f>
        <v>0</v>
      </c>
      <c r="J3310" s="5"/>
      <c r="K3310" s="5"/>
      <c r="L3310" s="33">
        <f t="shared" ref="L3310:L3319" si="749">E3310*(1-H3310)</f>
        <v>0</v>
      </c>
      <c r="M3310" s="33">
        <f t="shared" ref="M3310:M3319" si="750">IF(J3310="",L3310,(E3310/D3310)*J3310)</f>
        <v>0</v>
      </c>
      <c r="N3310" s="22">
        <f t="shared" ref="N3310:N3319" si="751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748"/>
        <v>0</v>
      </c>
      <c r="J3311" s="5"/>
      <c r="K3311" s="5"/>
      <c r="L3311" s="33">
        <f t="shared" si="749"/>
        <v>0</v>
      </c>
      <c r="M3311" s="33">
        <f t="shared" si="750"/>
        <v>0</v>
      </c>
      <c r="N3311" s="22">
        <f t="shared" si="751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748"/>
        <v>0</v>
      </c>
      <c r="J3312" s="5"/>
      <c r="K3312" s="5"/>
      <c r="L3312" s="33">
        <f t="shared" si="749"/>
        <v>0</v>
      </c>
      <c r="M3312" s="33">
        <f t="shared" si="750"/>
        <v>0</v>
      </c>
      <c r="N3312" s="22">
        <f t="shared" si="751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748"/>
        <v>25.6</v>
      </c>
      <c r="J3313" s="5"/>
      <c r="K3313" s="5"/>
      <c r="L3313" s="33">
        <f t="shared" si="749"/>
        <v>4406</v>
      </c>
      <c r="M3313" s="33">
        <f t="shared" si="750"/>
        <v>4406</v>
      </c>
      <c r="N3313" s="22">
        <f t="shared" si="751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748"/>
        <v>25.6</v>
      </c>
      <c r="J3314" s="5"/>
      <c r="K3314" s="5"/>
      <c r="L3314" s="33">
        <f t="shared" si="749"/>
        <v>0</v>
      </c>
      <c r="M3314" s="33">
        <f t="shared" si="750"/>
        <v>0</v>
      </c>
      <c r="N3314" s="22">
        <f t="shared" si="751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748"/>
        <v>224</v>
      </c>
      <c r="J3315" s="5"/>
      <c r="K3315" s="5"/>
      <c r="L3315" s="33">
        <f t="shared" si="749"/>
        <v>28338</v>
      </c>
      <c r="M3315" s="33">
        <f t="shared" si="750"/>
        <v>28338</v>
      </c>
      <c r="N3315" s="22">
        <f t="shared" si="751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748"/>
        <v>128</v>
      </c>
      <c r="J3316" s="5"/>
      <c r="K3316" s="5"/>
      <c r="L3316" s="33">
        <f t="shared" si="749"/>
        <v>22690</v>
      </c>
      <c r="M3316" s="33">
        <f t="shared" si="750"/>
        <v>22690</v>
      </c>
      <c r="N3316" s="22">
        <f t="shared" si="751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748"/>
        <v>192</v>
      </c>
      <c r="J3317" s="5"/>
      <c r="K3317" s="5"/>
      <c r="L3317" s="33">
        <f t="shared" si="749"/>
        <v>0</v>
      </c>
      <c r="M3317" s="33">
        <f t="shared" si="750"/>
        <v>0</v>
      </c>
      <c r="N3317" s="22">
        <f t="shared" si="751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748"/>
        <v>320</v>
      </c>
      <c r="J3318" s="5"/>
      <c r="K3318" s="5"/>
      <c r="L3318" s="33">
        <f t="shared" si="749"/>
        <v>41698</v>
      </c>
      <c r="M3318" s="33">
        <f t="shared" si="750"/>
        <v>41698</v>
      </c>
      <c r="N3318" s="22">
        <f t="shared" si="751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748"/>
        <v>144</v>
      </c>
      <c r="J3319" s="5"/>
      <c r="K3319" s="5"/>
      <c r="L3319" s="33">
        <f t="shared" si="749"/>
        <v>18764</v>
      </c>
      <c r="M3319" s="33">
        <f t="shared" si="750"/>
        <v>18764</v>
      </c>
      <c r="N3319" s="22">
        <f t="shared" si="751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752">D3321*(1-H3321)</f>
        <v>16</v>
      </c>
      <c r="J3321" s="5"/>
      <c r="K3321" s="5"/>
      <c r="L3321" s="33">
        <f t="shared" ref="L3321:L3332" si="753">E3321*(1-H3321)</f>
        <v>2085</v>
      </c>
      <c r="M3321" s="33">
        <f t="shared" ref="M3321:M3332" si="754">IF(J3321="",L3321,(E3321/D3321)*J3321)</f>
        <v>2085</v>
      </c>
      <c r="N3321" s="22">
        <f t="shared" ref="N3321:N3332" si="755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752"/>
        <v>48</v>
      </c>
      <c r="J3322" s="5"/>
      <c r="K3322" s="5"/>
      <c r="L3322" s="33">
        <f t="shared" si="753"/>
        <v>8509</v>
      </c>
      <c r="M3322" s="33">
        <f t="shared" si="754"/>
        <v>8509</v>
      </c>
      <c r="N3322" s="22">
        <f t="shared" si="755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752"/>
        <v>48</v>
      </c>
      <c r="J3323" s="5"/>
      <c r="K3323" s="5"/>
      <c r="L3323" s="33">
        <f t="shared" si="753"/>
        <v>0</v>
      </c>
      <c r="M3323" s="33">
        <f t="shared" si="754"/>
        <v>0</v>
      </c>
      <c r="N3323" s="22">
        <f t="shared" si="755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752"/>
        <v>80</v>
      </c>
      <c r="J3324" s="5"/>
      <c r="K3324" s="5"/>
      <c r="L3324" s="33">
        <f t="shared" si="753"/>
        <v>14182</v>
      </c>
      <c r="M3324" s="33">
        <f t="shared" si="754"/>
        <v>14182</v>
      </c>
      <c r="N3324" s="22">
        <f t="shared" si="755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752"/>
        <v>80</v>
      </c>
      <c r="J3325" s="5"/>
      <c r="K3325" s="5"/>
      <c r="L3325" s="33">
        <f t="shared" si="753"/>
        <v>0</v>
      </c>
      <c r="M3325" s="33">
        <f t="shared" si="754"/>
        <v>0</v>
      </c>
      <c r="N3325" s="22">
        <f t="shared" si="755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752"/>
        <v>0</v>
      </c>
      <c r="J3326" s="5"/>
      <c r="K3326" s="5"/>
      <c r="L3326" s="33">
        <f t="shared" si="753"/>
        <v>0</v>
      </c>
      <c r="M3326" s="33">
        <f t="shared" si="754"/>
        <v>0</v>
      </c>
      <c r="N3326" s="22">
        <f t="shared" si="755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752"/>
        <v>0</v>
      </c>
      <c r="J3327" s="5"/>
      <c r="K3327" s="5"/>
      <c r="L3327" s="33">
        <f t="shared" si="753"/>
        <v>0</v>
      </c>
      <c r="M3327" s="33">
        <f t="shared" si="754"/>
        <v>0</v>
      </c>
      <c r="N3327" s="22">
        <f t="shared" si="755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752"/>
        <v>0</v>
      </c>
      <c r="J3328" s="5"/>
      <c r="K3328" s="5"/>
      <c r="L3328" s="33">
        <f t="shared" si="753"/>
        <v>0</v>
      </c>
      <c r="M3328" s="33">
        <f t="shared" si="754"/>
        <v>0</v>
      </c>
      <c r="N3328" s="22">
        <f t="shared" si="755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752"/>
        <v>0</v>
      </c>
      <c r="J3329" s="5"/>
      <c r="K3329" s="5"/>
      <c r="L3329" s="33">
        <f t="shared" si="753"/>
        <v>0</v>
      </c>
      <c r="M3329" s="33">
        <f t="shared" si="754"/>
        <v>0</v>
      </c>
      <c r="N3329" s="22">
        <f t="shared" si="755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752"/>
        <v>0</v>
      </c>
      <c r="J3330" s="5"/>
      <c r="K3330" s="5"/>
      <c r="L3330" s="33">
        <f t="shared" si="753"/>
        <v>0</v>
      </c>
      <c r="M3330" s="33">
        <f t="shared" si="754"/>
        <v>0</v>
      </c>
      <c r="N3330" s="22">
        <f t="shared" si="755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752"/>
        <v>0</v>
      </c>
      <c r="J3331" s="5"/>
      <c r="K3331" s="5"/>
      <c r="L3331" s="33">
        <f t="shared" si="753"/>
        <v>0</v>
      </c>
      <c r="M3331" s="33">
        <f t="shared" si="754"/>
        <v>0</v>
      </c>
      <c r="N3331" s="22">
        <f t="shared" si="755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752"/>
        <v>0</v>
      </c>
      <c r="J3332" s="5"/>
      <c r="K3332" s="5"/>
      <c r="L3332" s="33">
        <f t="shared" si="753"/>
        <v>0</v>
      </c>
      <c r="M3332" s="33">
        <f t="shared" si="754"/>
        <v>0</v>
      </c>
      <c r="N3332" s="22">
        <f t="shared" si="755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 t="shared" ref="I3339:I3342" si="756">D3339*(1-H3339)</f>
        <v>0</v>
      </c>
      <c r="J3339" s="5"/>
      <c r="K3339" s="5"/>
      <c r="L3339" s="33">
        <f t="shared" ref="L3339:L3342" si="757">E3339*(1-H3339)</f>
        <v>0</v>
      </c>
      <c r="M3339" s="33">
        <f t="shared" ref="M3339:M3342" si="758">IF(J3339="",L3339,(E3339/D3339)*J3339)</f>
        <v>0</v>
      </c>
      <c r="N3339" s="22">
        <f t="shared" ref="N3339:N3342" si="759"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 t="shared" si="756"/>
        <v>268.8</v>
      </c>
      <c r="J3340" s="5"/>
      <c r="K3340" s="5"/>
      <c r="L3340" s="33">
        <f t="shared" si="757"/>
        <v>43665.408000000003</v>
      </c>
      <c r="M3340" s="33">
        <f t="shared" si="758"/>
        <v>43665.408000000003</v>
      </c>
      <c r="N3340" s="22">
        <f t="shared" si="759"/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 t="shared" si="756"/>
        <v>68</v>
      </c>
      <c r="J3341" s="5"/>
      <c r="K3341" s="5"/>
      <c r="L3341" s="33">
        <f t="shared" si="757"/>
        <v>11361</v>
      </c>
      <c r="M3341" s="33">
        <f t="shared" si="758"/>
        <v>11361</v>
      </c>
      <c r="N3341" s="22">
        <f t="shared" si="759"/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 t="shared" si="756"/>
        <v>0</v>
      </c>
      <c r="J3342" s="5"/>
      <c r="K3342" s="5"/>
      <c r="L3342" s="33">
        <f t="shared" si="757"/>
        <v>0</v>
      </c>
      <c r="M3342" s="33">
        <f t="shared" si="758"/>
        <v>0</v>
      </c>
      <c r="N3342" s="22">
        <f t="shared" si="759"/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 t="shared" ref="I3344:I3345" si="760">D3344*(1-H3344)</f>
        <v>0</v>
      </c>
      <c r="J3344" s="5"/>
      <c r="K3344" s="5"/>
      <c r="L3344" s="33">
        <f t="shared" ref="L3344:L3345" si="761">E3344*(1-H3344)</f>
        <v>0</v>
      </c>
      <c r="M3344" s="33">
        <f t="shared" ref="M3344:M3345" si="762">IF(J3344="",L3344,(E3344/D3344)*J3344)</f>
        <v>0</v>
      </c>
      <c r="N3344" s="22">
        <f t="shared" ref="N3344:N3345" si="763"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 t="shared" si="760"/>
        <v>1280</v>
      </c>
      <c r="J3345" s="5"/>
      <c r="K3345" s="5"/>
      <c r="L3345" s="33">
        <f t="shared" si="761"/>
        <v>1767.68</v>
      </c>
      <c r="M3345" s="33">
        <f t="shared" si="762"/>
        <v>1767.68</v>
      </c>
      <c r="N3345" s="22">
        <f t="shared" si="763"/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 t="shared" ref="I3351:I3352" si="764">D3351*(1-H3351)</f>
        <v>0</v>
      </c>
      <c r="J3351" s="5"/>
      <c r="K3351" s="5"/>
      <c r="L3351" s="33">
        <f t="shared" ref="L3351:L3352" si="765">E3351*(1-H3351)</f>
        <v>0</v>
      </c>
      <c r="M3351" s="33">
        <f t="shared" ref="M3351:M3352" si="766">IF(J3351="",L3351,(E3351/D3351)*J3351)</f>
        <v>0</v>
      </c>
      <c r="N3351" s="22">
        <f t="shared" ref="N3351:N3352" si="767"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 t="shared" si="764"/>
        <v>0</v>
      </c>
      <c r="J3352" s="5"/>
      <c r="K3352" s="5"/>
      <c r="L3352" s="33">
        <f t="shared" si="765"/>
        <v>0</v>
      </c>
      <c r="M3352" s="33">
        <f t="shared" si="766"/>
        <v>0</v>
      </c>
      <c r="N3352" s="22">
        <f t="shared" si="767"/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 t="shared" ref="I3354:I3355" si="768">D3354*(1-H3354)</f>
        <v>0</v>
      </c>
      <c r="J3354" s="5"/>
      <c r="K3354" s="5"/>
      <c r="L3354" s="33">
        <f t="shared" ref="L3354:L3355" si="769">E3354*(1-H3354)</f>
        <v>0</v>
      </c>
      <c r="M3354" s="33">
        <f t="shared" ref="M3354:M3355" si="770">IF(J3354="",L3354,(E3354/D3354)*J3354)</f>
        <v>0</v>
      </c>
      <c r="N3354" s="22">
        <f t="shared" ref="N3354:N3355" si="771"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 t="shared" si="768"/>
        <v>0</v>
      </c>
      <c r="J3355" s="5"/>
      <c r="K3355" s="5"/>
      <c r="L3355" s="33">
        <f t="shared" si="769"/>
        <v>0</v>
      </c>
      <c r="M3355" s="33">
        <f t="shared" si="770"/>
        <v>0</v>
      </c>
      <c r="N3355" s="22">
        <f t="shared" si="771"/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 t="shared" ref="I3357:I3359" si="772">D3357*(1-H3357)</f>
        <v>0</v>
      </c>
      <c r="J3357" s="5"/>
      <c r="K3357" s="5"/>
      <c r="L3357" s="33">
        <f t="shared" ref="L3357:L3359" si="773">E3357*(1-H3357)</f>
        <v>0</v>
      </c>
      <c r="M3357" s="33">
        <f t="shared" ref="M3357:M3359" si="774">IF(J3357="",L3357,(E3357/D3357)*J3357)</f>
        <v>0</v>
      </c>
      <c r="N3357" s="22">
        <f t="shared" ref="N3357:N3359" si="775"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 t="shared" si="772"/>
        <v>0</v>
      </c>
      <c r="J3358" s="5"/>
      <c r="K3358" s="5"/>
      <c r="L3358" s="33">
        <f t="shared" si="773"/>
        <v>0</v>
      </c>
      <c r="M3358" s="33">
        <f t="shared" si="774"/>
        <v>0</v>
      </c>
      <c r="N3358" s="22">
        <f t="shared" si="775"/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 t="shared" si="772"/>
        <v>0</v>
      </c>
      <c r="J3359" s="5"/>
      <c r="K3359" s="5"/>
      <c r="L3359" s="33">
        <f t="shared" si="773"/>
        <v>0</v>
      </c>
      <c r="M3359" s="33">
        <f t="shared" si="774"/>
        <v>0</v>
      </c>
      <c r="N3359" s="22">
        <f t="shared" si="775"/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 t="shared" ref="I3361:I3363" si="776">D3361*(1-H3361)</f>
        <v>551</v>
      </c>
      <c r="J3361" s="5"/>
      <c r="K3361" s="5"/>
      <c r="L3361" s="33">
        <f t="shared" ref="L3361:L3363" si="777">E3361*(1-H3361)</f>
        <v>639.5</v>
      </c>
      <c r="M3361" s="33">
        <f t="shared" ref="M3361:M3363" si="778">IF(J3361="",L3361,(E3361/D3361)*J3361)</f>
        <v>639.5</v>
      </c>
      <c r="N3361" s="22">
        <f t="shared" ref="N3361:N3363" si="779"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 t="shared" si="776"/>
        <v>13399.999999999998</v>
      </c>
      <c r="J3362" s="5"/>
      <c r="K3362" s="5"/>
      <c r="L3362" s="33">
        <f t="shared" si="777"/>
        <v>15580.179999999998</v>
      </c>
      <c r="M3362" s="33">
        <f t="shared" si="778"/>
        <v>15580.179999999998</v>
      </c>
      <c r="N3362" s="22">
        <f t="shared" si="779"/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 t="shared" si="776"/>
        <v>845.70000000000016</v>
      </c>
      <c r="J3363" s="5"/>
      <c r="K3363" s="5"/>
      <c r="L3363" s="33">
        <f t="shared" si="777"/>
        <v>88084.729200000016</v>
      </c>
      <c r="M3363" s="33">
        <f t="shared" si="778"/>
        <v>88084.729200000016</v>
      </c>
      <c r="N3363" s="22">
        <f t="shared" si="779"/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780">D3366*(1-H3366)</f>
        <v>144.00000000000003</v>
      </c>
      <c r="J3366" s="5"/>
      <c r="K3366" s="5"/>
      <c r="L3366" s="33">
        <f t="shared" ref="L3366:L3371" si="781">E3366*(1-H3366)</f>
        <v>9469.5000000000018</v>
      </c>
      <c r="M3366" s="33">
        <f t="shared" ref="M3366:M3371" si="782">IF(J3366="",L3366,(E3366/D3366)*J3366)</f>
        <v>9469.5000000000018</v>
      </c>
      <c r="N3366" s="22">
        <f t="shared" ref="N3366:N3371" si="783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780"/>
        <v>144.00000000000003</v>
      </c>
      <c r="J3367" s="5"/>
      <c r="K3367" s="5"/>
      <c r="L3367" s="33">
        <f t="shared" si="781"/>
        <v>9475.9500000000007</v>
      </c>
      <c r="M3367" s="33">
        <f t="shared" si="782"/>
        <v>9475.9500000000007</v>
      </c>
      <c r="N3367" s="22">
        <f t="shared" si="783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780"/>
        <v>0</v>
      </c>
      <c r="J3368" s="5"/>
      <c r="K3368" s="5"/>
      <c r="L3368" s="33">
        <f t="shared" si="781"/>
        <v>0</v>
      </c>
      <c r="M3368" s="33">
        <f t="shared" si="782"/>
        <v>0</v>
      </c>
      <c r="N3368" s="22">
        <f t="shared" si="783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780"/>
        <v>0</v>
      </c>
      <c r="J3369" s="5"/>
      <c r="K3369" s="5"/>
      <c r="L3369" s="33">
        <f t="shared" si="781"/>
        <v>0</v>
      </c>
      <c r="M3369" s="33">
        <f t="shared" si="782"/>
        <v>0</v>
      </c>
      <c r="N3369" s="22">
        <f t="shared" si="783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780"/>
        <v>0</v>
      </c>
      <c r="J3370" s="5"/>
      <c r="K3370" s="5"/>
      <c r="L3370" s="33">
        <f t="shared" si="781"/>
        <v>0</v>
      </c>
      <c r="M3370" s="33">
        <f t="shared" si="782"/>
        <v>0</v>
      </c>
      <c r="N3370" s="22">
        <f t="shared" si="783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780"/>
        <v>0</v>
      </c>
      <c r="J3371" s="5"/>
      <c r="K3371" s="5"/>
      <c r="L3371" s="33">
        <f t="shared" si="781"/>
        <v>0</v>
      </c>
      <c r="M3371" s="33">
        <f t="shared" si="782"/>
        <v>0</v>
      </c>
      <c r="N3371" s="22">
        <f t="shared" si="783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 t="shared" ref="I3374:I3377" si="784">D3374*(1-H3374)</f>
        <v>0</v>
      </c>
      <c r="J3374" s="5"/>
      <c r="K3374" s="5"/>
      <c r="L3374" s="33">
        <f t="shared" ref="L3374:L3377" si="785">E3374*(1-H3374)</f>
        <v>0</v>
      </c>
      <c r="M3374" s="33">
        <f t="shared" ref="M3374:M3377" si="786">IF(J3374="",L3374,(E3374/D3374)*J3374)</f>
        <v>0</v>
      </c>
      <c r="N3374" s="22">
        <f t="shared" ref="N3374:N3377" si="787"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 t="shared" si="784"/>
        <v>0</v>
      </c>
      <c r="J3375" s="5"/>
      <c r="K3375" s="5"/>
      <c r="L3375" s="33">
        <f t="shared" si="785"/>
        <v>0</v>
      </c>
      <c r="M3375" s="33">
        <f t="shared" si="786"/>
        <v>0</v>
      </c>
      <c r="N3375" s="22">
        <f t="shared" si="787"/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 t="shared" si="784"/>
        <v>0</v>
      </c>
      <c r="J3376" s="5"/>
      <c r="K3376" s="5"/>
      <c r="L3376" s="33">
        <f t="shared" si="785"/>
        <v>0</v>
      </c>
      <c r="M3376" s="33">
        <f t="shared" si="786"/>
        <v>0</v>
      </c>
      <c r="N3376" s="22">
        <f t="shared" si="787"/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 t="shared" si="784"/>
        <v>0</v>
      </c>
      <c r="J3377" s="5"/>
      <c r="K3377" s="5"/>
      <c r="L3377" s="33">
        <f t="shared" si="785"/>
        <v>0</v>
      </c>
      <c r="M3377" s="33">
        <f t="shared" si="786"/>
        <v>0</v>
      </c>
      <c r="N3377" s="22">
        <f t="shared" si="787"/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 t="shared" ref="I3380:I3383" si="788">D3380*(1-H3380)</f>
        <v>0</v>
      </c>
      <c r="J3380" s="5"/>
      <c r="K3380" s="5"/>
      <c r="L3380" s="33">
        <f t="shared" ref="L3380:L3383" si="789">E3380*(1-H3380)</f>
        <v>0</v>
      </c>
      <c r="M3380" s="33">
        <f t="shared" ref="M3380:M3383" si="790">IF(J3380="",L3380,(E3380/D3380)*J3380)</f>
        <v>0</v>
      </c>
      <c r="N3380" s="22">
        <f t="shared" ref="N3380:N3383" si="791"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 t="shared" si="788"/>
        <v>0</v>
      </c>
      <c r="J3381" s="5"/>
      <c r="K3381" s="5"/>
      <c r="L3381" s="33">
        <f t="shared" si="789"/>
        <v>0</v>
      </c>
      <c r="M3381" s="33">
        <f t="shared" si="790"/>
        <v>0</v>
      </c>
      <c r="N3381" s="22">
        <f t="shared" si="791"/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 t="shared" si="788"/>
        <v>0</v>
      </c>
      <c r="J3382" s="5"/>
      <c r="K3382" s="5"/>
      <c r="L3382" s="33">
        <f t="shared" si="789"/>
        <v>0</v>
      </c>
      <c r="M3382" s="33">
        <f t="shared" si="790"/>
        <v>0</v>
      </c>
      <c r="N3382" s="22">
        <f t="shared" si="791"/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 t="shared" si="788"/>
        <v>0</v>
      </c>
      <c r="J3383" s="5"/>
      <c r="K3383" s="5"/>
      <c r="L3383" s="33">
        <f t="shared" si="789"/>
        <v>0</v>
      </c>
      <c r="M3383" s="33">
        <f t="shared" si="790"/>
        <v>0</v>
      </c>
      <c r="N3383" s="22">
        <f t="shared" si="791"/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 t="shared" ref="I3386:I3387" si="792">D3386*(1-H3386)</f>
        <v>0</v>
      </c>
      <c r="J3386" s="5"/>
      <c r="K3386" s="5"/>
      <c r="L3386" s="33">
        <f t="shared" ref="L3386:L3387" si="793">E3386*(1-H3386)</f>
        <v>0</v>
      </c>
      <c r="M3386" s="33">
        <f t="shared" ref="M3386:M3387" si="794">IF(J3386="",L3386,(E3386/D3386)*J3386)</f>
        <v>0</v>
      </c>
      <c r="N3386" s="22">
        <f t="shared" ref="N3386:N3387" si="795"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 t="shared" si="792"/>
        <v>0</v>
      </c>
      <c r="J3387" s="5"/>
      <c r="K3387" s="5"/>
      <c r="L3387" s="33">
        <f t="shared" si="793"/>
        <v>0</v>
      </c>
      <c r="M3387" s="33">
        <f t="shared" si="794"/>
        <v>0</v>
      </c>
      <c r="N3387" s="22">
        <f t="shared" si="795"/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796">D3389*(1-H3389)</f>
        <v>49447.41</v>
      </c>
      <c r="J3389" s="5"/>
      <c r="K3389" s="5"/>
      <c r="L3389" s="33">
        <f t="shared" ref="L3389:L3396" si="797">E3389*(1-H3389)</f>
        <v>57392.862000000001</v>
      </c>
      <c r="M3389" s="33">
        <f t="shared" ref="M3389:M3396" si="798">IF(J3389="",L3389,(E3389/D3389)*J3389)</f>
        <v>57392.862000000001</v>
      </c>
      <c r="N3389" s="22">
        <f t="shared" ref="N3389:N3396" si="799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796"/>
        <v>19814.883999999998</v>
      </c>
      <c r="J3390" s="5"/>
      <c r="K3390" s="5"/>
      <c r="L3390" s="33">
        <f t="shared" si="797"/>
        <v>22998.571999999996</v>
      </c>
      <c r="M3390" s="33">
        <f t="shared" si="798"/>
        <v>22998.571999999996</v>
      </c>
      <c r="N3390" s="22">
        <f t="shared" si="799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796"/>
        <v>37631.087999999989</v>
      </c>
      <c r="J3391" s="5"/>
      <c r="K3391" s="5"/>
      <c r="L3391" s="33">
        <f t="shared" si="797"/>
        <v>43677.80999999999</v>
      </c>
      <c r="M3391" s="33">
        <f t="shared" si="798"/>
        <v>43677.80999999999</v>
      </c>
      <c r="N3391" s="22">
        <f t="shared" si="799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796"/>
        <v>150983</v>
      </c>
      <c r="J3392" s="5"/>
      <c r="K3392" s="5"/>
      <c r="L3392" s="33">
        <f t="shared" si="797"/>
        <v>175244</v>
      </c>
      <c r="M3392" s="33">
        <f t="shared" si="798"/>
        <v>175244</v>
      </c>
      <c r="N3392" s="22">
        <f t="shared" si="799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796"/>
        <v>40004.100000000006</v>
      </c>
      <c r="J3393" s="5"/>
      <c r="K3393" s="5"/>
      <c r="L3393" s="33">
        <f t="shared" si="797"/>
        <v>46432.200000000004</v>
      </c>
      <c r="M3393" s="33">
        <f t="shared" si="798"/>
        <v>46432.200000000004</v>
      </c>
      <c r="N3393" s="22">
        <f t="shared" si="799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796"/>
        <v>100199.99999999999</v>
      </c>
      <c r="J3394" s="5"/>
      <c r="K3394" s="5"/>
      <c r="L3394" s="33">
        <f t="shared" si="797"/>
        <v>116300.80399999999</v>
      </c>
      <c r="M3394" s="33">
        <f t="shared" si="798"/>
        <v>116300.80399999999</v>
      </c>
      <c r="N3394" s="22">
        <f t="shared" si="799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796"/>
        <v>802.19999999999993</v>
      </c>
      <c r="J3395" s="5"/>
      <c r="K3395" s="5"/>
      <c r="L3395" s="33">
        <f t="shared" si="797"/>
        <v>64032.138799999993</v>
      </c>
      <c r="M3395" s="33">
        <f t="shared" si="798"/>
        <v>64032.138799999993</v>
      </c>
      <c r="N3395" s="22">
        <f t="shared" si="799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796"/>
        <v>0</v>
      </c>
      <c r="J3396" s="5"/>
      <c r="K3396" s="5"/>
      <c r="L3396" s="33">
        <f t="shared" si="797"/>
        <v>0</v>
      </c>
      <c r="M3396" s="33">
        <f t="shared" si="798"/>
        <v>0</v>
      </c>
      <c r="N3396" s="22">
        <f t="shared" si="799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 t="shared" ref="I3399:I3402" si="800">D3399*(1-H3399)</f>
        <v>26072.399999999994</v>
      </c>
      <c r="J3399" s="5"/>
      <c r="K3399" s="5"/>
      <c r="L3399" s="33">
        <f t="shared" ref="L3399:L3402" si="801">E3399*(1-H3399)</f>
        <v>30261.799999999992</v>
      </c>
      <c r="M3399" s="33">
        <f t="shared" ref="M3399:M3402" si="802">IF(J3399="",L3399,(E3399/D3399)*J3399)</f>
        <v>30261.799999999992</v>
      </c>
      <c r="N3399" s="22">
        <f t="shared" ref="N3399:N3402" si="803"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 t="shared" si="800"/>
        <v>0</v>
      </c>
      <c r="J3400" s="5"/>
      <c r="K3400" s="5"/>
      <c r="L3400" s="33">
        <f t="shared" si="801"/>
        <v>0</v>
      </c>
      <c r="M3400" s="33">
        <f t="shared" si="802"/>
        <v>0</v>
      </c>
      <c r="N3400" s="22">
        <f t="shared" si="803"/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 t="shared" si="800"/>
        <v>80745</v>
      </c>
      <c r="J3401" s="5"/>
      <c r="K3401" s="5"/>
      <c r="L3401" s="33">
        <f t="shared" si="801"/>
        <v>93719</v>
      </c>
      <c r="M3401" s="33">
        <f t="shared" si="802"/>
        <v>93719</v>
      </c>
      <c r="N3401" s="22">
        <f t="shared" si="803"/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 t="shared" si="800"/>
        <v>202.4</v>
      </c>
      <c r="J3402" s="5"/>
      <c r="K3402" s="5"/>
      <c r="L3402" s="33">
        <f t="shared" si="801"/>
        <v>26579.850000000002</v>
      </c>
      <c r="M3402" s="33">
        <f t="shared" si="802"/>
        <v>26579.850000000002</v>
      </c>
      <c r="N3402" s="22">
        <f t="shared" si="803"/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 t="shared" ref="I3405:I3409" si="804">D3405*(1-H3405)</f>
        <v>72920</v>
      </c>
      <c r="J3405" s="5"/>
      <c r="K3405" s="5"/>
      <c r="L3405" s="33">
        <f t="shared" ref="L3405:L3409" si="805">E3405*(1-H3405)</f>
        <v>82977.5</v>
      </c>
      <c r="M3405" s="33">
        <f t="shared" ref="M3405:M3409" si="806">IF(J3405="",L3405,(E3405/D3405)*J3405)</f>
        <v>82977.5</v>
      </c>
      <c r="N3405" s="22">
        <f t="shared" ref="N3405:N3409" si="807"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 t="shared" si="804"/>
        <v>29400</v>
      </c>
      <c r="J3406" s="5"/>
      <c r="K3406" s="5"/>
      <c r="L3406" s="33">
        <f t="shared" si="805"/>
        <v>33455</v>
      </c>
      <c r="M3406" s="33">
        <f t="shared" si="806"/>
        <v>33455</v>
      </c>
      <c r="N3406" s="22">
        <f t="shared" si="807"/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 t="shared" si="804"/>
        <v>7500</v>
      </c>
      <c r="J3407" s="5"/>
      <c r="K3407" s="5"/>
      <c r="L3407" s="33">
        <f t="shared" si="805"/>
        <v>8530</v>
      </c>
      <c r="M3407" s="33">
        <f t="shared" si="806"/>
        <v>8530</v>
      </c>
      <c r="N3407" s="22">
        <f t="shared" si="807"/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 t="shared" si="804"/>
        <v>2000</v>
      </c>
      <c r="J3408" s="5"/>
      <c r="K3408" s="5"/>
      <c r="L3408" s="33">
        <f t="shared" si="805"/>
        <v>2276</v>
      </c>
      <c r="M3408" s="33">
        <f t="shared" si="806"/>
        <v>2276</v>
      </c>
      <c r="N3408" s="22">
        <f t="shared" si="807"/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 t="shared" si="804"/>
        <v>100000</v>
      </c>
      <c r="J3409" s="5"/>
      <c r="K3409" s="5"/>
      <c r="L3409" s="33">
        <f t="shared" si="805"/>
        <v>116068.5</v>
      </c>
      <c r="M3409" s="33">
        <f t="shared" si="806"/>
        <v>116068.5</v>
      </c>
      <c r="N3409" s="22">
        <f t="shared" si="807"/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808">D3411*(1-H3411)</f>
        <v>0</v>
      </c>
      <c r="J3411" s="5"/>
      <c r="K3411" s="5"/>
      <c r="L3411" s="33">
        <f t="shared" ref="L3411:L3416" si="809">E3411*(1-H3411)</f>
        <v>0</v>
      </c>
      <c r="M3411" s="33">
        <f t="shared" ref="M3411:M3416" si="810">IF(J3411="",L3411,(E3411/D3411)*J3411)</f>
        <v>0</v>
      </c>
      <c r="N3411" s="22">
        <f t="shared" ref="N3411:N3416" si="811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808"/>
        <v>9910.5000000000018</v>
      </c>
      <c r="J3412" s="5"/>
      <c r="K3412" s="5"/>
      <c r="L3412" s="33">
        <f t="shared" si="809"/>
        <v>11277.300000000001</v>
      </c>
      <c r="M3412" s="33">
        <f t="shared" si="810"/>
        <v>11277.300000000001</v>
      </c>
      <c r="N3412" s="22">
        <f t="shared" si="811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808"/>
        <v>0</v>
      </c>
      <c r="J3413" s="5"/>
      <c r="K3413" s="5"/>
      <c r="L3413" s="33">
        <f t="shared" si="809"/>
        <v>0</v>
      </c>
      <c r="M3413" s="33">
        <f t="shared" si="810"/>
        <v>0</v>
      </c>
      <c r="N3413" s="22">
        <f t="shared" si="811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808"/>
        <v>0</v>
      </c>
      <c r="J3414" s="5"/>
      <c r="K3414" s="5"/>
      <c r="L3414" s="33">
        <f t="shared" si="809"/>
        <v>0</v>
      </c>
      <c r="M3414" s="33">
        <f t="shared" si="810"/>
        <v>0</v>
      </c>
      <c r="N3414" s="22">
        <f t="shared" si="811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808"/>
        <v>18401</v>
      </c>
      <c r="J3415" s="5"/>
      <c r="K3415" s="5"/>
      <c r="L3415" s="33">
        <f t="shared" si="809"/>
        <v>20975</v>
      </c>
      <c r="M3415" s="33">
        <f t="shared" si="810"/>
        <v>20975</v>
      </c>
      <c r="N3415" s="22">
        <f t="shared" si="811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808"/>
        <v>10225.800000000001</v>
      </c>
      <c r="J3416" s="5"/>
      <c r="K3416" s="5"/>
      <c r="L3416" s="33">
        <f t="shared" si="809"/>
        <v>11868.900000000001</v>
      </c>
      <c r="M3416" s="33">
        <f t="shared" si="810"/>
        <v>11868.900000000001</v>
      </c>
      <c r="N3416" s="22">
        <f t="shared" si="811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 t="shared" ref="I3418:I3420" si="812">D3418*(1-H3418)</f>
        <v>0</v>
      </c>
      <c r="J3418" s="5"/>
      <c r="K3418" s="5"/>
      <c r="L3418" s="33">
        <f t="shared" ref="L3418:L3420" si="813">E3418*(1-H3418)</f>
        <v>0</v>
      </c>
      <c r="M3418" s="33">
        <f t="shared" ref="M3418:M3420" si="814">IF(J3418="",L3418,(E3418/D3418)*J3418)</f>
        <v>0</v>
      </c>
      <c r="N3418" s="22">
        <f t="shared" ref="N3418:N3420" si="815"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 t="shared" si="812"/>
        <v>11667</v>
      </c>
      <c r="J3419" s="5"/>
      <c r="K3419" s="5"/>
      <c r="L3419" s="33">
        <f t="shared" si="813"/>
        <v>13542</v>
      </c>
      <c r="M3419" s="33">
        <f t="shared" si="814"/>
        <v>13542</v>
      </c>
      <c r="N3419" s="22">
        <f t="shared" si="815"/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 t="shared" si="812"/>
        <v>10493</v>
      </c>
      <c r="J3420" s="5"/>
      <c r="K3420" s="5"/>
      <c r="L3420" s="33">
        <f t="shared" si="813"/>
        <v>12179</v>
      </c>
      <c r="M3420" s="33">
        <f t="shared" si="814"/>
        <v>12179</v>
      </c>
      <c r="N3420" s="22">
        <f t="shared" si="815"/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816">D3426*(1-H3426)</f>
        <v>0</v>
      </c>
      <c r="J3426" s="5"/>
      <c r="K3426" s="5"/>
      <c r="L3426" s="33">
        <f t="shared" ref="L3426:L3463" si="817">E3426*(1-H3426)</f>
        <v>0</v>
      </c>
      <c r="M3426" s="33">
        <f t="shared" ref="M3426:M3463" si="818">IF(J3426="",L3426,(E3426/D3426)*J3426)</f>
        <v>0</v>
      </c>
      <c r="N3426" s="22">
        <f t="shared" ref="N3426:N3463" si="819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816"/>
        <v>0</v>
      </c>
      <c r="J3427" s="5"/>
      <c r="K3427" s="5"/>
      <c r="L3427" s="33">
        <f t="shared" si="817"/>
        <v>0</v>
      </c>
      <c r="M3427" s="33">
        <f t="shared" si="818"/>
        <v>0</v>
      </c>
      <c r="N3427" s="22">
        <f t="shared" si="819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816"/>
        <v>0</v>
      </c>
      <c r="J3428" s="5"/>
      <c r="K3428" s="5"/>
      <c r="L3428" s="33">
        <f t="shared" si="817"/>
        <v>0</v>
      </c>
      <c r="M3428" s="33">
        <f t="shared" si="818"/>
        <v>0</v>
      </c>
      <c r="N3428" s="22">
        <f t="shared" si="819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816"/>
        <v>0</v>
      </c>
      <c r="J3429" s="5"/>
      <c r="K3429" s="5"/>
      <c r="L3429" s="33">
        <f t="shared" si="817"/>
        <v>0</v>
      </c>
      <c r="M3429" s="33">
        <f t="shared" si="818"/>
        <v>0</v>
      </c>
      <c r="N3429" s="22">
        <f t="shared" si="819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816"/>
        <v>0</v>
      </c>
      <c r="J3430" s="5"/>
      <c r="K3430" s="5"/>
      <c r="L3430" s="33">
        <f t="shared" si="817"/>
        <v>0</v>
      </c>
      <c r="M3430" s="33">
        <f t="shared" si="818"/>
        <v>0</v>
      </c>
      <c r="N3430" s="22">
        <f t="shared" si="819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816"/>
        <v>0</v>
      </c>
      <c r="J3431" s="5"/>
      <c r="K3431" s="5"/>
      <c r="L3431" s="33">
        <f t="shared" si="817"/>
        <v>0</v>
      </c>
      <c r="M3431" s="33">
        <f t="shared" si="818"/>
        <v>0</v>
      </c>
      <c r="N3431" s="22">
        <f t="shared" si="819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816"/>
        <v>374.40000000000032</v>
      </c>
      <c r="J3432" s="5"/>
      <c r="K3432" s="5"/>
      <c r="L3432" s="33">
        <f t="shared" si="817"/>
        <v>6550.2800000000061</v>
      </c>
      <c r="M3432" s="33">
        <f t="shared" si="818"/>
        <v>6550.2800000000061</v>
      </c>
      <c r="N3432" s="22">
        <f t="shared" si="819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816"/>
        <v>0</v>
      </c>
      <c r="J3433" s="5"/>
      <c r="K3433" s="5"/>
      <c r="L3433" s="33">
        <f t="shared" si="817"/>
        <v>0</v>
      </c>
      <c r="M3433" s="33">
        <f t="shared" si="818"/>
        <v>0</v>
      </c>
      <c r="N3433" s="22">
        <f t="shared" si="819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816"/>
        <v>0</v>
      </c>
      <c r="J3434" s="5"/>
      <c r="K3434" s="5"/>
      <c r="L3434" s="33">
        <f t="shared" si="817"/>
        <v>0</v>
      </c>
      <c r="M3434" s="33">
        <f t="shared" si="818"/>
        <v>0</v>
      </c>
      <c r="N3434" s="22">
        <f t="shared" si="819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816"/>
        <v>0</v>
      </c>
      <c r="J3435" s="5"/>
      <c r="K3435" s="5"/>
      <c r="L3435" s="33">
        <f t="shared" si="817"/>
        <v>0</v>
      </c>
      <c r="M3435" s="33">
        <f t="shared" si="818"/>
        <v>0</v>
      </c>
      <c r="N3435" s="22">
        <f t="shared" si="819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816"/>
        <v>0</v>
      </c>
      <c r="J3436" s="5"/>
      <c r="K3436" s="5"/>
      <c r="L3436" s="33">
        <f t="shared" si="817"/>
        <v>0</v>
      </c>
      <c r="M3436" s="33">
        <f t="shared" si="818"/>
        <v>0</v>
      </c>
      <c r="N3436" s="22">
        <f t="shared" si="819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816"/>
        <v>40793.85</v>
      </c>
      <c r="J3437" s="5"/>
      <c r="K3437" s="5"/>
      <c r="L3437" s="33">
        <f t="shared" si="817"/>
        <v>47066.399999999994</v>
      </c>
      <c r="M3437" s="33">
        <f t="shared" si="818"/>
        <v>47066.399999999994</v>
      </c>
      <c r="N3437" s="22">
        <f t="shared" si="819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816"/>
        <v>0</v>
      </c>
      <c r="J3438" s="5"/>
      <c r="K3438" s="5"/>
      <c r="L3438" s="33">
        <f t="shared" si="817"/>
        <v>0</v>
      </c>
      <c r="M3438" s="33">
        <f t="shared" si="818"/>
        <v>0</v>
      </c>
      <c r="N3438" s="22">
        <f t="shared" si="819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816"/>
        <v>6557.5</v>
      </c>
      <c r="J3439" s="5"/>
      <c r="K3439" s="5"/>
      <c r="L3439" s="33">
        <f t="shared" si="817"/>
        <v>7554.5</v>
      </c>
      <c r="M3439" s="33">
        <f t="shared" si="818"/>
        <v>7554.5</v>
      </c>
      <c r="N3439" s="22">
        <f t="shared" si="819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816"/>
        <v>0</v>
      </c>
      <c r="J3440" s="5"/>
      <c r="K3440" s="5"/>
      <c r="L3440" s="33">
        <f t="shared" si="817"/>
        <v>0</v>
      </c>
      <c r="M3440" s="33">
        <f t="shared" si="818"/>
        <v>0</v>
      </c>
      <c r="N3440" s="22">
        <f t="shared" si="819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816"/>
        <v>0</v>
      </c>
      <c r="J3441" s="5"/>
      <c r="K3441" s="5"/>
      <c r="L3441" s="33">
        <f t="shared" si="817"/>
        <v>0</v>
      </c>
      <c r="M3441" s="33">
        <f t="shared" si="818"/>
        <v>0</v>
      </c>
      <c r="N3441" s="22">
        <f t="shared" si="819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816"/>
        <v>0</v>
      </c>
      <c r="J3442" s="5"/>
      <c r="K3442" s="5"/>
      <c r="L3442" s="33">
        <f t="shared" si="817"/>
        <v>0</v>
      </c>
      <c r="M3442" s="33">
        <f t="shared" si="818"/>
        <v>0</v>
      </c>
      <c r="N3442" s="22">
        <f t="shared" si="819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816"/>
        <v>0</v>
      </c>
      <c r="J3443" s="5"/>
      <c r="K3443" s="5"/>
      <c r="L3443" s="33">
        <f t="shared" si="817"/>
        <v>0</v>
      </c>
      <c r="M3443" s="33">
        <f t="shared" si="818"/>
        <v>0</v>
      </c>
      <c r="N3443" s="22">
        <f t="shared" si="819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816"/>
        <v>0</v>
      </c>
      <c r="J3444" s="5"/>
      <c r="K3444" s="5"/>
      <c r="L3444" s="33">
        <f t="shared" si="817"/>
        <v>0</v>
      </c>
      <c r="M3444" s="33">
        <f t="shared" si="818"/>
        <v>0</v>
      </c>
      <c r="N3444" s="22">
        <f t="shared" si="819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816"/>
        <v>0</v>
      </c>
      <c r="J3445" s="5"/>
      <c r="K3445" s="5"/>
      <c r="L3445" s="33">
        <f t="shared" si="817"/>
        <v>0</v>
      </c>
      <c r="M3445" s="33">
        <f t="shared" si="818"/>
        <v>0</v>
      </c>
      <c r="N3445" s="22">
        <f t="shared" si="819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816"/>
        <v>0</v>
      </c>
      <c r="J3446" s="5"/>
      <c r="K3446" s="5"/>
      <c r="L3446" s="33">
        <f t="shared" si="817"/>
        <v>0</v>
      </c>
      <c r="M3446" s="33">
        <f t="shared" si="818"/>
        <v>0</v>
      </c>
      <c r="N3446" s="22">
        <f t="shared" si="819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816"/>
        <v>0</v>
      </c>
      <c r="J3447" s="5"/>
      <c r="K3447" s="5"/>
      <c r="L3447" s="33">
        <f t="shared" si="817"/>
        <v>0</v>
      </c>
      <c r="M3447" s="33">
        <f t="shared" si="818"/>
        <v>0</v>
      </c>
      <c r="N3447" s="22">
        <f t="shared" si="819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816"/>
        <v>0</v>
      </c>
      <c r="J3448" s="5"/>
      <c r="K3448" s="5"/>
      <c r="L3448" s="33">
        <f t="shared" si="817"/>
        <v>0</v>
      </c>
      <c r="M3448" s="33">
        <f t="shared" si="818"/>
        <v>0</v>
      </c>
      <c r="N3448" s="22">
        <f t="shared" si="819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816"/>
        <v>0</v>
      </c>
      <c r="J3449" s="5"/>
      <c r="K3449" s="5"/>
      <c r="L3449" s="33">
        <f t="shared" si="817"/>
        <v>0</v>
      </c>
      <c r="M3449" s="33">
        <f t="shared" si="818"/>
        <v>0</v>
      </c>
      <c r="N3449" s="22">
        <f t="shared" si="819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816"/>
        <v>0</v>
      </c>
      <c r="J3450" s="5"/>
      <c r="K3450" s="5"/>
      <c r="L3450" s="33">
        <f t="shared" si="817"/>
        <v>0</v>
      </c>
      <c r="M3450" s="33">
        <f t="shared" si="818"/>
        <v>0</v>
      </c>
      <c r="N3450" s="22">
        <f t="shared" si="819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816"/>
        <v>0</v>
      </c>
      <c r="J3451" s="5"/>
      <c r="K3451" s="5"/>
      <c r="L3451" s="33">
        <f t="shared" si="817"/>
        <v>0</v>
      </c>
      <c r="M3451" s="33">
        <f t="shared" si="818"/>
        <v>0</v>
      </c>
      <c r="N3451" s="22">
        <f t="shared" si="819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816"/>
        <v>0</v>
      </c>
      <c r="J3452" s="5"/>
      <c r="K3452" s="5"/>
      <c r="L3452" s="33">
        <f t="shared" si="817"/>
        <v>0</v>
      </c>
      <c r="M3452" s="33">
        <f t="shared" si="818"/>
        <v>0</v>
      </c>
      <c r="N3452" s="22">
        <f t="shared" si="819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816"/>
        <v>0</v>
      </c>
      <c r="J3453" s="5"/>
      <c r="K3453" s="5"/>
      <c r="L3453" s="33">
        <f t="shared" si="817"/>
        <v>0</v>
      </c>
      <c r="M3453" s="33">
        <f t="shared" si="818"/>
        <v>0</v>
      </c>
      <c r="N3453" s="22">
        <f t="shared" si="819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816"/>
        <v>0</v>
      </c>
      <c r="J3454" s="5"/>
      <c r="K3454" s="5"/>
      <c r="L3454" s="33">
        <f t="shared" si="817"/>
        <v>0</v>
      </c>
      <c r="M3454" s="33">
        <f t="shared" si="818"/>
        <v>0</v>
      </c>
      <c r="N3454" s="22">
        <f t="shared" si="819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816"/>
        <v>0</v>
      </c>
      <c r="J3455" s="5"/>
      <c r="K3455" s="5"/>
      <c r="L3455" s="33">
        <f t="shared" si="817"/>
        <v>0</v>
      </c>
      <c r="M3455" s="33">
        <f t="shared" si="818"/>
        <v>0</v>
      </c>
      <c r="N3455" s="22">
        <f t="shared" si="819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816"/>
        <v>0</v>
      </c>
      <c r="J3456" s="5"/>
      <c r="K3456" s="5"/>
      <c r="L3456" s="33">
        <f t="shared" si="817"/>
        <v>0</v>
      </c>
      <c r="M3456" s="33">
        <f t="shared" si="818"/>
        <v>0</v>
      </c>
      <c r="N3456" s="22">
        <f t="shared" si="819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816"/>
        <v>0</v>
      </c>
      <c r="J3457" s="5"/>
      <c r="K3457" s="5"/>
      <c r="L3457" s="33">
        <f t="shared" si="817"/>
        <v>0</v>
      </c>
      <c r="M3457" s="33">
        <f t="shared" si="818"/>
        <v>0</v>
      </c>
      <c r="N3457" s="22">
        <f t="shared" si="819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816"/>
        <v>0</v>
      </c>
      <c r="J3458" s="5"/>
      <c r="K3458" s="5"/>
      <c r="L3458" s="33">
        <f t="shared" si="817"/>
        <v>0</v>
      </c>
      <c r="M3458" s="33">
        <f t="shared" si="818"/>
        <v>0</v>
      </c>
      <c r="N3458" s="22">
        <f t="shared" si="819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816"/>
        <v>0</v>
      </c>
      <c r="J3459" s="5"/>
      <c r="K3459" s="5"/>
      <c r="L3459" s="33">
        <f t="shared" si="817"/>
        <v>0</v>
      </c>
      <c r="M3459" s="33">
        <f t="shared" si="818"/>
        <v>0</v>
      </c>
      <c r="N3459" s="22">
        <f t="shared" si="819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816"/>
        <v>0</v>
      </c>
      <c r="J3460" s="5"/>
      <c r="K3460" s="5"/>
      <c r="L3460" s="33">
        <f t="shared" si="817"/>
        <v>0</v>
      </c>
      <c r="M3460" s="33">
        <f t="shared" si="818"/>
        <v>0</v>
      </c>
      <c r="N3460" s="22">
        <f t="shared" si="819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816"/>
        <v>0</v>
      </c>
      <c r="J3461" s="5"/>
      <c r="K3461" s="5"/>
      <c r="L3461" s="33">
        <f t="shared" si="817"/>
        <v>0</v>
      </c>
      <c r="M3461" s="33">
        <f t="shared" si="818"/>
        <v>0</v>
      </c>
      <c r="N3461" s="22">
        <f t="shared" si="819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816"/>
        <v>18480</v>
      </c>
      <c r="J3462" s="5"/>
      <c r="K3462" s="5"/>
      <c r="L3462" s="33">
        <f t="shared" si="817"/>
        <v>21303.8</v>
      </c>
      <c r="M3462" s="33">
        <f t="shared" si="818"/>
        <v>21303.8</v>
      </c>
      <c r="N3462" s="22">
        <f t="shared" si="819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816"/>
        <v>138000.00000000003</v>
      </c>
      <c r="J3463" s="5"/>
      <c r="K3463" s="5"/>
      <c r="L3463" s="33">
        <f t="shared" si="817"/>
        <v>160174.50000000003</v>
      </c>
      <c r="M3463" s="33">
        <f t="shared" si="818"/>
        <v>160174.50000000003</v>
      </c>
      <c r="N3463" s="22">
        <f t="shared" si="819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820">D3465*(1-H3465)</f>
        <v>0</v>
      </c>
      <c r="J3465" s="5"/>
      <c r="K3465" s="5"/>
      <c r="L3465" s="33">
        <f t="shared" ref="L3465:L3528" si="821">E3465*(1-H3465)</f>
        <v>0</v>
      </c>
      <c r="M3465" s="33">
        <f t="shared" ref="M3465:M3528" si="822">IF(J3465="",L3465,(E3465/D3465)*J3465)</f>
        <v>0</v>
      </c>
      <c r="N3465" s="22">
        <f t="shared" ref="N3465:N3528" si="823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820"/>
        <v>0</v>
      </c>
      <c r="J3466" s="5"/>
      <c r="K3466" s="5"/>
      <c r="L3466" s="33">
        <f t="shared" si="821"/>
        <v>0</v>
      </c>
      <c r="M3466" s="33">
        <f t="shared" si="822"/>
        <v>0</v>
      </c>
      <c r="N3466" s="22">
        <f t="shared" si="823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820"/>
        <v>0</v>
      </c>
      <c r="J3467" s="5"/>
      <c r="K3467" s="5"/>
      <c r="L3467" s="33">
        <f t="shared" si="821"/>
        <v>0</v>
      </c>
      <c r="M3467" s="33">
        <f t="shared" si="822"/>
        <v>0</v>
      </c>
      <c r="N3467" s="22">
        <f t="shared" si="823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820"/>
        <v>0</v>
      </c>
      <c r="J3468" s="5"/>
      <c r="K3468" s="5"/>
      <c r="L3468" s="33">
        <f t="shared" si="821"/>
        <v>0</v>
      </c>
      <c r="M3468" s="33">
        <f t="shared" si="822"/>
        <v>0</v>
      </c>
      <c r="N3468" s="22">
        <f t="shared" si="823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820"/>
        <v>0</v>
      </c>
      <c r="J3469" s="5"/>
      <c r="K3469" s="5"/>
      <c r="L3469" s="33">
        <f t="shared" si="821"/>
        <v>0</v>
      </c>
      <c r="M3469" s="33">
        <f t="shared" si="822"/>
        <v>0</v>
      </c>
      <c r="N3469" s="22">
        <f t="shared" si="823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820"/>
        <v>0</v>
      </c>
      <c r="J3470" s="5"/>
      <c r="K3470" s="5"/>
      <c r="L3470" s="33">
        <f t="shared" si="821"/>
        <v>0</v>
      </c>
      <c r="M3470" s="33">
        <f t="shared" si="822"/>
        <v>0</v>
      </c>
      <c r="N3470" s="22">
        <f t="shared" si="823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820"/>
        <v>0</v>
      </c>
      <c r="J3471" s="5"/>
      <c r="K3471" s="5"/>
      <c r="L3471" s="33">
        <f t="shared" si="821"/>
        <v>0</v>
      </c>
      <c r="M3471" s="33">
        <f t="shared" si="822"/>
        <v>0</v>
      </c>
      <c r="N3471" s="22">
        <f t="shared" si="823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820"/>
        <v>0</v>
      </c>
      <c r="J3472" s="5"/>
      <c r="K3472" s="5"/>
      <c r="L3472" s="33">
        <f t="shared" si="821"/>
        <v>0</v>
      </c>
      <c r="M3472" s="33">
        <f t="shared" si="822"/>
        <v>0</v>
      </c>
      <c r="N3472" s="22">
        <f t="shared" si="823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820"/>
        <v>0</v>
      </c>
      <c r="J3473" s="5"/>
      <c r="K3473" s="5"/>
      <c r="L3473" s="33">
        <f t="shared" si="821"/>
        <v>0</v>
      </c>
      <c r="M3473" s="33">
        <f t="shared" si="822"/>
        <v>0</v>
      </c>
      <c r="N3473" s="22">
        <f t="shared" si="823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820"/>
        <v>0</v>
      </c>
      <c r="J3474" s="5"/>
      <c r="K3474" s="5"/>
      <c r="L3474" s="33">
        <f t="shared" si="821"/>
        <v>0</v>
      </c>
      <c r="M3474" s="33">
        <f t="shared" si="822"/>
        <v>0</v>
      </c>
      <c r="N3474" s="22">
        <f t="shared" si="823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820"/>
        <v>0</v>
      </c>
      <c r="J3475" s="5"/>
      <c r="K3475" s="5"/>
      <c r="L3475" s="33">
        <f t="shared" si="821"/>
        <v>0</v>
      </c>
      <c r="M3475" s="33">
        <f t="shared" si="822"/>
        <v>0</v>
      </c>
      <c r="N3475" s="22">
        <f t="shared" si="823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820"/>
        <v>0</v>
      </c>
      <c r="J3476" s="5"/>
      <c r="K3476" s="5"/>
      <c r="L3476" s="33">
        <f t="shared" si="821"/>
        <v>0</v>
      </c>
      <c r="M3476" s="33">
        <f t="shared" si="822"/>
        <v>0</v>
      </c>
      <c r="N3476" s="22">
        <f t="shared" si="823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820"/>
        <v>0</v>
      </c>
      <c r="J3477" s="5"/>
      <c r="K3477" s="5"/>
      <c r="L3477" s="33">
        <f t="shared" si="821"/>
        <v>0</v>
      </c>
      <c r="M3477" s="33">
        <f t="shared" si="822"/>
        <v>0</v>
      </c>
      <c r="N3477" s="22">
        <f t="shared" si="823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820"/>
        <v>0</v>
      </c>
      <c r="J3478" s="5"/>
      <c r="K3478" s="5"/>
      <c r="L3478" s="33">
        <f t="shared" si="821"/>
        <v>0</v>
      </c>
      <c r="M3478" s="33">
        <f t="shared" si="822"/>
        <v>0</v>
      </c>
      <c r="N3478" s="22">
        <f t="shared" si="823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820"/>
        <v>0</v>
      </c>
      <c r="J3479" s="5"/>
      <c r="K3479" s="5"/>
      <c r="L3479" s="33">
        <f t="shared" si="821"/>
        <v>0</v>
      </c>
      <c r="M3479" s="33">
        <f t="shared" si="822"/>
        <v>0</v>
      </c>
      <c r="N3479" s="22">
        <f t="shared" si="823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820"/>
        <v>0</v>
      </c>
      <c r="J3480" s="5"/>
      <c r="K3480" s="5"/>
      <c r="L3480" s="33">
        <f t="shared" si="821"/>
        <v>0</v>
      </c>
      <c r="M3480" s="33">
        <f t="shared" si="822"/>
        <v>0</v>
      </c>
      <c r="N3480" s="22">
        <f t="shared" si="823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820"/>
        <v>0</v>
      </c>
      <c r="J3481" s="5"/>
      <c r="K3481" s="5"/>
      <c r="L3481" s="33">
        <f t="shared" si="821"/>
        <v>0</v>
      </c>
      <c r="M3481" s="33">
        <f t="shared" si="822"/>
        <v>0</v>
      </c>
      <c r="N3481" s="22">
        <f t="shared" si="823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820"/>
        <v>0</v>
      </c>
      <c r="J3482" s="5"/>
      <c r="K3482" s="5"/>
      <c r="L3482" s="33">
        <f t="shared" si="821"/>
        <v>0</v>
      </c>
      <c r="M3482" s="33">
        <f t="shared" si="822"/>
        <v>0</v>
      </c>
      <c r="N3482" s="22">
        <f t="shared" si="823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820"/>
        <v>0</v>
      </c>
      <c r="J3483" s="5"/>
      <c r="K3483" s="5"/>
      <c r="L3483" s="33">
        <f t="shared" si="821"/>
        <v>0</v>
      </c>
      <c r="M3483" s="33">
        <f t="shared" si="822"/>
        <v>0</v>
      </c>
      <c r="N3483" s="22">
        <f t="shared" si="823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820"/>
        <v>0</v>
      </c>
      <c r="J3484" s="5"/>
      <c r="K3484" s="5"/>
      <c r="L3484" s="33">
        <f t="shared" si="821"/>
        <v>0</v>
      </c>
      <c r="M3484" s="33">
        <f t="shared" si="822"/>
        <v>0</v>
      </c>
      <c r="N3484" s="22">
        <f t="shared" si="823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820"/>
        <v>0</v>
      </c>
      <c r="J3485" s="5"/>
      <c r="K3485" s="5"/>
      <c r="L3485" s="33">
        <f t="shared" si="821"/>
        <v>0</v>
      </c>
      <c r="M3485" s="33">
        <f t="shared" si="822"/>
        <v>0</v>
      </c>
      <c r="N3485" s="22">
        <f t="shared" si="823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820"/>
        <v>0</v>
      </c>
      <c r="J3486" s="5"/>
      <c r="K3486" s="5"/>
      <c r="L3486" s="33">
        <f t="shared" si="821"/>
        <v>0</v>
      </c>
      <c r="M3486" s="33">
        <f t="shared" si="822"/>
        <v>0</v>
      </c>
      <c r="N3486" s="22">
        <f t="shared" si="823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820"/>
        <v>0</v>
      </c>
      <c r="J3487" s="5"/>
      <c r="K3487" s="5"/>
      <c r="L3487" s="33">
        <f t="shared" si="821"/>
        <v>0</v>
      </c>
      <c r="M3487" s="33">
        <f t="shared" si="822"/>
        <v>0</v>
      </c>
      <c r="N3487" s="22">
        <f t="shared" si="823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820"/>
        <v>0</v>
      </c>
      <c r="J3488" s="5"/>
      <c r="K3488" s="5"/>
      <c r="L3488" s="33">
        <f t="shared" si="821"/>
        <v>0</v>
      </c>
      <c r="M3488" s="33">
        <f t="shared" si="822"/>
        <v>0</v>
      </c>
      <c r="N3488" s="22">
        <f t="shared" si="823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820"/>
        <v>0</v>
      </c>
      <c r="J3489" s="5"/>
      <c r="K3489" s="5"/>
      <c r="L3489" s="33">
        <f t="shared" si="821"/>
        <v>0</v>
      </c>
      <c r="M3489" s="33">
        <f t="shared" si="822"/>
        <v>0</v>
      </c>
      <c r="N3489" s="22">
        <f t="shared" si="823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820"/>
        <v>0</v>
      </c>
      <c r="J3490" s="5"/>
      <c r="K3490" s="5"/>
      <c r="L3490" s="33">
        <f t="shared" si="821"/>
        <v>0</v>
      </c>
      <c r="M3490" s="33">
        <f t="shared" si="822"/>
        <v>0</v>
      </c>
      <c r="N3490" s="22">
        <f t="shared" si="823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820"/>
        <v>0</v>
      </c>
      <c r="J3491" s="5"/>
      <c r="K3491" s="5"/>
      <c r="L3491" s="33">
        <f t="shared" si="821"/>
        <v>0</v>
      </c>
      <c r="M3491" s="33">
        <f t="shared" si="822"/>
        <v>0</v>
      </c>
      <c r="N3491" s="22">
        <f t="shared" si="823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820"/>
        <v>0</v>
      </c>
      <c r="J3492" s="5"/>
      <c r="K3492" s="5"/>
      <c r="L3492" s="33">
        <f t="shared" si="821"/>
        <v>0</v>
      </c>
      <c r="M3492" s="33">
        <f t="shared" si="822"/>
        <v>0</v>
      </c>
      <c r="N3492" s="22">
        <f t="shared" si="823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820"/>
        <v>0</v>
      </c>
      <c r="J3493" s="5"/>
      <c r="K3493" s="5"/>
      <c r="L3493" s="33">
        <f t="shared" si="821"/>
        <v>0</v>
      </c>
      <c r="M3493" s="33">
        <f t="shared" si="822"/>
        <v>0</v>
      </c>
      <c r="N3493" s="22">
        <f t="shared" si="823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820"/>
        <v>0</v>
      </c>
      <c r="J3494" s="5"/>
      <c r="K3494" s="5"/>
      <c r="L3494" s="33">
        <f t="shared" si="821"/>
        <v>0</v>
      </c>
      <c r="M3494" s="33">
        <f t="shared" si="822"/>
        <v>0</v>
      </c>
      <c r="N3494" s="22">
        <f t="shared" si="823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820"/>
        <v>0</v>
      </c>
      <c r="J3495" s="5"/>
      <c r="K3495" s="5"/>
      <c r="L3495" s="33">
        <f t="shared" si="821"/>
        <v>0</v>
      </c>
      <c r="M3495" s="33">
        <f t="shared" si="822"/>
        <v>0</v>
      </c>
      <c r="N3495" s="22">
        <f t="shared" si="823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820"/>
        <v>0</v>
      </c>
      <c r="J3496" s="5"/>
      <c r="K3496" s="5"/>
      <c r="L3496" s="33">
        <f t="shared" si="821"/>
        <v>0</v>
      </c>
      <c r="M3496" s="33">
        <f t="shared" si="822"/>
        <v>0</v>
      </c>
      <c r="N3496" s="22">
        <f t="shared" si="823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820"/>
        <v>0</v>
      </c>
      <c r="J3497" s="5"/>
      <c r="K3497" s="5"/>
      <c r="L3497" s="33">
        <f t="shared" si="821"/>
        <v>0</v>
      </c>
      <c r="M3497" s="33">
        <f t="shared" si="822"/>
        <v>0</v>
      </c>
      <c r="N3497" s="22">
        <f t="shared" si="823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820"/>
        <v>0</v>
      </c>
      <c r="J3498" s="5"/>
      <c r="K3498" s="5"/>
      <c r="L3498" s="33">
        <f t="shared" si="821"/>
        <v>0</v>
      </c>
      <c r="M3498" s="33">
        <f t="shared" si="822"/>
        <v>0</v>
      </c>
      <c r="N3498" s="22">
        <f t="shared" si="823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820"/>
        <v>0</v>
      </c>
      <c r="J3499" s="5"/>
      <c r="K3499" s="5"/>
      <c r="L3499" s="33">
        <f t="shared" si="821"/>
        <v>0</v>
      </c>
      <c r="M3499" s="33">
        <f t="shared" si="822"/>
        <v>0</v>
      </c>
      <c r="N3499" s="22">
        <f t="shared" si="823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820"/>
        <v>0</v>
      </c>
      <c r="J3500" s="5"/>
      <c r="K3500" s="5"/>
      <c r="L3500" s="33">
        <f t="shared" si="821"/>
        <v>0</v>
      </c>
      <c r="M3500" s="33">
        <f t="shared" si="822"/>
        <v>0</v>
      </c>
      <c r="N3500" s="22">
        <f t="shared" si="823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820"/>
        <v>0</v>
      </c>
      <c r="J3501" s="5"/>
      <c r="K3501" s="5"/>
      <c r="L3501" s="33">
        <f t="shared" si="821"/>
        <v>0</v>
      </c>
      <c r="M3501" s="33">
        <f t="shared" si="822"/>
        <v>0</v>
      </c>
      <c r="N3501" s="22">
        <f t="shared" si="823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820"/>
        <v>0</v>
      </c>
      <c r="J3502" s="5"/>
      <c r="K3502" s="5"/>
      <c r="L3502" s="33">
        <f t="shared" si="821"/>
        <v>0</v>
      </c>
      <c r="M3502" s="33">
        <f t="shared" si="822"/>
        <v>0</v>
      </c>
      <c r="N3502" s="22">
        <f t="shared" si="823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820"/>
        <v>0</v>
      </c>
      <c r="J3503" s="5"/>
      <c r="K3503" s="5"/>
      <c r="L3503" s="33">
        <f t="shared" si="821"/>
        <v>0</v>
      </c>
      <c r="M3503" s="33">
        <f t="shared" si="822"/>
        <v>0</v>
      </c>
      <c r="N3503" s="22">
        <f t="shared" si="823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820"/>
        <v>0</v>
      </c>
      <c r="J3504" s="5"/>
      <c r="K3504" s="5"/>
      <c r="L3504" s="33">
        <f t="shared" si="821"/>
        <v>0</v>
      </c>
      <c r="M3504" s="33">
        <f t="shared" si="822"/>
        <v>0</v>
      </c>
      <c r="N3504" s="22">
        <f t="shared" si="823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820"/>
        <v>0</v>
      </c>
      <c r="J3505" s="5"/>
      <c r="K3505" s="5"/>
      <c r="L3505" s="33">
        <f t="shared" si="821"/>
        <v>0</v>
      </c>
      <c r="M3505" s="33">
        <f t="shared" si="822"/>
        <v>0</v>
      </c>
      <c r="N3505" s="22">
        <f t="shared" si="823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820"/>
        <v>0</v>
      </c>
      <c r="J3506" s="5"/>
      <c r="K3506" s="5"/>
      <c r="L3506" s="33">
        <f t="shared" si="821"/>
        <v>0</v>
      </c>
      <c r="M3506" s="33">
        <f t="shared" si="822"/>
        <v>0</v>
      </c>
      <c r="N3506" s="22">
        <f t="shared" si="823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820"/>
        <v>0</v>
      </c>
      <c r="J3507" s="5"/>
      <c r="K3507" s="5"/>
      <c r="L3507" s="33">
        <f t="shared" si="821"/>
        <v>0</v>
      </c>
      <c r="M3507" s="33">
        <f t="shared" si="822"/>
        <v>0</v>
      </c>
      <c r="N3507" s="22">
        <f t="shared" si="823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820"/>
        <v>0</v>
      </c>
      <c r="J3508" s="5"/>
      <c r="K3508" s="5"/>
      <c r="L3508" s="33">
        <f t="shared" si="821"/>
        <v>0</v>
      </c>
      <c r="M3508" s="33">
        <f t="shared" si="822"/>
        <v>0</v>
      </c>
      <c r="N3508" s="22">
        <f t="shared" si="823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820"/>
        <v>0</v>
      </c>
      <c r="J3509" s="5"/>
      <c r="K3509" s="5"/>
      <c r="L3509" s="33">
        <f t="shared" si="821"/>
        <v>0</v>
      </c>
      <c r="M3509" s="33">
        <f t="shared" si="822"/>
        <v>0</v>
      </c>
      <c r="N3509" s="22">
        <f t="shared" si="823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820"/>
        <v>0</v>
      </c>
      <c r="J3510" s="5"/>
      <c r="K3510" s="5"/>
      <c r="L3510" s="33">
        <f t="shared" si="821"/>
        <v>0</v>
      </c>
      <c r="M3510" s="33">
        <f t="shared" si="822"/>
        <v>0</v>
      </c>
      <c r="N3510" s="22">
        <f t="shared" si="823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820"/>
        <v>0</v>
      </c>
      <c r="J3511" s="5"/>
      <c r="K3511" s="5"/>
      <c r="L3511" s="33">
        <f t="shared" si="821"/>
        <v>0</v>
      </c>
      <c r="M3511" s="33">
        <f t="shared" si="822"/>
        <v>0</v>
      </c>
      <c r="N3511" s="22">
        <f t="shared" si="823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820"/>
        <v>0</v>
      </c>
      <c r="J3512" s="5"/>
      <c r="K3512" s="5"/>
      <c r="L3512" s="33">
        <f t="shared" si="821"/>
        <v>0</v>
      </c>
      <c r="M3512" s="33">
        <f t="shared" si="822"/>
        <v>0</v>
      </c>
      <c r="N3512" s="22">
        <f t="shared" si="823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820"/>
        <v>0</v>
      </c>
      <c r="J3513" s="5"/>
      <c r="K3513" s="5"/>
      <c r="L3513" s="33">
        <f t="shared" si="821"/>
        <v>0</v>
      </c>
      <c r="M3513" s="33">
        <f t="shared" si="822"/>
        <v>0</v>
      </c>
      <c r="N3513" s="22">
        <f t="shared" si="823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820"/>
        <v>0</v>
      </c>
      <c r="J3514" s="5"/>
      <c r="K3514" s="5"/>
      <c r="L3514" s="33">
        <f t="shared" si="821"/>
        <v>0</v>
      </c>
      <c r="M3514" s="33">
        <f t="shared" si="822"/>
        <v>0</v>
      </c>
      <c r="N3514" s="22">
        <f t="shared" si="823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820"/>
        <v>0</v>
      </c>
      <c r="J3515" s="5"/>
      <c r="K3515" s="5"/>
      <c r="L3515" s="33">
        <f t="shared" si="821"/>
        <v>0</v>
      </c>
      <c r="M3515" s="33">
        <f t="shared" si="822"/>
        <v>0</v>
      </c>
      <c r="N3515" s="22">
        <f t="shared" si="823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820"/>
        <v>0</v>
      </c>
      <c r="J3516" s="5"/>
      <c r="K3516" s="5"/>
      <c r="L3516" s="33">
        <f t="shared" si="821"/>
        <v>0</v>
      </c>
      <c r="M3516" s="33">
        <f t="shared" si="822"/>
        <v>0</v>
      </c>
      <c r="N3516" s="22">
        <f t="shared" si="823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820"/>
        <v>0</v>
      </c>
      <c r="J3517" s="5"/>
      <c r="K3517" s="5"/>
      <c r="L3517" s="33">
        <f t="shared" si="821"/>
        <v>0</v>
      </c>
      <c r="M3517" s="33">
        <f t="shared" si="822"/>
        <v>0</v>
      </c>
      <c r="N3517" s="22">
        <f t="shared" si="823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820"/>
        <v>0</v>
      </c>
      <c r="J3518" s="5"/>
      <c r="K3518" s="5"/>
      <c r="L3518" s="33">
        <f t="shared" si="821"/>
        <v>0</v>
      </c>
      <c r="M3518" s="33">
        <f t="shared" si="822"/>
        <v>0</v>
      </c>
      <c r="N3518" s="22">
        <f t="shared" si="823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820"/>
        <v>0</v>
      </c>
      <c r="J3519" s="5"/>
      <c r="K3519" s="5"/>
      <c r="L3519" s="33">
        <f t="shared" si="821"/>
        <v>0</v>
      </c>
      <c r="M3519" s="33">
        <f t="shared" si="822"/>
        <v>0</v>
      </c>
      <c r="N3519" s="22">
        <f t="shared" si="823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820"/>
        <v>0</v>
      </c>
      <c r="J3520" s="5"/>
      <c r="K3520" s="5"/>
      <c r="L3520" s="33">
        <f t="shared" si="821"/>
        <v>0</v>
      </c>
      <c r="M3520" s="33">
        <f t="shared" si="822"/>
        <v>0</v>
      </c>
      <c r="N3520" s="22">
        <f t="shared" si="823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820"/>
        <v>0</v>
      </c>
      <c r="J3521" s="5"/>
      <c r="K3521" s="5"/>
      <c r="L3521" s="33">
        <f t="shared" si="821"/>
        <v>0</v>
      </c>
      <c r="M3521" s="33">
        <f t="shared" si="822"/>
        <v>0</v>
      </c>
      <c r="N3521" s="22">
        <f t="shared" si="823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820"/>
        <v>0</v>
      </c>
      <c r="J3522" s="5"/>
      <c r="K3522" s="5"/>
      <c r="L3522" s="33">
        <f t="shared" si="821"/>
        <v>0</v>
      </c>
      <c r="M3522" s="33">
        <f t="shared" si="822"/>
        <v>0</v>
      </c>
      <c r="N3522" s="22">
        <f t="shared" si="823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820"/>
        <v>0</v>
      </c>
      <c r="J3523" s="5"/>
      <c r="K3523" s="5"/>
      <c r="L3523" s="33">
        <f t="shared" si="821"/>
        <v>0</v>
      </c>
      <c r="M3523" s="33">
        <f t="shared" si="822"/>
        <v>0</v>
      </c>
      <c r="N3523" s="22">
        <f t="shared" si="823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820"/>
        <v>0</v>
      </c>
      <c r="J3524" s="5"/>
      <c r="K3524" s="5"/>
      <c r="L3524" s="33">
        <f t="shared" si="821"/>
        <v>0</v>
      </c>
      <c r="M3524" s="33">
        <f t="shared" si="822"/>
        <v>0</v>
      </c>
      <c r="N3524" s="22">
        <f t="shared" si="823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820"/>
        <v>0</v>
      </c>
      <c r="J3525" s="5"/>
      <c r="K3525" s="5"/>
      <c r="L3525" s="33">
        <f t="shared" si="821"/>
        <v>0</v>
      </c>
      <c r="M3525" s="33">
        <f t="shared" si="822"/>
        <v>0</v>
      </c>
      <c r="N3525" s="22">
        <f t="shared" si="823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820"/>
        <v>0</v>
      </c>
      <c r="J3526" s="5"/>
      <c r="K3526" s="5"/>
      <c r="L3526" s="33">
        <f t="shared" si="821"/>
        <v>0</v>
      </c>
      <c r="M3526" s="33">
        <f t="shared" si="822"/>
        <v>0</v>
      </c>
      <c r="N3526" s="22">
        <f t="shared" si="823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820"/>
        <v>0</v>
      </c>
      <c r="J3527" s="5"/>
      <c r="K3527" s="5"/>
      <c r="L3527" s="33">
        <f t="shared" si="821"/>
        <v>0</v>
      </c>
      <c r="M3527" s="33">
        <f t="shared" si="822"/>
        <v>0</v>
      </c>
      <c r="N3527" s="22">
        <f t="shared" si="823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820"/>
        <v>0</v>
      </c>
      <c r="J3528" s="5"/>
      <c r="K3528" s="5"/>
      <c r="L3528" s="33">
        <f t="shared" si="821"/>
        <v>0</v>
      </c>
      <c r="M3528" s="33">
        <f t="shared" si="822"/>
        <v>0</v>
      </c>
      <c r="N3528" s="22">
        <f t="shared" si="823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824">D3529*(1-H3529)</f>
        <v>0</v>
      </c>
      <c r="J3529" s="5"/>
      <c r="K3529" s="5"/>
      <c r="L3529" s="33">
        <f t="shared" ref="L3529:L3592" si="825">E3529*(1-H3529)</f>
        <v>0</v>
      </c>
      <c r="M3529" s="33">
        <f t="shared" ref="M3529:M3592" si="826">IF(J3529="",L3529,(E3529/D3529)*J3529)</f>
        <v>0</v>
      </c>
      <c r="N3529" s="22">
        <f t="shared" ref="N3529:N3592" si="827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824"/>
        <v>0</v>
      </c>
      <c r="J3530" s="5"/>
      <c r="K3530" s="5"/>
      <c r="L3530" s="33">
        <f t="shared" si="825"/>
        <v>0</v>
      </c>
      <c r="M3530" s="33">
        <f t="shared" si="826"/>
        <v>0</v>
      </c>
      <c r="N3530" s="22">
        <f t="shared" si="827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824"/>
        <v>0</v>
      </c>
      <c r="J3531" s="5"/>
      <c r="K3531" s="5"/>
      <c r="L3531" s="33">
        <f t="shared" si="825"/>
        <v>0</v>
      </c>
      <c r="M3531" s="33">
        <f t="shared" si="826"/>
        <v>0</v>
      </c>
      <c r="N3531" s="22">
        <f t="shared" si="827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824"/>
        <v>0</v>
      </c>
      <c r="J3532" s="5"/>
      <c r="K3532" s="5"/>
      <c r="L3532" s="33">
        <f t="shared" si="825"/>
        <v>0</v>
      </c>
      <c r="M3532" s="33">
        <f t="shared" si="826"/>
        <v>0</v>
      </c>
      <c r="N3532" s="22">
        <f t="shared" si="827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824"/>
        <v>0</v>
      </c>
      <c r="J3533" s="5"/>
      <c r="K3533" s="5"/>
      <c r="L3533" s="33">
        <f t="shared" si="825"/>
        <v>0</v>
      </c>
      <c r="M3533" s="33">
        <f t="shared" si="826"/>
        <v>0</v>
      </c>
      <c r="N3533" s="22">
        <f t="shared" si="827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824"/>
        <v>0</v>
      </c>
      <c r="J3534" s="5"/>
      <c r="K3534" s="5"/>
      <c r="L3534" s="33">
        <f t="shared" si="825"/>
        <v>0</v>
      </c>
      <c r="M3534" s="33">
        <f t="shared" si="826"/>
        <v>0</v>
      </c>
      <c r="N3534" s="22">
        <f t="shared" si="827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824"/>
        <v>0</v>
      </c>
      <c r="J3535" s="5"/>
      <c r="K3535" s="5"/>
      <c r="L3535" s="33">
        <f t="shared" si="825"/>
        <v>0</v>
      </c>
      <c r="M3535" s="33">
        <f t="shared" si="826"/>
        <v>0</v>
      </c>
      <c r="N3535" s="22">
        <f t="shared" si="827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824"/>
        <v>0</v>
      </c>
      <c r="J3536" s="5"/>
      <c r="K3536" s="5"/>
      <c r="L3536" s="33">
        <f t="shared" si="825"/>
        <v>0</v>
      </c>
      <c r="M3536" s="33">
        <f t="shared" si="826"/>
        <v>0</v>
      </c>
      <c r="N3536" s="22">
        <f t="shared" si="827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824"/>
        <v>0</v>
      </c>
      <c r="J3537" s="5"/>
      <c r="K3537" s="5"/>
      <c r="L3537" s="33">
        <f t="shared" si="825"/>
        <v>0</v>
      </c>
      <c r="M3537" s="33">
        <f t="shared" si="826"/>
        <v>0</v>
      </c>
      <c r="N3537" s="22">
        <f t="shared" si="827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824"/>
        <v>0</v>
      </c>
      <c r="J3538" s="5"/>
      <c r="K3538" s="5"/>
      <c r="L3538" s="33">
        <f t="shared" si="825"/>
        <v>0</v>
      </c>
      <c r="M3538" s="33">
        <f t="shared" si="826"/>
        <v>0</v>
      </c>
      <c r="N3538" s="22">
        <f t="shared" si="827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824"/>
        <v>0</v>
      </c>
      <c r="J3539" s="5"/>
      <c r="K3539" s="5"/>
      <c r="L3539" s="33">
        <f t="shared" si="825"/>
        <v>0</v>
      </c>
      <c r="M3539" s="33">
        <f t="shared" si="826"/>
        <v>0</v>
      </c>
      <c r="N3539" s="22">
        <f t="shared" si="827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824"/>
        <v>0</v>
      </c>
      <c r="J3540" s="5"/>
      <c r="K3540" s="5"/>
      <c r="L3540" s="33">
        <f t="shared" si="825"/>
        <v>0</v>
      </c>
      <c r="M3540" s="33">
        <f t="shared" si="826"/>
        <v>0</v>
      </c>
      <c r="N3540" s="22">
        <f t="shared" si="827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824"/>
        <v>0</v>
      </c>
      <c r="J3541" s="5"/>
      <c r="K3541" s="5"/>
      <c r="L3541" s="33">
        <f t="shared" si="825"/>
        <v>0</v>
      </c>
      <c r="M3541" s="33">
        <f t="shared" si="826"/>
        <v>0</v>
      </c>
      <c r="N3541" s="22">
        <f t="shared" si="827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824"/>
        <v>0</v>
      </c>
      <c r="J3542" s="5"/>
      <c r="K3542" s="5"/>
      <c r="L3542" s="33">
        <f t="shared" si="825"/>
        <v>0</v>
      </c>
      <c r="M3542" s="33">
        <f t="shared" si="826"/>
        <v>0</v>
      </c>
      <c r="N3542" s="22">
        <f t="shared" si="827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824"/>
        <v>0</v>
      </c>
      <c r="J3543" s="5"/>
      <c r="K3543" s="5"/>
      <c r="L3543" s="33">
        <f t="shared" si="825"/>
        <v>0</v>
      </c>
      <c r="M3543" s="33">
        <f t="shared" si="826"/>
        <v>0</v>
      </c>
      <c r="N3543" s="22">
        <f t="shared" si="827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824"/>
        <v>0</v>
      </c>
      <c r="J3544" s="5"/>
      <c r="K3544" s="5"/>
      <c r="L3544" s="33">
        <f t="shared" si="825"/>
        <v>0</v>
      </c>
      <c r="M3544" s="33">
        <f t="shared" si="826"/>
        <v>0</v>
      </c>
      <c r="N3544" s="22">
        <f t="shared" si="827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824"/>
        <v>0</v>
      </c>
      <c r="J3545" s="5"/>
      <c r="K3545" s="5"/>
      <c r="L3545" s="33">
        <f t="shared" si="825"/>
        <v>0</v>
      </c>
      <c r="M3545" s="33">
        <f t="shared" si="826"/>
        <v>0</v>
      </c>
      <c r="N3545" s="22">
        <f t="shared" si="827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824"/>
        <v>0</v>
      </c>
      <c r="J3546" s="5"/>
      <c r="K3546" s="5"/>
      <c r="L3546" s="33">
        <f t="shared" si="825"/>
        <v>0</v>
      </c>
      <c r="M3546" s="33">
        <f t="shared" si="826"/>
        <v>0</v>
      </c>
      <c r="N3546" s="22">
        <f t="shared" si="827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824"/>
        <v>0</v>
      </c>
      <c r="J3547" s="5"/>
      <c r="K3547" s="5"/>
      <c r="L3547" s="33">
        <f t="shared" si="825"/>
        <v>0</v>
      </c>
      <c r="M3547" s="33">
        <f t="shared" si="826"/>
        <v>0</v>
      </c>
      <c r="N3547" s="22">
        <f t="shared" si="827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824"/>
        <v>0</v>
      </c>
      <c r="J3548" s="5"/>
      <c r="K3548" s="5"/>
      <c r="L3548" s="33">
        <f t="shared" si="825"/>
        <v>0</v>
      </c>
      <c r="M3548" s="33">
        <f t="shared" si="826"/>
        <v>0</v>
      </c>
      <c r="N3548" s="22">
        <f t="shared" si="827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824"/>
        <v>0</v>
      </c>
      <c r="J3549" s="5"/>
      <c r="K3549" s="5"/>
      <c r="L3549" s="33">
        <f t="shared" si="825"/>
        <v>0</v>
      </c>
      <c r="M3549" s="33">
        <f t="shared" si="826"/>
        <v>0</v>
      </c>
      <c r="N3549" s="22">
        <f t="shared" si="827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824"/>
        <v>0</v>
      </c>
      <c r="J3550" s="5"/>
      <c r="K3550" s="5"/>
      <c r="L3550" s="33">
        <f t="shared" si="825"/>
        <v>0</v>
      </c>
      <c r="M3550" s="33">
        <f t="shared" si="826"/>
        <v>0</v>
      </c>
      <c r="N3550" s="22">
        <f t="shared" si="827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824"/>
        <v>0</v>
      </c>
      <c r="J3551" s="5"/>
      <c r="K3551" s="5"/>
      <c r="L3551" s="33">
        <f t="shared" si="825"/>
        <v>0</v>
      </c>
      <c r="M3551" s="33">
        <f t="shared" si="826"/>
        <v>0</v>
      </c>
      <c r="N3551" s="22">
        <f t="shared" si="827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824"/>
        <v>6</v>
      </c>
      <c r="J3552" s="5"/>
      <c r="K3552" s="5"/>
      <c r="L3552" s="33">
        <f t="shared" si="825"/>
        <v>319.56</v>
      </c>
      <c r="M3552" s="33">
        <f t="shared" si="826"/>
        <v>319.56</v>
      </c>
      <c r="N3552" s="22">
        <f t="shared" si="827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824"/>
        <v>9</v>
      </c>
      <c r="J3553" s="5"/>
      <c r="K3553" s="5"/>
      <c r="L3553" s="33">
        <f t="shared" si="825"/>
        <v>160.44</v>
      </c>
      <c r="M3553" s="33">
        <f t="shared" si="826"/>
        <v>160.44</v>
      </c>
      <c r="N3553" s="22">
        <f t="shared" si="827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824"/>
        <v>1.2</v>
      </c>
      <c r="J3554" s="5"/>
      <c r="K3554" s="5"/>
      <c r="L3554" s="33">
        <f t="shared" si="825"/>
        <v>139.44</v>
      </c>
      <c r="M3554" s="33">
        <f t="shared" si="826"/>
        <v>139.44</v>
      </c>
      <c r="N3554" s="22">
        <f t="shared" si="827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824"/>
        <v>50</v>
      </c>
      <c r="J3555" s="5"/>
      <c r="K3555" s="5"/>
      <c r="L3555" s="33">
        <f t="shared" si="825"/>
        <v>2663</v>
      </c>
      <c r="M3555" s="33">
        <f t="shared" si="826"/>
        <v>2663</v>
      </c>
      <c r="N3555" s="22">
        <f t="shared" si="827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824"/>
        <v>75</v>
      </c>
      <c r="J3556" s="5"/>
      <c r="K3556" s="5"/>
      <c r="L3556" s="33">
        <f t="shared" si="825"/>
        <v>1337</v>
      </c>
      <c r="M3556" s="33">
        <f t="shared" si="826"/>
        <v>1337</v>
      </c>
      <c r="N3556" s="22">
        <f t="shared" si="827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824"/>
        <v>10</v>
      </c>
      <c r="J3557" s="5"/>
      <c r="K3557" s="5"/>
      <c r="L3557" s="33">
        <f t="shared" si="825"/>
        <v>1162</v>
      </c>
      <c r="M3557" s="33">
        <f t="shared" si="826"/>
        <v>1162</v>
      </c>
      <c r="N3557" s="22">
        <f t="shared" si="827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824"/>
        <v>50</v>
      </c>
      <c r="J3558" s="5"/>
      <c r="K3558" s="5"/>
      <c r="L3558" s="33">
        <f t="shared" si="825"/>
        <v>2663</v>
      </c>
      <c r="M3558" s="33">
        <f t="shared" si="826"/>
        <v>2663</v>
      </c>
      <c r="N3558" s="22">
        <f t="shared" si="827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824"/>
        <v>75</v>
      </c>
      <c r="J3559" s="5"/>
      <c r="K3559" s="5"/>
      <c r="L3559" s="33">
        <f t="shared" si="825"/>
        <v>1337</v>
      </c>
      <c r="M3559" s="33">
        <f t="shared" si="826"/>
        <v>1337</v>
      </c>
      <c r="N3559" s="22">
        <f t="shared" si="827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824"/>
        <v>10</v>
      </c>
      <c r="J3560" s="5"/>
      <c r="K3560" s="5"/>
      <c r="L3560" s="33">
        <f t="shared" si="825"/>
        <v>1162</v>
      </c>
      <c r="M3560" s="33">
        <f t="shared" si="826"/>
        <v>1162</v>
      </c>
      <c r="N3560" s="22">
        <f t="shared" si="827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824"/>
        <v>50</v>
      </c>
      <c r="J3561" s="5"/>
      <c r="K3561" s="5"/>
      <c r="L3561" s="33">
        <f t="shared" si="825"/>
        <v>2663</v>
      </c>
      <c r="M3561" s="33">
        <f t="shared" si="826"/>
        <v>2663</v>
      </c>
      <c r="N3561" s="22">
        <f t="shared" si="827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824"/>
        <v>75</v>
      </c>
      <c r="J3562" s="5"/>
      <c r="K3562" s="5"/>
      <c r="L3562" s="33">
        <f t="shared" si="825"/>
        <v>1337</v>
      </c>
      <c r="M3562" s="33">
        <f t="shared" si="826"/>
        <v>1337</v>
      </c>
      <c r="N3562" s="22">
        <f t="shared" si="827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824"/>
        <v>10</v>
      </c>
      <c r="J3563" s="5"/>
      <c r="K3563" s="5"/>
      <c r="L3563" s="33">
        <f t="shared" si="825"/>
        <v>1162</v>
      </c>
      <c r="M3563" s="33">
        <f t="shared" si="826"/>
        <v>1162</v>
      </c>
      <c r="N3563" s="22">
        <f t="shared" si="827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824"/>
        <v>50</v>
      </c>
      <c r="J3564" s="5"/>
      <c r="K3564" s="5"/>
      <c r="L3564" s="33">
        <f t="shared" si="825"/>
        <v>2663</v>
      </c>
      <c r="M3564" s="33">
        <f t="shared" si="826"/>
        <v>2663</v>
      </c>
      <c r="N3564" s="22">
        <f t="shared" si="827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824"/>
        <v>75</v>
      </c>
      <c r="J3565" s="5"/>
      <c r="K3565" s="5"/>
      <c r="L3565" s="33">
        <f t="shared" si="825"/>
        <v>1337</v>
      </c>
      <c r="M3565" s="33">
        <f t="shared" si="826"/>
        <v>1337</v>
      </c>
      <c r="N3565" s="22">
        <f t="shared" si="827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824"/>
        <v>10</v>
      </c>
      <c r="J3566" s="5"/>
      <c r="K3566" s="5"/>
      <c r="L3566" s="33">
        <f t="shared" si="825"/>
        <v>1162</v>
      </c>
      <c r="M3566" s="33">
        <f t="shared" si="826"/>
        <v>1162</v>
      </c>
      <c r="N3566" s="22">
        <f t="shared" si="827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824"/>
        <v>50</v>
      </c>
      <c r="J3567" s="5"/>
      <c r="K3567" s="5"/>
      <c r="L3567" s="33">
        <f t="shared" si="825"/>
        <v>2663</v>
      </c>
      <c r="M3567" s="33">
        <f t="shared" si="826"/>
        <v>2663</v>
      </c>
      <c r="N3567" s="22">
        <f t="shared" si="827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824"/>
        <v>75</v>
      </c>
      <c r="J3568" s="5"/>
      <c r="K3568" s="5"/>
      <c r="L3568" s="33">
        <f t="shared" si="825"/>
        <v>1337</v>
      </c>
      <c r="M3568" s="33">
        <f t="shared" si="826"/>
        <v>1337</v>
      </c>
      <c r="N3568" s="22">
        <f t="shared" si="827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824"/>
        <v>10</v>
      </c>
      <c r="J3569" s="5"/>
      <c r="K3569" s="5"/>
      <c r="L3569" s="33">
        <f t="shared" si="825"/>
        <v>1162</v>
      </c>
      <c r="M3569" s="33">
        <f t="shared" si="826"/>
        <v>1162</v>
      </c>
      <c r="N3569" s="22">
        <f t="shared" si="827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824"/>
        <v>50</v>
      </c>
      <c r="J3570" s="5"/>
      <c r="K3570" s="5"/>
      <c r="L3570" s="33">
        <f t="shared" si="825"/>
        <v>2663</v>
      </c>
      <c r="M3570" s="33">
        <f t="shared" si="826"/>
        <v>2663</v>
      </c>
      <c r="N3570" s="22">
        <f t="shared" si="827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824"/>
        <v>75</v>
      </c>
      <c r="J3571" s="5"/>
      <c r="K3571" s="5"/>
      <c r="L3571" s="33">
        <f t="shared" si="825"/>
        <v>1337</v>
      </c>
      <c r="M3571" s="33">
        <f t="shared" si="826"/>
        <v>1337</v>
      </c>
      <c r="N3571" s="22">
        <f t="shared" si="827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824"/>
        <v>10</v>
      </c>
      <c r="J3572" s="5"/>
      <c r="K3572" s="5"/>
      <c r="L3572" s="33">
        <f t="shared" si="825"/>
        <v>1162</v>
      </c>
      <c r="M3572" s="33">
        <f t="shared" si="826"/>
        <v>1162</v>
      </c>
      <c r="N3572" s="22">
        <f t="shared" si="827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824"/>
        <v>50</v>
      </c>
      <c r="J3573" s="5"/>
      <c r="K3573" s="5"/>
      <c r="L3573" s="33">
        <f t="shared" si="825"/>
        <v>2663</v>
      </c>
      <c r="M3573" s="33">
        <f t="shared" si="826"/>
        <v>2663</v>
      </c>
      <c r="N3573" s="22">
        <f t="shared" si="827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824"/>
        <v>75</v>
      </c>
      <c r="J3574" s="5"/>
      <c r="K3574" s="5"/>
      <c r="L3574" s="33">
        <f t="shared" si="825"/>
        <v>1337</v>
      </c>
      <c r="M3574" s="33">
        <f t="shared" si="826"/>
        <v>1337</v>
      </c>
      <c r="N3574" s="22">
        <f t="shared" si="827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824"/>
        <v>10</v>
      </c>
      <c r="J3575" s="5"/>
      <c r="K3575" s="5"/>
      <c r="L3575" s="33">
        <f t="shared" si="825"/>
        <v>1162</v>
      </c>
      <c r="M3575" s="33">
        <f t="shared" si="826"/>
        <v>1162</v>
      </c>
      <c r="N3575" s="22">
        <f t="shared" si="827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824"/>
        <v>50</v>
      </c>
      <c r="J3576" s="5"/>
      <c r="K3576" s="5"/>
      <c r="L3576" s="33">
        <f t="shared" si="825"/>
        <v>2663</v>
      </c>
      <c r="M3576" s="33">
        <f t="shared" si="826"/>
        <v>2663</v>
      </c>
      <c r="N3576" s="22">
        <f t="shared" si="827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824"/>
        <v>75</v>
      </c>
      <c r="J3577" s="5"/>
      <c r="K3577" s="5"/>
      <c r="L3577" s="33">
        <f t="shared" si="825"/>
        <v>1337</v>
      </c>
      <c r="M3577" s="33">
        <f t="shared" si="826"/>
        <v>1337</v>
      </c>
      <c r="N3577" s="22">
        <f t="shared" si="827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824"/>
        <v>10</v>
      </c>
      <c r="J3578" s="5"/>
      <c r="K3578" s="5"/>
      <c r="L3578" s="33">
        <f t="shared" si="825"/>
        <v>1162</v>
      </c>
      <c r="M3578" s="33">
        <f t="shared" si="826"/>
        <v>1162</v>
      </c>
      <c r="N3578" s="22">
        <f t="shared" si="827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824"/>
        <v>50</v>
      </c>
      <c r="J3579" s="5"/>
      <c r="K3579" s="5"/>
      <c r="L3579" s="33">
        <f t="shared" si="825"/>
        <v>2663</v>
      </c>
      <c r="M3579" s="33">
        <f t="shared" si="826"/>
        <v>2663</v>
      </c>
      <c r="N3579" s="22">
        <f t="shared" si="827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824"/>
        <v>75</v>
      </c>
      <c r="J3580" s="5"/>
      <c r="K3580" s="5"/>
      <c r="L3580" s="33">
        <f t="shared" si="825"/>
        <v>1337</v>
      </c>
      <c r="M3580" s="33">
        <f t="shared" si="826"/>
        <v>1337</v>
      </c>
      <c r="N3580" s="22">
        <f t="shared" si="827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824"/>
        <v>10</v>
      </c>
      <c r="J3581" s="5"/>
      <c r="K3581" s="5"/>
      <c r="L3581" s="33">
        <f t="shared" si="825"/>
        <v>1162</v>
      </c>
      <c r="M3581" s="33">
        <f t="shared" si="826"/>
        <v>1162</v>
      </c>
      <c r="N3581" s="22">
        <f t="shared" si="827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824"/>
        <v>50</v>
      </c>
      <c r="J3582" s="5"/>
      <c r="K3582" s="5"/>
      <c r="L3582" s="33">
        <f t="shared" si="825"/>
        <v>2663</v>
      </c>
      <c r="M3582" s="33">
        <f t="shared" si="826"/>
        <v>2663</v>
      </c>
      <c r="N3582" s="22">
        <f t="shared" si="827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824"/>
        <v>75</v>
      </c>
      <c r="J3583" s="5"/>
      <c r="K3583" s="5"/>
      <c r="L3583" s="33">
        <f t="shared" si="825"/>
        <v>1337</v>
      </c>
      <c r="M3583" s="33">
        <f t="shared" si="826"/>
        <v>1337</v>
      </c>
      <c r="N3583" s="22">
        <f t="shared" si="827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824"/>
        <v>10</v>
      </c>
      <c r="J3584" s="5"/>
      <c r="K3584" s="5"/>
      <c r="L3584" s="33">
        <f t="shared" si="825"/>
        <v>1162</v>
      </c>
      <c r="M3584" s="33">
        <f t="shared" si="826"/>
        <v>1162</v>
      </c>
      <c r="N3584" s="22">
        <f t="shared" si="827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824"/>
        <v>50</v>
      </c>
      <c r="J3585" s="5"/>
      <c r="K3585" s="5"/>
      <c r="L3585" s="33">
        <f t="shared" si="825"/>
        <v>2663</v>
      </c>
      <c r="M3585" s="33">
        <f t="shared" si="826"/>
        <v>2663</v>
      </c>
      <c r="N3585" s="22">
        <f t="shared" si="827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824"/>
        <v>75</v>
      </c>
      <c r="J3586" s="5"/>
      <c r="K3586" s="5"/>
      <c r="L3586" s="33">
        <f t="shared" si="825"/>
        <v>1337</v>
      </c>
      <c r="M3586" s="33">
        <f t="shared" si="826"/>
        <v>1337</v>
      </c>
      <c r="N3586" s="22">
        <f t="shared" si="827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824"/>
        <v>10</v>
      </c>
      <c r="J3587" s="5"/>
      <c r="K3587" s="5"/>
      <c r="L3587" s="33">
        <f t="shared" si="825"/>
        <v>1162</v>
      </c>
      <c r="M3587" s="33">
        <f t="shared" si="826"/>
        <v>1162</v>
      </c>
      <c r="N3587" s="22">
        <f t="shared" si="827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824"/>
        <v>50</v>
      </c>
      <c r="J3588" s="5"/>
      <c r="K3588" s="5"/>
      <c r="L3588" s="33">
        <f t="shared" si="825"/>
        <v>2663</v>
      </c>
      <c r="M3588" s="33">
        <f t="shared" si="826"/>
        <v>2663</v>
      </c>
      <c r="N3588" s="22">
        <f t="shared" si="827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824"/>
        <v>75</v>
      </c>
      <c r="J3589" s="5"/>
      <c r="K3589" s="5"/>
      <c r="L3589" s="33">
        <f t="shared" si="825"/>
        <v>1337</v>
      </c>
      <c r="M3589" s="33">
        <f t="shared" si="826"/>
        <v>1337</v>
      </c>
      <c r="N3589" s="22">
        <f t="shared" si="827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824"/>
        <v>10</v>
      </c>
      <c r="J3590" s="5"/>
      <c r="K3590" s="5"/>
      <c r="L3590" s="33">
        <f t="shared" si="825"/>
        <v>1162</v>
      </c>
      <c r="M3590" s="33">
        <f t="shared" si="826"/>
        <v>1162</v>
      </c>
      <c r="N3590" s="22">
        <f t="shared" si="827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824"/>
        <v>50</v>
      </c>
      <c r="J3591" s="5"/>
      <c r="K3591" s="5"/>
      <c r="L3591" s="33">
        <f t="shared" si="825"/>
        <v>2663</v>
      </c>
      <c r="M3591" s="33">
        <f t="shared" si="826"/>
        <v>2663</v>
      </c>
      <c r="N3591" s="22">
        <f t="shared" si="827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824"/>
        <v>75</v>
      </c>
      <c r="J3592" s="5"/>
      <c r="K3592" s="5"/>
      <c r="L3592" s="33">
        <f t="shared" si="825"/>
        <v>1337</v>
      </c>
      <c r="M3592" s="33">
        <f t="shared" si="826"/>
        <v>1337</v>
      </c>
      <c r="N3592" s="22">
        <f t="shared" si="827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828">D3593*(1-H3593)</f>
        <v>10</v>
      </c>
      <c r="J3593" s="5"/>
      <c r="K3593" s="5"/>
      <c r="L3593" s="33">
        <f t="shared" ref="L3593:L3620" si="829">E3593*(1-H3593)</f>
        <v>1162</v>
      </c>
      <c r="M3593" s="33">
        <f t="shared" ref="M3593:M3620" si="830">IF(J3593="",L3593,(E3593/D3593)*J3593)</f>
        <v>1162</v>
      </c>
      <c r="N3593" s="22">
        <f t="shared" ref="N3593:N3620" si="831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828"/>
        <v>50</v>
      </c>
      <c r="J3594" s="5"/>
      <c r="K3594" s="5"/>
      <c r="L3594" s="33">
        <f t="shared" si="829"/>
        <v>2663</v>
      </c>
      <c r="M3594" s="33">
        <f t="shared" si="830"/>
        <v>2663</v>
      </c>
      <c r="N3594" s="22">
        <f t="shared" si="831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828"/>
        <v>75</v>
      </c>
      <c r="J3595" s="5"/>
      <c r="K3595" s="5"/>
      <c r="L3595" s="33">
        <f t="shared" si="829"/>
        <v>1337</v>
      </c>
      <c r="M3595" s="33">
        <f t="shared" si="830"/>
        <v>1337</v>
      </c>
      <c r="N3595" s="22">
        <f t="shared" si="831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828"/>
        <v>10</v>
      </c>
      <c r="J3596" s="5"/>
      <c r="K3596" s="5"/>
      <c r="L3596" s="33">
        <f t="shared" si="829"/>
        <v>1162</v>
      </c>
      <c r="M3596" s="33">
        <f t="shared" si="830"/>
        <v>1162</v>
      </c>
      <c r="N3596" s="22">
        <f t="shared" si="831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828"/>
        <v>50</v>
      </c>
      <c r="J3597" s="5"/>
      <c r="K3597" s="5"/>
      <c r="L3597" s="33">
        <f t="shared" si="829"/>
        <v>2663</v>
      </c>
      <c r="M3597" s="33">
        <f t="shared" si="830"/>
        <v>2663</v>
      </c>
      <c r="N3597" s="22">
        <f t="shared" si="831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828"/>
        <v>75</v>
      </c>
      <c r="J3598" s="5"/>
      <c r="K3598" s="5"/>
      <c r="L3598" s="33">
        <f t="shared" si="829"/>
        <v>1337</v>
      </c>
      <c r="M3598" s="33">
        <f t="shared" si="830"/>
        <v>1337</v>
      </c>
      <c r="N3598" s="22">
        <f t="shared" si="831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828"/>
        <v>10</v>
      </c>
      <c r="J3599" s="5"/>
      <c r="K3599" s="5"/>
      <c r="L3599" s="33">
        <f t="shared" si="829"/>
        <v>1162</v>
      </c>
      <c r="M3599" s="33">
        <f t="shared" si="830"/>
        <v>1162</v>
      </c>
      <c r="N3599" s="22">
        <f t="shared" si="831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828"/>
        <v>50</v>
      </c>
      <c r="J3600" s="5"/>
      <c r="K3600" s="5"/>
      <c r="L3600" s="33">
        <f t="shared" si="829"/>
        <v>2663</v>
      </c>
      <c r="M3600" s="33">
        <f t="shared" si="830"/>
        <v>2663</v>
      </c>
      <c r="N3600" s="22">
        <f t="shared" si="831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828"/>
        <v>75</v>
      </c>
      <c r="J3601" s="5"/>
      <c r="K3601" s="5"/>
      <c r="L3601" s="33">
        <f t="shared" si="829"/>
        <v>1337</v>
      </c>
      <c r="M3601" s="33">
        <f t="shared" si="830"/>
        <v>1337</v>
      </c>
      <c r="N3601" s="22">
        <f t="shared" si="831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828"/>
        <v>10</v>
      </c>
      <c r="J3602" s="5"/>
      <c r="K3602" s="5"/>
      <c r="L3602" s="33">
        <f t="shared" si="829"/>
        <v>1162</v>
      </c>
      <c r="M3602" s="33">
        <f t="shared" si="830"/>
        <v>1162</v>
      </c>
      <c r="N3602" s="22">
        <f t="shared" si="831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828"/>
        <v>50</v>
      </c>
      <c r="J3603" s="5"/>
      <c r="K3603" s="5"/>
      <c r="L3603" s="33">
        <f t="shared" si="829"/>
        <v>2663</v>
      </c>
      <c r="M3603" s="33">
        <f t="shared" si="830"/>
        <v>2663</v>
      </c>
      <c r="N3603" s="22">
        <f t="shared" si="831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828"/>
        <v>75</v>
      </c>
      <c r="J3604" s="5"/>
      <c r="K3604" s="5"/>
      <c r="L3604" s="33">
        <f t="shared" si="829"/>
        <v>1337</v>
      </c>
      <c r="M3604" s="33">
        <f t="shared" si="830"/>
        <v>1337</v>
      </c>
      <c r="N3604" s="22">
        <f t="shared" si="831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828"/>
        <v>10</v>
      </c>
      <c r="J3605" s="5"/>
      <c r="K3605" s="5"/>
      <c r="L3605" s="33">
        <f t="shared" si="829"/>
        <v>1162</v>
      </c>
      <c r="M3605" s="33">
        <f t="shared" si="830"/>
        <v>1162</v>
      </c>
      <c r="N3605" s="22">
        <f t="shared" si="831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828"/>
        <v>50</v>
      </c>
      <c r="J3606" s="5"/>
      <c r="K3606" s="5"/>
      <c r="L3606" s="33">
        <f t="shared" si="829"/>
        <v>2663</v>
      </c>
      <c r="M3606" s="33">
        <f t="shared" si="830"/>
        <v>2663</v>
      </c>
      <c r="N3606" s="22">
        <f t="shared" si="831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828"/>
        <v>75</v>
      </c>
      <c r="J3607" s="5"/>
      <c r="K3607" s="5"/>
      <c r="L3607" s="33">
        <f t="shared" si="829"/>
        <v>1337</v>
      </c>
      <c r="M3607" s="33">
        <f t="shared" si="830"/>
        <v>1337</v>
      </c>
      <c r="N3607" s="22">
        <f t="shared" si="831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828"/>
        <v>10</v>
      </c>
      <c r="J3608" s="5"/>
      <c r="K3608" s="5"/>
      <c r="L3608" s="33">
        <f t="shared" si="829"/>
        <v>1162</v>
      </c>
      <c r="M3608" s="33">
        <f t="shared" si="830"/>
        <v>1162</v>
      </c>
      <c r="N3608" s="22">
        <f t="shared" si="831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828"/>
        <v>50</v>
      </c>
      <c r="J3609" s="5"/>
      <c r="K3609" s="5"/>
      <c r="L3609" s="33">
        <f t="shared" si="829"/>
        <v>2663</v>
      </c>
      <c r="M3609" s="33">
        <f t="shared" si="830"/>
        <v>2663</v>
      </c>
      <c r="N3609" s="22">
        <f t="shared" si="831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828"/>
        <v>75</v>
      </c>
      <c r="J3610" s="5"/>
      <c r="K3610" s="5"/>
      <c r="L3610" s="33">
        <f t="shared" si="829"/>
        <v>1337</v>
      </c>
      <c r="M3610" s="33">
        <f t="shared" si="830"/>
        <v>1337</v>
      </c>
      <c r="N3610" s="22">
        <f t="shared" si="831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828"/>
        <v>10</v>
      </c>
      <c r="J3611" s="5"/>
      <c r="K3611" s="5"/>
      <c r="L3611" s="33">
        <f t="shared" si="829"/>
        <v>1162</v>
      </c>
      <c r="M3611" s="33">
        <f t="shared" si="830"/>
        <v>1162</v>
      </c>
      <c r="N3611" s="22">
        <f t="shared" si="831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828"/>
        <v>50</v>
      </c>
      <c r="J3612" s="5"/>
      <c r="K3612" s="5"/>
      <c r="L3612" s="33">
        <f t="shared" si="829"/>
        <v>2663</v>
      </c>
      <c r="M3612" s="33">
        <f t="shared" si="830"/>
        <v>2663</v>
      </c>
      <c r="N3612" s="22">
        <f t="shared" si="831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828"/>
        <v>75</v>
      </c>
      <c r="J3613" s="5"/>
      <c r="K3613" s="5"/>
      <c r="L3613" s="33">
        <f t="shared" si="829"/>
        <v>1337</v>
      </c>
      <c r="M3613" s="33">
        <f t="shared" si="830"/>
        <v>1337</v>
      </c>
      <c r="N3613" s="22">
        <f t="shared" si="831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828"/>
        <v>10</v>
      </c>
      <c r="J3614" s="5"/>
      <c r="K3614" s="5"/>
      <c r="L3614" s="33">
        <f t="shared" si="829"/>
        <v>1162</v>
      </c>
      <c r="M3614" s="33">
        <f t="shared" si="830"/>
        <v>1162</v>
      </c>
      <c r="N3614" s="22">
        <f t="shared" si="831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828"/>
        <v>50</v>
      </c>
      <c r="J3615" s="5"/>
      <c r="K3615" s="5"/>
      <c r="L3615" s="33">
        <f t="shared" si="829"/>
        <v>2663</v>
      </c>
      <c r="M3615" s="33">
        <f t="shared" si="830"/>
        <v>2663</v>
      </c>
      <c r="N3615" s="22">
        <f t="shared" si="831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828"/>
        <v>75</v>
      </c>
      <c r="J3616" s="5"/>
      <c r="K3616" s="5"/>
      <c r="L3616" s="33">
        <f t="shared" si="829"/>
        <v>1337</v>
      </c>
      <c r="M3616" s="33">
        <f t="shared" si="830"/>
        <v>1337</v>
      </c>
      <c r="N3616" s="22">
        <f t="shared" si="831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828"/>
        <v>10</v>
      </c>
      <c r="J3617" s="5"/>
      <c r="K3617" s="5"/>
      <c r="L3617" s="33">
        <f t="shared" si="829"/>
        <v>1162</v>
      </c>
      <c r="M3617" s="33">
        <f t="shared" si="830"/>
        <v>1162</v>
      </c>
      <c r="N3617" s="22">
        <f t="shared" si="831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828"/>
        <v>50</v>
      </c>
      <c r="J3618" s="5"/>
      <c r="K3618" s="5"/>
      <c r="L3618" s="33">
        <f t="shared" si="829"/>
        <v>2663</v>
      </c>
      <c r="M3618" s="33">
        <f t="shared" si="830"/>
        <v>2663</v>
      </c>
      <c r="N3618" s="22">
        <f t="shared" si="831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828"/>
        <v>75</v>
      </c>
      <c r="J3619" s="5"/>
      <c r="K3619" s="5"/>
      <c r="L3619" s="33">
        <f t="shared" si="829"/>
        <v>1337</v>
      </c>
      <c r="M3619" s="33">
        <f t="shared" si="830"/>
        <v>1337</v>
      </c>
      <c r="N3619" s="22">
        <f t="shared" si="831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828"/>
        <v>10</v>
      </c>
      <c r="J3620" s="5"/>
      <c r="K3620" s="5"/>
      <c r="L3620" s="33">
        <f t="shared" si="829"/>
        <v>1162</v>
      </c>
      <c r="M3620" s="33">
        <f t="shared" si="830"/>
        <v>1162</v>
      </c>
      <c r="N3620" s="22">
        <f t="shared" si="831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832">D3622*(1-H3622)</f>
        <v>0</v>
      </c>
      <c r="J3622" s="5"/>
      <c r="K3622" s="5"/>
      <c r="L3622" s="33">
        <f t="shared" ref="L3622:L3649" si="833">E3622*(1-H3622)</f>
        <v>0</v>
      </c>
      <c r="M3622" s="33">
        <f t="shared" ref="M3622:M3649" si="834">IF(J3622="",L3622,(E3622/D3622)*J3622)</f>
        <v>0</v>
      </c>
      <c r="N3622" s="22">
        <f t="shared" ref="N3622:N3649" si="835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832"/>
        <v>0</v>
      </c>
      <c r="J3623" s="5"/>
      <c r="K3623" s="5"/>
      <c r="L3623" s="33">
        <f t="shared" si="833"/>
        <v>0</v>
      </c>
      <c r="M3623" s="33">
        <f t="shared" si="834"/>
        <v>0</v>
      </c>
      <c r="N3623" s="22">
        <f t="shared" si="835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832"/>
        <v>0</v>
      </c>
      <c r="J3624" s="5"/>
      <c r="K3624" s="5"/>
      <c r="L3624" s="33">
        <f t="shared" si="833"/>
        <v>0</v>
      </c>
      <c r="M3624" s="33">
        <f t="shared" si="834"/>
        <v>0</v>
      </c>
      <c r="N3624" s="22">
        <f t="shared" si="835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832"/>
        <v>0</v>
      </c>
      <c r="J3625" s="5"/>
      <c r="K3625" s="5"/>
      <c r="L3625" s="33">
        <f t="shared" si="833"/>
        <v>0</v>
      </c>
      <c r="M3625" s="33">
        <f t="shared" si="834"/>
        <v>0</v>
      </c>
      <c r="N3625" s="22">
        <f t="shared" si="835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832"/>
        <v>0</v>
      </c>
      <c r="J3626" s="5"/>
      <c r="K3626" s="5"/>
      <c r="L3626" s="33">
        <f t="shared" si="833"/>
        <v>0</v>
      </c>
      <c r="M3626" s="33">
        <f t="shared" si="834"/>
        <v>0</v>
      </c>
      <c r="N3626" s="22">
        <f t="shared" si="835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832"/>
        <v>0</v>
      </c>
      <c r="J3627" s="5"/>
      <c r="K3627" s="5"/>
      <c r="L3627" s="33">
        <f t="shared" si="833"/>
        <v>0</v>
      </c>
      <c r="M3627" s="33">
        <f t="shared" si="834"/>
        <v>0</v>
      </c>
      <c r="N3627" s="22">
        <f t="shared" si="835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832"/>
        <v>0</v>
      </c>
      <c r="J3628" s="5"/>
      <c r="K3628" s="5"/>
      <c r="L3628" s="33">
        <f t="shared" si="833"/>
        <v>0</v>
      </c>
      <c r="M3628" s="33">
        <f t="shared" si="834"/>
        <v>0</v>
      </c>
      <c r="N3628" s="22">
        <f t="shared" si="835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832"/>
        <v>0</v>
      </c>
      <c r="J3629" s="5"/>
      <c r="K3629" s="5"/>
      <c r="L3629" s="33">
        <f t="shared" si="833"/>
        <v>0</v>
      </c>
      <c r="M3629" s="33">
        <f t="shared" si="834"/>
        <v>0</v>
      </c>
      <c r="N3629" s="22">
        <f t="shared" si="835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832"/>
        <v>0</v>
      </c>
      <c r="J3630" s="5"/>
      <c r="K3630" s="5"/>
      <c r="L3630" s="33">
        <f t="shared" si="833"/>
        <v>0</v>
      </c>
      <c r="M3630" s="33">
        <f t="shared" si="834"/>
        <v>0</v>
      </c>
      <c r="N3630" s="22">
        <f t="shared" si="835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832"/>
        <v>0</v>
      </c>
      <c r="J3631" s="5"/>
      <c r="K3631" s="5"/>
      <c r="L3631" s="33">
        <f t="shared" si="833"/>
        <v>0</v>
      </c>
      <c r="M3631" s="33">
        <f t="shared" si="834"/>
        <v>0</v>
      </c>
      <c r="N3631" s="22">
        <f t="shared" si="835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832"/>
        <v>0</v>
      </c>
      <c r="J3632" s="5"/>
      <c r="K3632" s="5"/>
      <c r="L3632" s="33">
        <f t="shared" si="833"/>
        <v>0</v>
      </c>
      <c r="M3632" s="33">
        <f t="shared" si="834"/>
        <v>0</v>
      </c>
      <c r="N3632" s="22">
        <f t="shared" si="835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832"/>
        <v>0</v>
      </c>
      <c r="J3633" s="5"/>
      <c r="K3633" s="5"/>
      <c r="L3633" s="33">
        <f t="shared" si="833"/>
        <v>0</v>
      </c>
      <c r="M3633" s="33">
        <f t="shared" si="834"/>
        <v>0</v>
      </c>
      <c r="N3633" s="22">
        <f t="shared" si="835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832"/>
        <v>15.2</v>
      </c>
      <c r="J3634" s="5"/>
      <c r="K3634" s="5"/>
      <c r="L3634" s="33">
        <f t="shared" si="833"/>
        <v>270.75</v>
      </c>
      <c r="M3634" s="33">
        <f t="shared" si="834"/>
        <v>270.75</v>
      </c>
      <c r="N3634" s="22">
        <f t="shared" si="835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832"/>
        <v>9.5</v>
      </c>
      <c r="J3635" s="5"/>
      <c r="K3635" s="5"/>
      <c r="L3635" s="33">
        <f t="shared" si="833"/>
        <v>506.34999999999997</v>
      </c>
      <c r="M3635" s="33">
        <f t="shared" si="834"/>
        <v>506.34999999999997</v>
      </c>
      <c r="N3635" s="22">
        <f t="shared" si="835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832"/>
        <v>14.25</v>
      </c>
      <c r="J3636" s="5"/>
      <c r="K3636" s="5"/>
      <c r="L3636" s="33">
        <f t="shared" si="833"/>
        <v>1655.85</v>
      </c>
      <c r="M3636" s="33">
        <f t="shared" si="834"/>
        <v>1655.85</v>
      </c>
      <c r="N3636" s="22">
        <f t="shared" si="835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832"/>
        <v>16</v>
      </c>
      <c r="J3637" s="5"/>
      <c r="K3637" s="5"/>
      <c r="L3637" s="33">
        <f t="shared" si="833"/>
        <v>285</v>
      </c>
      <c r="M3637" s="33">
        <f t="shared" si="834"/>
        <v>285</v>
      </c>
      <c r="N3637" s="22">
        <f t="shared" si="835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832"/>
        <v>10</v>
      </c>
      <c r="J3638" s="5"/>
      <c r="K3638" s="5"/>
      <c r="L3638" s="33">
        <f t="shared" si="833"/>
        <v>533</v>
      </c>
      <c r="M3638" s="33">
        <f t="shared" si="834"/>
        <v>533</v>
      </c>
      <c r="N3638" s="22">
        <f t="shared" si="835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832"/>
        <v>15</v>
      </c>
      <c r="J3639" s="5"/>
      <c r="K3639" s="5"/>
      <c r="L3639" s="33">
        <f t="shared" si="833"/>
        <v>1743</v>
      </c>
      <c r="M3639" s="33">
        <f t="shared" si="834"/>
        <v>1743</v>
      </c>
      <c r="N3639" s="22">
        <f t="shared" si="835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832"/>
        <v>16</v>
      </c>
      <c r="J3640" s="5"/>
      <c r="K3640" s="5"/>
      <c r="L3640" s="33">
        <f t="shared" si="833"/>
        <v>285</v>
      </c>
      <c r="M3640" s="33">
        <f t="shared" si="834"/>
        <v>285</v>
      </c>
      <c r="N3640" s="22">
        <f t="shared" si="835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832"/>
        <v>10</v>
      </c>
      <c r="J3641" s="5"/>
      <c r="K3641" s="5"/>
      <c r="L3641" s="33">
        <f t="shared" si="833"/>
        <v>533</v>
      </c>
      <c r="M3641" s="33">
        <f t="shared" si="834"/>
        <v>533</v>
      </c>
      <c r="N3641" s="22">
        <f t="shared" si="835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832"/>
        <v>15</v>
      </c>
      <c r="J3642" s="5"/>
      <c r="K3642" s="5"/>
      <c r="L3642" s="33">
        <f t="shared" si="833"/>
        <v>1743</v>
      </c>
      <c r="M3642" s="33">
        <f t="shared" si="834"/>
        <v>1743</v>
      </c>
      <c r="N3642" s="22">
        <f t="shared" si="835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832"/>
        <v>0</v>
      </c>
      <c r="J3643" s="5"/>
      <c r="K3643" s="5"/>
      <c r="L3643" s="33">
        <f t="shared" si="833"/>
        <v>0</v>
      </c>
      <c r="M3643" s="33">
        <f t="shared" si="834"/>
        <v>0</v>
      </c>
      <c r="N3643" s="22">
        <f t="shared" si="835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832"/>
        <v>0</v>
      </c>
      <c r="J3644" s="5"/>
      <c r="K3644" s="5"/>
      <c r="L3644" s="33">
        <f t="shared" si="833"/>
        <v>0</v>
      </c>
      <c r="M3644" s="33">
        <f t="shared" si="834"/>
        <v>0</v>
      </c>
      <c r="N3644" s="22">
        <f t="shared" si="835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832"/>
        <v>0</v>
      </c>
      <c r="J3645" s="5"/>
      <c r="K3645" s="5"/>
      <c r="L3645" s="33">
        <f t="shared" si="833"/>
        <v>0</v>
      </c>
      <c r="M3645" s="33">
        <f t="shared" si="834"/>
        <v>0</v>
      </c>
      <c r="N3645" s="22">
        <f t="shared" si="835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832"/>
        <v>0</v>
      </c>
      <c r="J3646" s="5"/>
      <c r="K3646" s="5"/>
      <c r="L3646" s="33">
        <f t="shared" si="833"/>
        <v>0</v>
      </c>
      <c r="M3646" s="33">
        <f t="shared" si="834"/>
        <v>0</v>
      </c>
      <c r="N3646" s="22">
        <f t="shared" si="835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832"/>
        <v>6156</v>
      </c>
      <c r="J3647" s="5"/>
      <c r="K3647" s="5"/>
      <c r="L3647" s="33">
        <f t="shared" si="833"/>
        <v>7144.95</v>
      </c>
      <c r="M3647" s="33">
        <f t="shared" si="834"/>
        <v>7144.95</v>
      </c>
      <c r="N3647" s="22">
        <f t="shared" si="835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832"/>
        <v>6480</v>
      </c>
      <c r="J3648" s="5"/>
      <c r="K3648" s="5"/>
      <c r="L3648" s="33">
        <f t="shared" si="833"/>
        <v>7521</v>
      </c>
      <c r="M3648" s="33">
        <f t="shared" si="834"/>
        <v>7521</v>
      </c>
      <c r="N3648" s="22">
        <f t="shared" si="835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832"/>
        <v>6480</v>
      </c>
      <c r="J3649" s="5"/>
      <c r="K3649" s="5"/>
      <c r="L3649" s="33">
        <f t="shared" si="833"/>
        <v>7521</v>
      </c>
      <c r="M3649" s="33">
        <f t="shared" si="834"/>
        <v>7521</v>
      </c>
      <c r="N3649" s="22">
        <f t="shared" si="835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 t="shared" ref="I3653:I3656" si="836">D3653*(1-H3653)</f>
        <v>0</v>
      </c>
      <c r="J3653" s="5"/>
      <c r="K3653" s="5"/>
      <c r="L3653" s="33">
        <f t="shared" ref="L3653:L3656" si="837">E3653*(1-H3653)</f>
        <v>0</v>
      </c>
      <c r="M3653" s="33">
        <f t="shared" ref="M3653:M3656" si="838">IF(J3653="",L3653,(E3653/D3653)*J3653)</f>
        <v>0</v>
      </c>
      <c r="N3653" s="22">
        <f t="shared" ref="N3653:N3656" si="839"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 t="shared" si="836"/>
        <v>1072.5</v>
      </c>
      <c r="J3654" s="5"/>
      <c r="K3654" s="5"/>
      <c r="L3654" s="33">
        <f t="shared" si="837"/>
        <v>1242.8</v>
      </c>
      <c r="M3654" s="33">
        <f t="shared" si="838"/>
        <v>1242.8</v>
      </c>
      <c r="N3654" s="22">
        <f t="shared" si="839"/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 t="shared" si="836"/>
        <v>195</v>
      </c>
      <c r="J3655" s="5"/>
      <c r="K3655" s="5"/>
      <c r="L3655" s="33">
        <f t="shared" si="837"/>
        <v>226.20000000000002</v>
      </c>
      <c r="M3655" s="33">
        <f t="shared" si="838"/>
        <v>226.20000000000002</v>
      </c>
      <c r="N3655" s="22">
        <f t="shared" si="839"/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 t="shared" si="836"/>
        <v>55963.44</v>
      </c>
      <c r="J3656" s="5"/>
      <c r="K3656" s="5"/>
      <c r="L3656" s="33">
        <f t="shared" si="837"/>
        <v>62433.54</v>
      </c>
      <c r="M3656" s="33">
        <f t="shared" si="838"/>
        <v>62433.54</v>
      </c>
      <c r="N3656" s="22">
        <f t="shared" si="839"/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 t="shared" ref="I3661:I3663" si="840">D3661*(1-H3661)</f>
        <v>0</v>
      </c>
      <c r="J3661" s="5"/>
      <c r="K3661" s="5"/>
      <c r="L3661" s="33">
        <f t="shared" ref="L3661:L3663" si="841">E3661*(1-H3661)</f>
        <v>0</v>
      </c>
      <c r="M3661" s="33">
        <f t="shared" ref="M3661:M3663" si="842">IF(J3661="",L3661,(E3661/D3661)*J3661)</f>
        <v>0</v>
      </c>
      <c r="N3661" s="22">
        <f t="shared" ref="N3661:N3663" si="843"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 t="shared" si="840"/>
        <v>41117.94</v>
      </c>
      <c r="J3662" s="5"/>
      <c r="K3662" s="5"/>
      <c r="L3662" s="33">
        <f t="shared" si="841"/>
        <v>47724.720000000008</v>
      </c>
      <c r="M3662" s="33">
        <f t="shared" si="842"/>
        <v>47724.720000000008</v>
      </c>
      <c r="N3662" s="22">
        <f t="shared" si="843"/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 t="shared" si="840"/>
        <v>1760</v>
      </c>
      <c r="J3663" s="5"/>
      <c r="K3663" s="5"/>
      <c r="L3663" s="33">
        <f t="shared" si="841"/>
        <v>140500</v>
      </c>
      <c r="M3663" s="33">
        <f t="shared" si="842"/>
        <v>140500</v>
      </c>
      <c r="N3663" s="22">
        <f t="shared" si="843"/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 t="shared" ref="I3667:I3668" si="844">D3667*(1-H3667)</f>
        <v>0</v>
      </c>
      <c r="J3667" s="5"/>
      <c r="K3667" s="5"/>
      <c r="L3667" s="33">
        <f t="shared" ref="L3667:L3668" si="845">E3667*(1-H3667)</f>
        <v>0</v>
      </c>
      <c r="M3667" s="33">
        <f t="shared" ref="M3667:M3668" si="846">IF(J3667="",L3667,(E3667/D3667)*J3667)</f>
        <v>0</v>
      </c>
      <c r="N3667" s="22">
        <f t="shared" ref="N3667:N3668" si="847"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 t="shared" si="844"/>
        <v>0</v>
      </c>
      <c r="J3668" s="5"/>
      <c r="K3668" s="5"/>
      <c r="L3668" s="33">
        <f t="shared" si="845"/>
        <v>0</v>
      </c>
      <c r="M3668" s="33">
        <f t="shared" si="846"/>
        <v>0</v>
      </c>
      <c r="N3668" s="22">
        <f t="shared" si="847"/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 t="shared" ref="I3670:I3674" si="848">D3670*(1-H3670)</f>
        <v>0</v>
      </c>
      <c r="J3670" s="5"/>
      <c r="K3670" s="5"/>
      <c r="L3670" s="33">
        <f t="shared" ref="L3670:L3674" si="849">E3670*(1-H3670)</f>
        <v>0</v>
      </c>
      <c r="M3670" s="33">
        <f t="shared" ref="M3670:M3674" si="850">IF(J3670="",L3670,(E3670/D3670)*J3670)</f>
        <v>0</v>
      </c>
      <c r="N3670" s="22">
        <f t="shared" ref="N3670:N3674" si="851"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 t="shared" si="848"/>
        <v>0</v>
      </c>
      <c r="J3671" s="5"/>
      <c r="K3671" s="5"/>
      <c r="L3671" s="33">
        <f t="shared" si="849"/>
        <v>0</v>
      </c>
      <c r="M3671" s="33">
        <f t="shared" si="850"/>
        <v>0</v>
      </c>
      <c r="N3671" s="22">
        <f t="shared" si="851"/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 t="shared" si="848"/>
        <v>237500</v>
      </c>
      <c r="J3672" s="5"/>
      <c r="K3672" s="5"/>
      <c r="L3672" s="33">
        <f t="shared" si="849"/>
        <v>264958</v>
      </c>
      <c r="M3672" s="33">
        <f t="shared" si="850"/>
        <v>264958</v>
      </c>
      <c r="N3672" s="22">
        <f t="shared" si="851"/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 t="shared" si="848"/>
        <v>237500</v>
      </c>
      <c r="J3673" s="5"/>
      <c r="K3673" s="5"/>
      <c r="L3673" s="33">
        <f t="shared" si="849"/>
        <v>264958</v>
      </c>
      <c r="M3673" s="33">
        <f t="shared" si="850"/>
        <v>264958</v>
      </c>
      <c r="N3673" s="22">
        <f t="shared" si="851"/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 t="shared" si="848"/>
        <v>237500</v>
      </c>
      <c r="J3674" s="5"/>
      <c r="K3674" s="5"/>
      <c r="L3674" s="33">
        <f t="shared" si="849"/>
        <v>264958</v>
      </c>
      <c r="M3674" s="33">
        <f t="shared" si="850"/>
        <v>264958</v>
      </c>
      <c r="N3674" s="22">
        <f t="shared" si="851"/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852">D3676*(1-H3676)</f>
        <v>0</v>
      </c>
      <c r="J3676" s="5"/>
      <c r="K3676" s="5"/>
      <c r="L3676" s="33">
        <f t="shared" ref="L3676:L3685" si="853">E3676*(1-H3676)</f>
        <v>0</v>
      </c>
      <c r="M3676" s="33">
        <f t="shared" ref="M3676:M3685" si="854">IF(J3676="",L3676,(E3676/D3676)*J3676)</f>
        <v>0</v>
      </c>
      <c r="N3676" s="22">
        <f t="shared" ref="N3676:N3685" si="855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852"/>
        <v>0</v>
      </c>
      <c r="J3677" s="5"/>
      <c r="K3677" s="5"/>
      <c r="L3677" s="33">
        <f t="shared" si="853"/>
        <v>0</v>
      </c>
      <c r="M3677" s="33">
        <f t="shared" si="854"/>
        <v>0</v>
      </c>
      <c r="N3677" s="22">
        <f t="shared" si="855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852"/>
        <v>0</v>
      </c>
      <c r="J3678" s="5"/>
      <c r="K3678" s="5"/>
      <c r="L3678" s="33">
        <f t="shared" si="853"/>
        <v>0</v>
      </c>
      <c r="M3678" s="33">
        <f t="shared" si="854"/>
        <v>0</v>
      </c>
      <c r="N3678" s="22">
        <f t="shared" si="855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852"/>
        <v>0</v>
      </c>
      <c r="J3679" s="5"/>
      <c r="K3679" s="5"/>
      <c r="L3679" s="33">
        <f t="shared" si="853"/>
        <v>0</v>
      </c>
      <c r="M3679" s="33">
        <f t="shared" si="854"/>
        <v>0</v>
      </c>
      <c r="N3679" s="22">
        <f t="shared" si="855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852"/>
        <v>0</v>
      </c>
      <c r="J3680" s="5"/>
      <c r="K3680" s="5"/>
      <c r="L3680" s="33">
        <f t="shared" si="853"/>
        <v>0</v>
      </c>
      <c r="M3680" s="33">
        <f t="shared" si="854"/>
        <v>0</v>
      </c>
      <c r="N3680" s="22">
        <f t="shared" si="855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852"/>
        <v>0</v>
      </c>
      <c r="J3681" s="5"/>
      <c r="K3681" s="5"/>
      <c r="L3681" s="33">
        <f t="shared" si="853"/>
        <v>0</v>
      </c>
      <c r="M3681" s="33">
        <f t="shared" si="854"/>
        <v>0</v>
      </c>
      <c r="N3681" s="22">
        <f t="shared" si="855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852"/>
        <v>0</v>
      </c>
      <c r="J3682" s="5"/>
      <c r="K3682" s="5"/>
      <c r="L3682" s="33">
        <f t="shared" si="853"/>
        <v>0</v>
      </c>
      <c r="M3682" s="33">
        <f t="shared" si="854"/>
        <v>0</v>
      </c>
      <c r="N3682" s="22">
        <f t="shared" si="855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852"/>
        <v>0</v>
      </c>
      <c r="J3683" s="5"/>
      <c r="K3683" s="5"/>
      <c r="L3683" s="33">
        <f t="shared" si="853"/>
        <v>0</v>
      </c>
      <c r="M3683" s="33">
        <f t="shared" si="854"/>
        <v>0</v>
      </c>
      <c r="N3683" s="22">
        <f t="shared" si="855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852"/>
        <v>0</v>
      </c>
      <c r="J3684" s="5"/>
      <c r="K3684" s="5"/>
      <c r="L3684" s="33">
        <f t="shared" si="853"/>
        <v>0</v>
      </c>
      <c r="M3684" s="33">
        <f t="shared" si="854"/>
        <v>0</v>
      </c>
      <c r="N3684" s="22">
        <f t="shared" si="855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852"/>
        <v>0</v>
      </c>
      <c r="J3685" s="5"/>
      <c r="K3685" s="5"/>
      <c r="L3685" s="33">
        <f t="shared" si="853"/>
        <v>0</v>
      </c>
      <c r="M3685" s="33">
        <f t="shared" si="854"/>
        <v>0</v>
      </c>
      <c r="N3685" s="22">
        <f t="shared" si="855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856">D3688*(1-H3688)</f>
        <v>0</v>
      </c>
      <c r="J3688" s="5"/>
      <c r="K3688" s="5"/>
      <c r="L3688" s="33">
        <f t="shared" ref="L3688:L3694" si="857">E3688*(1-H3688)</f>
        <v>0</v>
      </c>
      <c r="M3688" s="33">
        <f t="shared" ref="M3688:M3694" si="858">IF(J3688="",L3688,(E3688/D3688)*J3688)</f>
        <v>0</v>
      </c>
      <c r="N3688" s="22">
        <f t="shared" ref="N3688:N3694" si="859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856"/>
        <v>0</v>
      </c>
      <c r="J3689" s="5"/>
      <c r="K3689" s="5"/>
      <c r="L3689" s="33">
        <f t="shared" si="857"/>
        <v>0</v>
      </c>
      <c r="M3689" s="33">
        <f t="shared" si="858"/>
        <v>0</v>
      </c>
      <c r="N3689" s="22">
        <f t="shared" si="859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856"/>
        <v>0</v>
      </c>
      <c r="J3690" s="5"/>
      <c r="K3690" s="5"/>
      <c r="L3690" s="33">
        <f t="shared" si="857"/>
        <v>0</v>
      </c>
      <c r="M3690" s="33">
        <f t="shared" si="858"/>
        <v>0</v>
      </c>
      <c r="N3690" s="22">
        <f t="shared" si="859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856"/>
        <v>0</v>
      </c>
      <c r="J3691" s="5"/>
      <c r="K3691" s="5"/>
      <c r="L3691" s="33">
        <f t="shared" si="857"/>
        <v>0</v>
      </c>
      <c r="M3691" s="33">
        <f t="shared" si="858"/>
        <v>0</v>
      </c>
      <c r="N3691" s="22">
        <f t="shared" si="859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856"/>
        <v>0</v>
      </c>
      <c r="J3692" s="5"/>
      <c r="K3692" s="5"/>
      <c r="L3692" s="33">
        <f t="shared" si="857"/>
        <v>0</v>
      </c>
      <c r="M3692" s="33">
        <f t="shared" si="858"/>
        <v>0</v>
      </c>
      <c r="N3692" s="22">
        <f t="shared" si="859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856"/>
        <v>0</v>
      </c>
      <c r="J3693" s="5"/>
      <c r="K3693" s="5"/>
      <c r="L3693" s="33">
        <f t="shared" si="857"/>
        <v>0</v>
      </c>
      <c r="M3693" s="33">
        <f t="shared" si="858"/>
        <v>0</v>
      </c>
      <c r="N3693" s="22">
        <f t="shared" si="859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856"/>
        <v>0</v>
      </c>
      <c r="J3694" s="5"/>
      <c r="K3694" s="5"/>
      <c r="L3694" s="33">
        <f t="shared" si="857"/>
        <v>0</v>
      </c>
      <c r="M3694" s="33">
        <f t="shared" si="858"/>
        <v>0</v>
      </c>
      <c r="N3694" s="22">
        <f t="shared" si="859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860">D3698*(1-H3698)</f>
        <v>0</v>
      </c>
      <c r="J3698" s="5"/>
      <c r="K3698" s="5"/>
      <c r="L3698" s="33">
        <f t="shared" ref="L3698:L3716" si="861">E3698*(1-H3698)</f>
        <v>0</v>
      </c>
      <c r="M3698" s="33">
        <f t="shared" ref="M3698:M3716" si="862">IF(J3698="",L3698,(E3698/D3698)*J3698)</f>
        <v>0</v>
      </c>
      <c r="N3698" s="22">
        <f t="shared" ref="N3698:N3716" si="863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860"/>
        <v>0</v>
      </c>
      <c r="J3699" s="5"/>
      <c r="K3699" s="5"/>
      <c r="L3699" s="33">
        <f t="shared" si="861"/>
        <v>0</v>
      </c>
      <c r="M3699" s="33">
        <f t="shared" si="862"/>
        <v>0</v>
      </c>
      <c r="N3699" s="22">
        <f t="shared" si="863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860"/>
        <v>0</v>
      </c>
      <c r="J3700" s="5"/>
      <c r="K3700" s="5"/>
      <c r="L3700" s="33">
        <f t="shared" si="861"/>
        <v>0</v>
      </c>
      <c r="M3700" s="33">
        <f t="shared" si="862"/>
        <v>0</v>
      </c>
      <c r="N3700" s="22">
        <f t="shared" si="863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860"/>
        <v>0</v>
      </c>
      <c r="J3701" s="5"/>
      <c r="K3701" s="5"/>
      <c r="L3701" s="33">
        <f t="shared" si="861"/>
        <v>0</v>
      </c>
      <c r="M3701" s="33">
        <f t="shared" si="862"/>
        <v>0</v>
      </c>
      <c r="N3701" s="22">
        <f t="shared" si="863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860"/>
        <v>0</v>
      </c>
      <c r="J3702" s="5"/>
      <c r="K3702" s="5"/>
      <c r="L3702" s="33">
        <f t="shared" si="861"/>
        <v>0</v>
      </c>
      <c r="M3702" s="33">
        <f t="shared" si="862"/>
        <v>0</v>
      </c>
      <c r="N3702" s="22">
        <f t="shared" si="863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860"/>
        <v>0</v>
      </c>
      <c r="J3703" s="5"/>
      <c r="K3703" s="5"/>
      <c r="L3703" s="33">
        <f t="shared" si="861"/>
        <v>0</v>
      </c>
      <c r="M3703" s="33">
        <f t="shared" si="862"/>
        <v>0</v>
      </c>
      <c r="N3703" s="22">
        <f t="shared" si="863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860"/>
        <v>0</v>
      </c>
      <c r="J3704" s="5"/>
      <c r="K3704" s="5"/>
      <c r="L3704" s="33">
        <f t="shared" si="861"/>
        <v>0</v>
      </c>
      <c r="M3704" s="33">
        <f t="shared" si="862"/>
        <v>0</v>
      </c>
      <c r="N3704" s="22">
        <f t="shared" si="863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860"/>
        <v>0</v>
      </c>
      <c r="J3705" s="5"/>
      <c r="K3705" s="5"/>
      <c r="L3705" s="33">
        <f t="shared" si="861"/>
        <v>0</v>
      </c>
      <c r="M3705" s="33">
        <f t="shared" si="862"/>
        <v>0</v>
      </c>
      <c r="N3705" s="22">
        <f t="shared" si="863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860"/>
        <v>0</v>
      </c>
      <c r="J3706" s="5"/>
      <c r="K3706" s="5"/>
      <c r="L3706" s="33">
        <f t="shared" si="861"/>
        <v>0</v>
      </c>
      <c r="M3706" s="33">
        <f t="shared" si="862"/>
        <v>0</v>
      </c>
      <c r="N3706" s="22">
        <f t="shared" si="863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860"/>
        <v>0</v>
      </c>
      <c r="J3707" s="5"/>
      <c r="K3707" s="5"/>
      <c r="L3707" s="33">
        <f t="shared" si="861"/>
        <v>0</v>
      </c>
      <c r="M3707" s="33">
        <f t="shared" si="862"/>
        <v>0</v>
      </c>
      <c r="N3707" s="22">
        <f t="shared" si="863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860"/>
        <v>0</v>
      </c>
      <c r="J3708" s="5"/>
      <c r="K3708" s="5"/>
      <c r="L3708" s="33">
        <f t="shared" si="861"/>
        <v>0</v>
      </c>
      <c r="M3708" s="33">
        <f t="shared" si="862"/>
        <v>0</v>
      </c>
      <c r="N3708" s="22">
        <f t="shared" si="863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860"/>
        <v>0</v>
      </c>
      <c r="J3709" s="5"/>
      <c r="K3709" s="5"/>
      <c r="L3709" s="33">
        <f t="shared" si="861"/>
        <v>0</v>
      </c>
      <c r="M3709" s="33">
        <f t="shared" si="862"/>
        <v>0</v>
      </c>
      <c r="N3709" s="22">
        <f t="shared" si="863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860"/>
        <v>0</v>
      </c>
      <c r="J3710" s="5"/>
      <c r="K3710" s="5"/>
      <c r="L3710" s="33">
        <f t="shared" si="861"/>
        <v>0</v>
      </c>
      <c r="M3710" s="33">
        <f t="shared" si="862"/>
        <v>0</v>
      </c>
      <c r="N3710" s="22">
        <f t="shared" si="863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860"/>
        <v>0</v>
      </c>
      <c r="J3711" s="5"/>
      <c r="K3711" s="5"/>
      <c r="L3711" s="33">
        <f t="shared" si="861"/>
        <v>0</v>
      </c>
      <c r="M3711" s="33">
        <f t="shared" si="862"/>
        <v>0</v>
      </c>
      <c r="N3711" s="22">
        <f t="shared" si="863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860"/>
        <v>0</v>
      </c>
      <c r="J3712" s="5"/>
      <c r="K3712" s="5"/>
      <c r="L3712" s="33">
        <f t="shared" si="861"/>
        <v>0</v>
      </c>
      <c r="M3712" s="33">
        <f t="shared" si="862"/>
        <v>0</v>
      </c>
      <c r="N3712" s="22">
        <f t="shared" si="863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860"/>
        <v>0</v>
      </c>
      <c r="J3713" s="5"/>
      <c r="K3713" s="5"/>
      <c r="L3713" s="33">
        <f t="shared" si="861"/>
        <v>0</v>
      </c>
      <c r="M3713" s="33">
        <f t="shared" si="862"/>
        <v>0</v>
      </c>
      <c r="N3713" s="22">
        <f t="shared" si="863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860"/>
        <v>0</v>
      </c>
      <c r="J3714" s="5"/>
      <c r="K3714" s="5"/>
      <c r="L3714" s="33">
        <f t="shared" si="861"/>
        <v>0</v>
      </c>
      <c r="M3714" s="33">
        <f t="shared" si="862"/>
        <v>0</v>
      </c>
      <c r="N3714" s="22">
        <f t="shared" si="863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860"/>
        <v>0</v>
      </c>
      <c r="J3715" s="5"/>
      <c r="K3715" s="5"/>
      <c r="L3715" s="33">
        <f t="shared" si="861"/>
        <v>0</v>
      </c>
      <c r="M3715" s="33">
        <f t="shared" si="862"/>
        <v>0</v>
      </c>
      <c r="N3715" s="22">
        <f t="shared" si="863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860"/>
        <v>0</v>
      </c>
      <c r="J3716" s="5"/>
      <c r="K3716" s="5"/>
      <c r="L3716" s="33">
        <f t="shared" si="861"/>
        <v>0</v>
      </c>
      <c r="M3716" s="33">
        <f t="shared" si="862"/>
        <v>0</v>
      </c>
      <c r="N3716" s="22">
        <f t="shared" si="863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864">D3719*(1-H3719)</f>
        <v>0</v>
      </c>
      <c r="J3719" s="5"/>
      <c r="K3719" s="5"/>
      <c r="L3719" s="33">
        <f t="shared" ref="L3719:L3724" si="865">E3719*(1-H3719)</f>
        <v>0</v>
      </c>
      <c r="M3719" s="33">
        <f t="shared" ref="M3719:M3724" si="866">IF(J3719="",L3719,(E3719/D3719)*J3719)</f>
        <v>0</v>
      </c>
      <c r="N3719" s="22">
        <f t="shared" ref="N3719:N3724" si="867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864"/>
        <v>0</v>
      </c>
      <c r="J3720" s="5"/>
      <c r="K3720" s="5"/>
      <c r="L3720" s="33">
        <f t="shared" si="865"/>
        <v>0</v>
      </c>
      <c r="M3720" s="33">
        <f t="shared" si="866"/>
        <v>0</v>
      </c>
      <c r="N3720" s="22">
        <f t="shared" si="867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864"/>
        <v>0</v>
      </c>
      <c r="J3721" s="5"/>
      <c r="K3721" s="5"/>
      <c r="L3721" s="33">
        <f t="shared" si="865"/>
        <v>0</v>
      </c>
      <c r="M3721" s="33">
        <f t="shared" si="866"/>
        <v>0</v>
      </c>
      <c r="N3721" s="22">
        <f t="shared" si="867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864"/>
        <v>0</v>
      </c>
      <c r="J3722" s="5"/>
      <c r="K3722" s="5"/>
      <c r="L3722" s="33">
        <f t="shared" si="865"/>
        <v>0</v>
      </c>
      <c r="M3722" s="33">
        <f t="shared" si="866"/>
        <v>0</v>
      </c>
      <c r="N3722" s="22">
        <f t="shared" si="867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864"/>
        <v>0</v>
      </c>
      <c r="J3723" s="5"/>
      <c r="K3723" s="5"/>
      <c r="L3723" s="33">
        <f t="shared" si="865"/>
        <v>0</v>
      </c>
      <c r="M3723" s="33">
        <f t="shared" si="866"/>
        <v>0</v>
      </c>
      <c r="N3723" s="22">
        <f t="shared" si="867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864"/>
        <v>0</v>
      </c>
      <c r="J3724" s="5"/>
      <c r="K3724" s="5"/>
      <c r="L3724" s="33">
        <f t="shared" si="865"/>
        <v>0</v>
      </c>
      <c r="M3724" s="33">
        <f t="shared" si="866"/>
        <v>0</v>
      </c>
      <c r="N3724" s="22">
        <f t="shared" si="867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868">D3726*(1-H3726)</f>
        <v>70.400000000000006</v>
      </c>
      <c r="J3726" s="5"/>
      <c r="K3726" s="5"/>
      <c r="L3726" s="33">
        <f t="shared" ref="L3726:L3741" si="869">E3726*(1-H3726)</f>
        <v>1155.2</v>
      </c>
      <c r="M3726" s="33">
        <f t="shared" ref="M3726:M3741" si="870">IF(J3726="",L3726,(E3726/D3726)*J3726)</f>
        <v>1155.2</v>
      </c>
      <c r="N3726" s="22">
        <f t="shared" ref="N3726:N3741" si="871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868"/>
        <v>230.39999999999998</v>
      </c>
      <c r="J3727" s="5"/>
      <c r="K3727" s="5"/>
      <c r="L3727" s="33">
        <f t="shared" si="869"/>
        <v>3787.7999999999997</v>
      </c>
      <c r="M3727" s="33">
        <f t="shared" si="870"/>
        <v>3787.7999999999997</v>
      </c>
      <c r="N3727" s="22">
        <f t="shared" si="871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868"/>
        <v>0</v>
      </c>
      <c r="J3728" s="5"/>
      <c r="K3728" s="5"/>
      <c r="L3728" s="33">
        <f t="shared" si="869"/>
        <v>0</v>
      </c>
      <c r="M3728" s="33">
        <f t="shared" si="870"/>
        <v>0</v>
      </c>
      <c r="N3728" s="22">
        <f t="shared" si="871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868"/>
        <v>0</v>
      </c>
      <c r="J3729" s="5"/>
      <c r="K3729" s="5"/>
      <c r="L3729" s="33">
        <f t="shared" si="869"/>
        <v>0</v>
      </c>
      <c r="M3729" s="33">
        <f t="shared" si="870"/>
        <v>0</v>
      </c>
      <c r="N3729" s="22">
        <f t="shared" si="871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868"/>
        <v>0</v>
      </c>
      <c r="J3730" s="5"/>
      <c r="K3730" s="5"/>
      <c r="L3730" s="33">
        <f t="shared" si="869"/>
        <v>0</v>
      </c>
      <c r="M3730" s="33">
        <f t="shared" si="870"/>
        <v>0</v>
      </c>
      <c r="N3730" s="22">
        <f t="shared" si="871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868"/>
        <v>0</v>
      </c>
      <c r="J3731" s="5"/>
      <c r="K3731" s="5"/>
      <c r="L3731" s="33">
        <f t="shared" si="869"/>
        <v>0</v>
      </c>
      <c r="M3731" s="33">
        <f t="shared" si="870"/>
        <v>0</v>
      </c>
      <c r="N3731" s="22">
        <f t="shared" si="871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868"/>
        <v>0</v>
      </c>
      <c r="J3732" s="5"/>
      <c r="K3732" s="5"/>
      <c r="L3732" s="33">
        <f t="shared" si="869"/>
        <v>0</v>
      </c>
      <c r="M3732" s="33">
        <f t="shared" si="870"/>
        <v>0</v>
      </c>
      <c r="N3732" s="22">
        <f t="shared" si="871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868"/>
        <v>0</v>
      </c>
      <c r="J3733" s="5"/>
      <c r="K3733" s="5"/>
      <c r="L3733" s="33">
        <f t="shared" si="869"/>
        <v>0</v>
      </c>
      <c r="M3733" s="33">
        <f t="shared" si="870"/>
        <v>0</v>
      </c>
      <c r="N3733" s="22">
        <f t="shared" si="871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868"/>
        <v>177356</v>
      </c>
      <c r="J3734" s="5"/>
      <c r="K3734" s="5"/>
      <c r="L3734" s="33">
        <f t="shared" si="869"/>
        <v>205854</v>
      </c>
      <c r="M3734" s="33">
        <f t="shared" si="870"/>
        <v>205854</v>
      </c>
      <c r="N3734" s="22">
        <f t="shared" si="871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868"/>
        <v>0</v>
      </c>
      <c r="J3735" s="5"/>
      <c r="K3735" s="5"/>
      <c r="L3735" s="33">
        <f t="shared" si="869"/>
        <v>0</v>
      </c>
      <c r="M3735" s="33">
        <f t="shared" si="870"/>
        <v>0</v>
      </c>
      <c r="N3735" s="22">
        <f t="shared" si="871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868"/>
        <v>0</v>
      </c>
      <c r="J3736" s="5"/>
      <c r="K3736" s="5"/>
      <c r="L3736" s="33">
        <f t="shared" si="869"/>
        <v>0</v>
      </c>
      <c r="M3736" s="33">
        <f t="shared" si="870"/>
        <v>0</v>
      </c>
      <c r="N3736" s="22">
        <f t="shared" si="871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868"/>
        <v>0</v>
      </c>
      <c r="J3737" s="5"/>
      <c r="K3737" s="5"/>
      <c r="L3737" s="33">
        <f t="shared" si="869"/>
        <v>0</v>
      </c>
      <c r="M3737" s="33">
        <f t="shared" si="870"/>
        <v>0</v>
      </c>
      <c r="N3737" s="22">
        <f t="shared" si="871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868"/>
        <v>0</v>
      </c>
      <c r="J3738" s="5"/>
      <c r="K3738" s="5"/>
      <c r="L3738" s="33">
        <f t="shared" si="869"/>
        <v>0</v>
      </c>
      <c r="M3738" s="33">
        <f t="shared" si="870"/>
        <v>0</v>
      </c>
      <c r="N3738" s="22">
        <f t="shared" si="871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868"/>
        <v>0</v>
      </c>
      <c r="J3739" s="5"/>
      <c r="K3739" s="5"/>
      <c r="L3739" s="33">
        <f t="shared" si="869"/>
        <v>0</v>
      </c>
      <c r="M3739" s="33">
        <f t="shared" si="870"/>
        <v>0</v>
      </c>
      <c r="N3739" s="22">
        <f t="shared" si="871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868"/>
        <v>0</v>
      </c>
      <c r="J3740" s="5"/>
      <c r="K3740" s="5"/>
      <c r="L3740" s="33">
        <f t="shared" si="869"/>
        <v>0</v>
      </c>
      <c r="M3740" s="33">
        <f t="shared" si="870"/>
        <v>0</v>
      </c>
      <c r="N3740" s="22">
        <f t="shared" si="871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868"/>
        <v>670160</v>
      </c>
      <c r="J3741" s="5"/>
      <c r="K3741" s="5"/>
      <c r="L3741" s="33">
        <f t="shared" si="869"/>
        <v>777844</v>
      </c>
      <c r="M3741" s="33">
        <f t="shared" si="870"/>
        <v>777844</v>
      </c>
      <c r="N3741" s="22">
        <f t="shared" si="871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872">D3745*(1-H3745)</f>
        <v>0</v>
      </c>
      <c r="J3745" s="5"/>
      <c r="K3745" s="5"/>
      <c r="L3745" s="33">
        <f t="shared" ref="L3745:L3752" si="873">E3745*(1-H3745)</f>
        <v>0</v>
      </c>
      <c r="M3745" s="33">
        <f t="shared" ref="M3745:M3752" si="874">IF(J3745="",L3745,(E3745/D3745)*J3745)</f>
        <v>0</v>
      </c>
      <c r="N3745" s="22">
        <f t="shared" ref="N3745:N3752" si="875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872"/>
        <v>0</v>
      </c>
      <c r="J3746" s="5"/>
      <c r="K3746" s="5"/>
      <c r="L3746" s="33">
        <f t="shared" si="873"/>
        <v>0</v>
      </c>
      <c r="M3746" s="33">
        <f t="shared" si="874"/>
        <v>0</v>
      </c>
      <c r="N3746" s="22">
        <f t="shared" si="875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872"/>
        <v>0</v>
      </c>
      <c r="J3747" s="5"/>
      <c r="K3747" s="5"/>
      <c r="L3747" s="33">
        <f t="shared" si="873"/>
        <v>0</v>
      </c>
      <c r="M3747" s="33">
        <f t="shared" si="874"/>
        <v>0</v>
      </c>
      <c r="N3747" s="22">
        <f t="shared" si="875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872"/>
        <v>0</v>
      </c>
      <c r="J3748" s="5"/>
      <c r="K3748" s="5"/>
      <c r="L3748" s="33">
        <f t="shared" si="873"/>
        <v>0</v>
      </c>
      <c r="M3748" s="33">
        <f t="shared" si="874"/>
        <v>0</v>
      </c>
      <c r="N3748" s="22">
        <f t="shared" si="875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872"/>
        <v>43913.5</v>
      </c>
      <c r="J3749" s="5"/>
      <c r="K3749" s="5"/>
      <c r="L3749" s="33">
        <f t="shared" si="873"/>
        <v>50969.5</v>
      </c>
      <c r="M3749" s="33">
        <f t="shared" si="874"/>
        <v>50969.5</v>
      </c>
      <c r="N3749" s="22">
        <f t="shared" si="875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872"/>
        <v>0</v>
      </c>
      <c r="J3750" s="5"/>
      <c r="K3750" s="5"/>
      <c r="L3750" s="33">
        <f t="shared" si="873"/>
        <v>0</v>
      </c>
      <c r="M3750" s="33">
        <f t="shared" si="874"/>
        <v>0</v>
      </c>
      <c r="N3750" s="22">
        <f t="shared" si="875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872"/>
        <v>0</v>
      </c>
      <c r="J3751" s="5"/>
      <c r="K3751" s="5"/>
      <c r="L3751" s="33">
        <f t="shared" si="873"/>
        <v>0</v>
      </c>
      <c r="M3751" s="33">
        <f t="shared" si="874"/>
        <v>0</v>
      </c>
      <c r="N3751" s="22">
        <f t="shared" si="875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872"/>
        <v>128640</v>
      </c>
      <c r="J3752" s="5"/>
      <c r="K3752" s="5"/>
      <c r="L3752" s="33">
        <f t="shared" si="873"/>
        <v>149310</v>
      </c>
      <c r="M3752" s="33">
        <f t="shared" si="874"/>
        <v>149310</v>
      </c>
      <c r="N3752" s="22">
        <f t="shared" si="875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 t="shared" ref="I3755:I3757" si="876">D3755*(1-H3755)</f>
        <v>129049</v>
      </c>
      <c r="J3755" s="5"/>
      <c r="K3755" s="5"/>
      <c r="L3755" s="33">
        <f t="shared" ref="L3755:L3757" si="877">E3755*(1-H3755)</f>
        <v>149785</v>
      </c>
      <c r="M3755" s="33">
        <f t="shared" ref="M3755:M3757" si="878">IF(J3755="",L3755,(E3755/D3755)*J3755)</f>
        <v>149785</v>
      </c>
      <c r="N3755" s="22">
        <f t="shared" ref="N3755:N3757" si="879"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 t="shared" si="876"/>
        <v>199077</v>
      </c>
      <c r="J3756" s="5"/>
      <c r="K3756" s="5"/>
      <c r="L3756" s="33">
        <f t="shared" si="877"/>
        <v>231066</v>
      </c>
      <c r="M3756" s="33">
        <f t="shared" si="878"/>
        <v>231066</v>
      </c>
      <c r="N3756" s="22">
        <f t="shared" si="879"/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 t="shared" si="876"/>
        <v>368299.26</v>
      </c>
      <c r="J3757" s="5"/>
      <c r="K3757" s="5"/>
      <c r="L3757" s="33">
        <f t="shared" si="877"/>
        <v>427478.94</v>
      </c>
      <c r="M3757" s="33">
        <f t="shared" si="878"/>
        <v>427478.94</v>
      </c>
      <c r="N3757" s="22">
        <f t="shared" si="879"/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880">D3761*(1-H3761)</f>
        <v>104682</v>
      </c>
      <c r="J3761" s="5"/>
      <c r="K3761" s="5"/>
      <c r="L3761" s="33">
        <f t="shared" ref="L3761:L3767" si="881">E3761*(1-H3761)</f>
        <v>121503</v>
      </c>
      <c r="M3761" s="33">
        <f t="shared" ref="M3761:M3767" si="882">IF(J3761="",L3761,(E3761/D3761)*J3761)</f>
        <v>121503</v>
      </c>
      <c r="N3761" s="22">
        <f t="shared" ref="N3761:N3767" si="883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880"/>
        <v>64000</v>
      </c>
      <c r="J3762" s="5"/>
      <c r="K3762" s="5"/>
      <c r="L3762" s="33">
        <f t="shared" si="881"/>
        <v>74284</v>
      </c>
      <c r="M3762" s="33">
        <f t="shared" si="882"/>
        <v>74284</v>
      </c>
      <c r="N3762" s="22">
        <f t="shared" si="883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880"/>
        <v>0</v>
      </c>
      <c r="J3763" s="5"/>
      <c r="K3763" s="5"/>
      <c r="L3763" s="33">
        <f t="shared" si="881"/>
        <v>0</v>
      </c>
      <c r="M3763" s="33">
        <f t="shared" si="882"/>
        <v>0</v>
      </c>
      <c r="N3763" s="22">
        <f t="shared" si="883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880"/>
        <v>0</v>
      </c>
      <c r="J3764" s="5"/>
      <c r="K3764" s="5"/>
      <c r="L3764" s="33">
        <f t="shared" si="881"/>
        <v>0</v>
      </c>
      <c r="M3764" s="33">
        <f t="shared" si="882"/>
        <v>0</v>
      </c>
      <c r="N3764" s="22">
        <f t="shared" si="883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880"/>
        <v>16856</v>
      </c>
      <c r="J3765" s="5"/>
      <c r="K3765" s="5"/>
      <c r="L3765" s="33">
        <f t="shared" si="881"/>
        <v>19181</v>
      </c>
      <c r="M3765" s="33">
        <f t="shared" si="882"/>
        <v>19181</v>
      </c>
      <c r="N3765" s="22">
        <f t="shared" si="883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880"/>
        <v>183302.80000000002</v>
      </c>
      <c r="J3766" s="5"/>
      <c r="K3766" s="5"/>
      <c r="L3766" s="33">
        <f t="shared" si="881"/>
        <v>212756.38</v>
      </c>
      <c r="M3766" s="33">
        <f t="shared" si="882"/>
        <v>212756.38</v>
      </c>
      <c r="N3766" s="22">
        <f t="shared" si="883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880"/>
        <v>0</v>
      </c>
      <c r="J3767" s="5"/>
      <c r="K3767" s="5"/>
      <c r="L3767" s="33">
        <f t="shared" si="881"/>
        <v>0</v>
      </c>
      <c r="M3767" s="33">
        <f t="shared" si="882"/>
        <v>0</v>
      </c>
      <c r="N3767" s="22">
        <f t="shared" si="883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 t="shared" ref="I3782:I3783" si="884">D3782*(1-H3782)</f>
        <v>14770</v>
      </c>
      <c r="J3782" s="5"/>
      <c r="K3782" s="5"/>
      <c r="L3782" s="33">
        <f t="shared" ref="L3782:L3783" si="885">E3782*(1-H3782)</f>
        <v>17143</v>
      </c>
      <c r="M3782" s="33">
        <f t="shared" ref="M3782:M3783" si="886">IF(J3782="",L3782,(E3782/D3782)*J3782)</f>
        <v>17143</v>
      </c>
      <c r="N3782" s="22">
        <f t="shared" ref="N3782:N3783" si="887"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 t="shared" si="884"/>
        <v>46420</v>
      </c>
      <c r="J3783" s="5"/>
      <c r="K3783" s="5"/>
      <c r="L3783" s="33">
        <f t="shared" si="885"/>
        <v>53879</v>
      </c>
      <c r="M3783" s="33">
        <f t="shared" si="886"/>
        <v>53879</v>
      </c>
      <c r="N3783" s="22">
        <f t="shared" si="887"/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 t="shared" ref="I3788:I3792" si="888">D3788*(1-H3788)</f>
        <v>0</v>
      </c>
      <c r="J3788" s="5"/>
      <c r="K3788" s="5"/>
      <c r="L3788" s="33">
        <f t="shared" ref="L3788:L3792" si="889">E3788*(1-H3788)</f>
        <v>0</v>
      </c>
      <c r="M3788" s="33">
        <f t="shared" ref="M3788:M3792" si="890">IF(J3788="",L3788,(E3788/D3788)*J3788)</f>
        <v>0</v>
      </c>
      <c r="N3788" s="22">
        <f t="shared" ref="N3788:N3792" si="891"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 t="shared" si="888"/>
        <v>0</v>
      </c>
      <c r="J3789" s="5"/>
      <c r="K3789" s="5"/>
      <c r="L3789" s="33">
        <f t="shared" si="889"/>
        <v>0</v>
      </c>
      <c r="M3789" s="33">
        <f t="shared" si="890"/>
        <v>0</v>
      </c>
      <c r="N3789" s="22">
        <f t="shared" si="891"/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 t="shared" si="888"/>
        <v>0</v>
      </c>
      <c r="J3790" s="5"/>
      <c r="K3790" s="5"/>
      <c r="L3790" s="33">
        <f t="shared" si="889"/>
        <v>0</v>
      </c>
      <c r="M3790" s="33">
        <f t="shared" si="890"/>
        <v>0</v>
      </c>
      <c r="N3790" s="22">
        <f t="shared" si="891"/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 t="shared" si="888"/>
        <v>0</v>
      </c>
      <c r="J3791" s="5"/>
      <c r="K3791" s="5"/>
      <c r="L3791" s="33">
        <f t="shared" si="889"/>
        <v>0</v>
      </c>
      <c r="M3791" s="33">
        <f t="shared" si="890"/>
        <v>0</v>
      </c>
      <c r="N3791" s="22">
        <f t="shared" si="891"/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 t="shared" si="888"/>
        <v>0</v>
      </c>
      <c r="J3792" s="5"/>
      <c r="K3792" s="5"/>
      <c r="L3792" s="33">
        <f t="shared" si="889"/>
        <v>0</v>
      </c>
      <c r="M3792" s="33">
        <f t="shared" si="890"/>
        <v>0</v>
      </c>
      <c r="N3792" s="22">
        <f t="shared" si="891"/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 t="shared" ref="I3798:I3801" si="892">D3798*(1-H3798)</f>
        <v>0</v>
      </c>
      <c r="J3798" s="5"/>
      <c r="K3798" s="5"/>
      <c r="L3798" s="33">
        <f t="shared" ref="L3798:L3801" si="893">E3798*(1-H3798)</f>
        <v>0</v>
      </c>
      <c r="M3798" s="33">
        <f t="shared" ref="M3798:M3801" si="894">IF(J3798="",L3798,(E3798/D3798)*J3798)</f>
        <v>0</v>
      </c>
      <c r="N3798" s="22">
        <f t="shared" ref="N3798:N3801" si="895"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 t="shared" si="892"/>
        <v>0</v>
      </c>
      <c r="J3799" s="5"/>
      <c r="K3799" s="5"/>
      <c r="L3799" s="33">
        <f t="shared" si="893"/>
        <v>0</v>
      </c>
      <c r="M3799" s="33">
        <f t="shared" si="894"/>
        <v>0</v>
      </c>
      <c r="N3799" s="22">
        <f t="shared" si="895"/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 t="shared" si="892"/>
        <v>0</v>
      </c>
      <c r="J3800" s="5"/>
      <c r="K3800" s="5"/>
      <c r="L3800" s="33">
        <f t="shared" si="893"/>
        <v>0</v>
      </c>
      <c r="M3800" s="33">
        <f t="shared" si="894"/>
        <v>0</v>
      </c>
      <c r="N3800" s="22">
        <f t="shared" si="895"/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 t="shared" si="892"/>
        <v>0</v>
      </c>
      <c r="J3801" s="5"/>
      <c r="K3801" s="5"/>
      <c r="L3801" s="33">
        <f t="shared" si="893"/>
        <v>0</v>
      </c>
      <c r="M3801" s="33">
        <f t="shared" si="894"/>
        <v>0</v>
      </c>
      <c r="N3801" s="22">
        <f t="shared" si="895"/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 t="shared" ref="I3806:I3810" si="896">D3806*(1-H3806)</f>
        <v>0</v>
      </c>
      <c r="J3806" s="5"/>
      <c r="K3806" s="5"/>
      <c r="L3806" s="33">
        <f t="shared" ref="L3806:L3810" si="897">E3806*(1-H3806)</f>
        <v>0</v>
      </c>
      <c r="M3806" s="33">
        <f t="shared" ref="M3806:M3810" si="898">IF(J3806="",L3806,(E3806/D3806)*J3806)</f>
        <v>0</v>
      </c>
      <c r="N3806" s="22">
        <f t="shared" ref="N3806:N3810" si="899"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 t="shared" si="896"/>
        <v>0</v>
      </c>
      <c r="J3807" s="5"/>
      <c r="K3807" s="5"/>
      <c r="L3807" s="33">
        <f t="shared" si="897"/>
        <v>0</v>
      </c>
      <c r="M3807" s="33">
        <f t="shared" si="898"/>
        <v>0</v>
      </c>
      <c r="N3807" s="22">
        <f t="shared" si="899"/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 t="shared" si="896"/>
        <v>0</v>
      </c>
      <c r="J3808" s="5"/>
      <c r="K3808" s="5"/>
      <c r="L3808" s="33">
        <f t="shared" si="897"/>
        <v>0</v>
      </c>
      <c r="M3808" s="33">
        <f t="shared" si="898"/>
        <v>0</v>
      </c>
      <c r="N3808" s="22">
        <f t="shared" si="899"/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 t="shared" si="896"/>
        <v>0</v>
      </c>
      <c r="J3809" s="5"/>
      <c r="K3809" s="5"/>
      <c r="L3809" s="33">
        <f t="shared" si="897"/>
        <v>0</v>
      </c>
      <c r="M3809" s="33">
        <f t="shared" si="898"/>
        <v>0</v>
      </c>
      <c r="N3809" s="22">
        <f t="shared" si="899"/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 t="shared" si="896"/>
        <v>0</v>
      </c>
      <c r="J3810" s="5"/>
      <c r="K3810" s="5"/>
      <c r="L3810" s="33">
        <f t="shared" si="897"/>
        <v>0</v>
      </c>
      <c r="M3810" s="33">
        <f t="shared" si="898"/>
        <v>0</v>
      </c>
      <c r="N3810" s="22">
        <f t="shared" si="899"/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 t="shared" ref="I3813:I3815" si="900">D3813*(1-H3813)</f>
        <v>0</v>
      </c>
      <c r="J3813" s="5"/>
      <c r="K3813" s="5"/>
      <c r="L3813" s="33">
        <f t="shared" ref="L3813:L3815" si="901">E3813*(1-H3813)</f>
        <v>0</v>
      </c>
      <c r="M3813" s="33">
        <f t="shared" ref="M3813:M3815" si="902">IF(J3813="",L3813,(E3813/D3813)*J3813)</f>
        <v>0</v>
      </c>
      <c r="N3813" s="22">
        <f t="shared" ref="N3813:N3815" si="903"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 t="shared" si="900"/>
        <v>0</v>
      </c>
      <c r="J3814" s="5"/>
      <c r="K3814" s="5"/>
      <c r="L3814" s="33">
        <f t="shared" si="901"/>
        <v>0</v>
      </c>
      <c r="M3814" s="33">
        <f t="shared" si="902"/>
        <v>0</v>
      </c>
      <c r="N3814" s="22">
        <f t="shared" si="903"/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 t="shared" si="900"/>
        <v>0</v>
      </c>
      <c r="J3815" s="5"/>
      <c r="K3815" s="5"/>
      <c r="L3815" s="33">
        <f t="shared" si="901"/>
        <v>0</v>
      </c>
      <c r="M3815" s="33">
        <f t="shared" si="902"/>
        <v>0</v>
      </c>
      <c r="N3815" s="22">
        <f t="shared" si="903"/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 t="shared" ref="I3817:I3818" si="904">D3817*(1-H3817)</f>
        <v>0</v>
      </c>
      <c r="J3817" s="5"/>
      <c r="K3817" s="5"/>
      <c r="L3817" s="33">
        <f t="shared" ref="L3817:L3818" si="905">E3817*(1-H3817)</f>
        <v>0</v>
      </c>
      <c r="M3817" s="33">
        <f t="shared" ref="M3817:M3818" si="906">IF(J3817="",L3817,(E3817/D3817)*J3817)</f>
        <v>0</v>
      </c>
      <c r="N3817" s="22">
        <f t="shared" ref="N3817:N3818" si="907"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 t="shared" si="904"/>
        <v>0</v>
      </c>
      <c r="J3818" s="5"/>
      <c r="K3818" s="5"/>
      <c r="L3818" s="33">
        <f t="shared" si="905"/>
        <v>0</v>
      </c>
      <c r="M3818" s="33">
        <f t="shared" si="906"/>
        <v>0</v>
      </c>
      <c r="N3818" s="22">
        <f t="shared" si="907"/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 t="shared" ref="I3821:I3822" si="908">D3821*(1-H3821)</f>
        <v>0</v>
      </c>
      <c r="J3821" s="5"/>
      <c r="K3821" s="5"/>
      <c r="L3821" s="33">
        <f t="shared" ref="L3821:L3822" si="909">E3821*(1-H3821)</f>
        <v>0</v>
      </c>
      <c r="M3821" s="33">
        <f t="shared" ref="M3821:M3822" si="910">IF(J3821="",L3821,(E3821/D3821)*J3821)</f>
        <v>0</v>
      </c>
      <c r="N3821" s="22">
        <f t="shared" ref="N3821:N3822" si="911"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 t="shared" si="908"/>
        <v>0</v>
      </c>
      <c r="J3822" s="5"/>
      <c r="K3822" s="5"/>
      <c r="L3822" s="33">
        <f t="shared" si="909"/>
        <v>0</v>
      </c>
      <c r="M3822" s="33">
        <f t="shared" si="910"/>
        <v>0</v>
      </c>
      <c r="N3822" s="22">
        <f t="shared" si="911"/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 t="shared" ref="I3824:I3825" si="912">D3824*(1-H3824)</f>
        <v>0</v>
      </c>
      <c r="J3824" s="5"/>
      <c r="K3824" s="5"/>
      <c r="L3824" s="33">
        <f t="shared" ref="L3824:L3825" si="913">E3824*(1-H3824)</f>
        <v>0</v>
      </c>
      <c r="M3824" s="33">
        <f t="shared" ref="M3824:M3825" si="914">IF(J3824="",L3824,(E3824/D3824)*J3824)</f>
        <v>0</v>
      </c>
      <c r="N3824" s="22">
        <f t="shared" ref="N3824:N3825" si="915"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 t="shared" si="912"/>
        <v>0</v>
      </c>
      <c r="J3825" s="5"/>
      <c r="K3825" s="5"/>
      <c r="L3825" s="33">
        <f t="shared" si="913"/>
        <v>0</v>
      </c>
      <c r="M3825" s="33">
        <f t="shared" si="914"/>
        <v>0</v>
      </c>
      <c r="N3825" s="22">
        <f t="shared" si="915"/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 t="shared" ref="I3833:I3834" si="916">D3833*(1-H3833)</f>
        <v>0</v>
      </c>
      <c r="J3833" s="5"/>
      <c r="K3833" s="5"/>
      <c r="L3833" s="33">
        <f t="shared" ref="L3833:L3834" si="917">E3833*(1-H3833)</f>
        <v>0</v>
      </c>
      <c r="M3833" s="33">
        <f t="shared" ref="M3833:M3834" si="918">IF(J3833="",L3833,(E3833/D3833)*J3833)</f>
        <v>0</v>
      </c>
      <c r="N3833" s="22">
        <f t="shared" ref="N3833:N3834" si="919"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 t="shared" si="916"/>
        <v>0</v>
      </c>
      <c r="J3834" s="5"/>
      <c r="K3834" s="5"/>
      <c r="L3834" s="33">
        <f t="shared" si="917"/>
        <v>0</v>
      </c>
      <c r="M3834" s="33">
        <f t="shared" si="918"/>
        <v>0</v>
      </c>
      <c r="N3834" s="22">
        <f t="shared" si="919"/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 t="shared" ref="I3836:I3837" si="920">D3836*(1-H3836)</f>
        <v>0</v>
      </c>
      <c r="J3836" s="5"/>
      <c r="K3836" s="5"/>
      <c r="L3836" s="33">
        <f t="shared" ref="L3836:L3837" si="921">E3836*(1-H3836)</f>
        <v>0</v>
      </c>
      <c r="M3836" s="33">
        <f t="shared" ref="M3836:M3837" si="922">IF(J3836="",L3836,(E3836/D3836)*J3836)</f>
        <v>0</v>
      </c>
      <c r="N3836" s="22">
        <f t="shared" ref="N3836:N3837" si="923"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 t="shared" si="920"/>
        <v>0</v>
      </c>
      <c r="J3837" s="5"/>
      <c r="K3837" s="5"/>
      <c r="L3837" s="33">
        <f t="shared" si="921"/>
        <v>0</v>
      </c>
      <c r="M3837" s="33">
        <f t="shared" si="922"/>
        <v>0</v>
      </c>
      <c r="N3837" s="22">
        <f t="shared" si="923"/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 t="shared" ref="I3840:I3843" si="924">D3840*(1-H3840)</f>
        <v>0</v>
      </c>
      <c r="J3840" s="5"/>
      <c r="K3840" s="5"/>
      <c r="L3840" s="33">
        <f t="shared" ref="L3840:L3843" si="925">E3840*(1-H3840)</f>
        <v>0</v>
      </c>
      <c r="M3840" s="33">
        <f t="shared" ref="M3840:M3843" si="926">IF(J3840="",L3840,(E3840/D3840)*J3840)</f>
        <v>0</v>
      </c>
      <c r="N3840" s="22">
        <f t="shared" ref="N3840:N3843" si="927"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 t="shared" si="924"/>
        <v>0</v>
      </c>
      <c r="J3841" s="5"/>
      <c r="K3841" s="5"/>
      <c r="L3841" s="33">
        <f t="shared" si="925"/>
        <v>0</v>
      </c>
      <c r="M3841" s="33">
        <f t="shared" si="926"/>
        <v>0</v>
      </c>
      <c r="N3841" s="22">
        <f t="shared" si="927"/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 t="shared" si="924"/>
        <v>0</v>
      </c>
      <c r="J3842" s="5"/>
      <c r="K3842" s="5"/>
      <c r="L3842" s="33">
        <f t="shared" si="925"/>
        <v>0</v>
      </c>
      <c r="M3842" s="33">
        <f t="shared" si="926"/>
        <v>0</v>
      </c>
      <c r="N3842" s="22">
        <f t="shared" si="927"/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 t="shared" si="924"/>
        <v>0</v>
      </c>
      <c r="J3843" s="5"/>
      <c r="K3843" s="5"/>
      <c r="L3843" s="33">
        <f t="shared" si="925"/>
        <v>0</v>
      </c>
      <c r="M3843" s="33">
        <f t="shared" si="926"/>
        <v>0</v>
      </c>
      <c r="N3843" s="22">
        <f t="shared" si="927"/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 t="shared" ref="I3845:I3848" si="928">D3845*(1-H3845)</f>
        <v>0</v>
      </c>
      <c r="J3845" s="5"/>
      <c r="K3845" s="5"/>
      <c r="L3845" s="33">
        <f t="shared" ref="L3845:L3848" si="929">E3845*(1-H3845)</f>
        <v>0</v>
      </c>
      <c r="M3845" s="33">
        <f t="shared" ref="M3845:M3848" si="930">IF(J3845="",L3845,(E3845/D3845)*J3845)</f>
        <v>0</v>
      </c>
      <c r="N3845" s="22">
        <f t="shared" ref="N3845:N3848" si="931"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 t="shared" si="928"/>
        <v>0</v>
      </c>
      <c r="J3846" s="5"/>
      <c r="K3846" s="5"/>
      <c r="L3846" s="33">
        <f t="shared" si="929"/>
        <v>0</v>
      </c>
      <c r="M3846" s="33">
        <f t="shared" si="930"/>
        <v>0</v>
      </c>
      <c r="N3846" s="22">
        <f t="shared" si="931"/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 t="shared" si="928"/>
        <v>0</v>
      </c>
      <c r="J3847" s="5"/>
      <c r="K3847" s="5"/>
      <c r="L3847" s="33">
        <f t="shared" si="929"/>
        <v>0</v>
      </c>
      <c r="M3847" s="33">
        <f t="shared" si="930"/>
        <v>0</v>
      </c>
      <c r="N3847" s="22">
        <f t="shared" si="931"/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 t="shared" si="928"/>
        <v>0</v>
      </c>
      <c r="J3848" s="5"/>
      <c r="K3848" s="5"/>
      <c r="L3848" s="33">
        <f t="shared" si="929"/>
        <v>0</v>
      </c>
      <c r="M3848" s="33">
        <f t="shared" si="930"/>
        <v>0</v>
      </c>
      <c r="N3848" s="22">
        <f t="shared" si="931"/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 t="shared" ref="I3851:I3853" si="932">D3851*(1-H3851)</f>
        <v>0</v>
      </c>
      <c r="J3851" s="5"/>
      <c r="K3851" s="5"/>
      <c r="L3851" s="33">
        <f t="shared" ref="L3851:L3853" si="933">E3851*(1-H3851)</f>
        <v>0</v>
      </c>
      <c r="M3851" s="33">
        <f t="shared" ref="M3851:M3853" si="934">IF(J3851="",L3851,(E3851/D3851)*J3851)</f>
        <v>0</v>
      </c>
      <c r="N3851" s="22">
        <f t="shared" ref="N3851:N3853" si="935"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 t="shared" si="932"/>
        <v>0</v>
      </c>
      <c r="J3852" s="5"/>
      <c r="K3852" s="5"/>
      <c r="L3852" s="33">
        <f t="shared" si="933"/>
        <v>0</v>
      </c>
      <c r="M3852" s="33">
        <f t="shared" si="934"/>
        <v>0</v>
      </c>
      <c r="N3852" s="22">
        <f t="shared" si="935"/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 t="shared" si="932"/>
        <v>0</v>
      </c>
      <c r="J3853" s="5"/>
      <c r="K3853" s="5"/>
      <c r="L3853" s="33">
        <f t="shared" si="933"/>
        <v>0</v>
      </c>
      <c r="M3853" s="33">
        <f t="shared" si="934"/>
        <v>0</v>
      </c>
      <c r="N3853" s="22">
        <f t="shared" si="935"/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 t="shared" ref="I3855:I3857" si="936">D3855*(1-H3855)</f>
        <v>0</v>
      </c>
      <c r="J3855" s="5"/>
      <c r="K3855" s="5"/>
      <c r="L3855" s="33">
        <f t="shared" ref="L3855:L3857" si="937">E3855*(1-H3855)</f>
        <v>0</v>
      </c>
      <c r="M3855" s="33">
        <f t="shared" ref="M3855:M3857" si="938">IF(J3855="",L3855,(E3855/D3855)*J3855)</f>
        <v>0</v>
      </c>
      <c r="N3855" s="22">
        <f t="shared" ref="N3855:N3857" si="939"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 t="shared" si="936"/>
        <v>0</v>
      </c>
      <c r="J3856" s="5"/>
      <c r="K3856" s="5"/>
      <c r="L3856" s="33">
        <f t="shared" si="937"/>
        <v>0</v>
      </c>
      <c r="M3856" s="33">
        <f t="shared" si="938"/>
        <v>0</v>
      </c>
      <c r="N3856" s="22">
        <f t="shared" si="939"/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 t="shared" si="936"/>
        <v>0</v>
      </c>
      <c r="J3857" s="5"/>
      <c r="K3857" s="5"/>
      <c r="L3857" s="33">
        <f t="shared" si="937"/>
        <v>0</v>
      </c>
      <c r="M3857" s="33">
        <f t="shared" si="938"/>
        <v>0</v>
      </c>
      <c r="N3857" s="22">
        <f t="shared" si="939"/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 t="shared" ref="I3861:I3865" si="940">D3861*(1-H3861)</f>
        <v>0</v>
      </c>
      <c r="J3861" s="5"/>
      <c r="K3861" s="5"/>
      <c r="L3861" s="33">
        <f t="shared" ref="L3861:L3865" si="941">E3861*(1-H3861)</f>
        <v>0</v>
      </c>
      <c r="M3861" s="33">
        <f t="shared" ref="M3861:M3865" si="942">IF(J3861="",L3861,(E3861/D3861)*J3861)</f>
        <v>0</v>
      </c>
      <c r="N3861" s="22">
        <f t="shared" ref="N3861:N3865" si="943"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 t="shared" si="940"/>
        <v>0</v>
      </c>
      <c r="J3862" s="5"/>
      <c r="K3862" s="5"/>
      <c r="L3862" s="33">
        <f t="shared" si="941"/>
        <v>0</v>
      </c>
      <c r="M3862" s="33">
        <f t="shared" si="942"/>
        <v>0</v>
      </c>
      <c r="N3862" s="22">
        <f t="shared" si="943"/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 t="shared" si="940"/>
        <v>0</v>
      </c>
      <c r="J3863" s="5"/>
      <c r="K3863" s="5"/>
      <c r="L3863" s="33">
        <f t="shared" si="941"/>
        <v>0</v>
      </c>
      <c r="M3863" s="33">
        <f t="shared" si="942"/>
        <v>0</v>
      </c>
      <c r="N3863" s="22">
        <f t="shared" si="943"/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 t="shared" si="940"/>
        <v>0</v>
      </c>
      <c r="J3864" s="5"/>
      <c r="K3864" s="5"/>
      <c r="L3864" s="33">
        <f t="shared" si="941"/>
        <v>0</v>
      </c>
      <c r="M3864" s="33">
        <f t="shared" si="942"/>
        <v>0</v>
      </c>
      <c r="N3864" s="22">
        <f t="shared" si="943"/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 t="shared" si="940"/>
        <v>0</v>
      </c>
      <c r="J3865" s="5"/>
      <c r="K3865" s="5"/>
      <c r="L3865" s="33">
        <f t="shared" si="941"/>
        <v>0</v>
      </c>
      <c r="M3865" s="33">
        <f t="shared" si="942"/>
        <v>0</v>
      </c>
      <c r="N3865" s="22">
        <f t="shared" si="943"/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944">D3867*(1-H3867)</f>
        <v>0</v>
      </c>
      <c r="J3867" s="5"/>
      <c r="K3867" s="5"/>
      <c r="L3867" s="33">
        <f t="shared" ref="L3867:L3902" si="945">E3867*(1-H3867)</f>
        <v>0</v>
      </c>
      <c r="M3867" s="33">
        <f t="shared" ref="M3867:M3902" si="946">IF(J3867="",L3867,(E3867/D3867)*J3867)</f>
        <v>0</v>
      </c>
      <c r="N3867" s="22">
        <f t="shared" ref="N3867:N3902" si="947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944"/>
        <v>0</v>
      </c>
      <c r="J3868" s="5"/>
      <c r="K3868" s="5"/>
      <c r="L3868" s="33">
        <f t="shared" si="945"/>
        <v>0</v>
      </c>
      <c r="M3868" s="33">
        <f t="shared" si="946"/>
        <v>0</v>
      </c>
      <c r="N3868" s="22">
        <f t="shared" si="947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944"/>
        <v>0</v>
      </c>
      <c r="J3869" s="5"/>
      <c r="K3869" s="5"/>
      <c r="L3869" s="33">
        <f t="shared" si="945"/>
        <v>0</v>
      </c>
      <c r="M3869" s="33">
        <f t="shared" si="946"/>
        <v>0</v>
      </c>
      <c r="N3869" s="22">
        <f t="shared" si="947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944"/>
        <v>0</v>
      </c>
      <c r="J3870" s="5"/>
      <c r="K3870" s="5"/>
      <c r="L3870" s="33">
        <f t="shared" si="945"/>
        <v>0</v>
      </c>
      <c r="M3870" s="33">
        <f t="shared" si="946"/>
        <v>0</v>
      </c>
      <c r="N3870" s="22">
        <f t="shared" si="947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944"/>
        <v>0</v>
      </c>
      <c r="J3871" s="5"/>
      <c r="K3871" s="5"/>
      <c r="L3871" s="33">
        <f t="shared" si="945"/>
        <v>0</v>
      </c>
      <c r="M3871" s="33">
        <f t="shared" si="946"/>
        <v>0</v>
      </c>
      <c r="N3871" s="22">
        <f t="shared" si="947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944"/>
        <v>0</v>
      </c>
      <c r="J3872" s="5"/>
      <c r="K3872" s="5"/>
      <c r="L3872" s="33">
        <f t="shared" si="945"/>
        <v>0</v>
      </c>
      <c r="M3872" s="33">
        <f t="shared" si="946"/>
        <v>0</v>
      </c>
      <c r="N3872" s="22">
        <f t="shared" si="947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944"/>
        <v>0</v>
      </c>
      <c r="J3873" s="5"/>
      <c r="K3873" s="5"/>
      <c r="L3873" s="33">
        <f t="shared" si="945"/>
        <v>0</v>
      </c>
      <c r="M3873" s="33">
        <f t="shared" si="946"/>
        <v>0</v>
      </c>
      <c r="N3873" s="22">
        <f t="shared" si="947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944"/>
        <v>0</v>
      </c>
      <c r="J3874" s="5"/>
      <c r="K3874" s="5"/>
      <c r="L3874" s="33">
        <f t="shared" si="945"/>
        <v>0</v>
      </c>
      <c r="M3874" s="33">
        <f t="shared" si="946"/>
        <v>0</v>
      </c>
      <c r="N3874" s="22">
        <f t="shared" si="947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944"/>
        <v>0</v>
      </c>
      <c r="J3875" s="5"/>
      <c r="K3875" s="5"/>
      <c r="L3875" s="33">
        <f t="shared" si="945"/>
        <v>0</v>
      </c>
      <c r="M3875" s="33">
        <f t="shared" si="946"/>
        <v>0</v>
      </c>
      <c r="N3875" s="22">
        <f t="shared" si="947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944"/>
        <v>0</v>
      </c>
      <c r="J3876" s="5"/>
      <c r="K3876" s="5"/>
      <c r="L3876" s="33">
        <f t="shared" si="945"/>
        <v>0</v>
      </c>
      <c r="M3876" s="33">
        <f t="shared" si="946"/>
        <v>0</v>
      </c>
      <c r="N3876" s="22">
        <f t="shared" si="947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944"/>
        <v>0</v>
      </c>
      <c r="J3877" s="5"/>
      <c r="K3877" s="5"/>
      <c r="L3877" s="33">
        <f t="shared" si="945"/>
        <v>0</v>
      </c>
      <c r="M3877" s="33">
        <f t="shared" si="946"/>
        <v>0</v>
      </c>
      <c r="N3877" s="22">
        <f t="shared" si="947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944"/>
        <v>0</v>
      </c>
      <c r="J3878" s="5"/>
      <c r="K3878" s="5"/>
      <c r="L3878" s="33">
        <f t="shared" si="945"/>
        <v>0</v>
      </c>
      <c r="M3878" s="33">
        <f t="shared" si="946"/>
        <v>0</v>
      </c>
      <c r="N3878" s="22">
        <f t="shared" si="947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944"/>
        <v>0</v>
      </c>
      <c r="J3879" s="5"/>
      <c r="K3879" s="5"/>
      <c r="L3879" s="33">
        <f t="shared" si="945"/>
        <v>0</v>
      </c>
      <c r="M3879" s="33">
        <f t="shared" si="946"/>
        <v>0</v>
      </c>
      <c r="N3879" s="22">
        <f t="shared" si="947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944"/>
        <v>0</v>
      </c>
      <c r="J3880" s="5"/>
      <c r="K3880" s="5"/>
      <c r="L3880" s="33">
        <f t="shared" si="945"/>
        <v>0</v>
      </c>
      <c r="M3880" s="33">
        <f t="shared" si="946"/>
        <v>0</v>
      </c>
      <c r="N3880" s="22">
        <f t="shared" si="947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944"/>
        <v>0</v>
      </c>
      <c r="J3881" s="5"/>
      <c r="K3881" s="5"/>
      <c r="L3881" s="33">
        <f t="shared" si="945"/>
        <v>0</v>
      </c>
      <c r="M3881" s="33">
        <f t="shared" si="946"/>
        <v>0</v>
      </c>
      <c r="N3881" s="22">
        <f t="shared" si="947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944"/>
        <v>0</v>
      </c>
      <c r="J3882" s="5"/>
      <c r="K3882" s="5"/>
      <c r="L3882" s="33">
        <f t="shared" si="945"/>
        <v>0</v>
      </c>
      <c r="M3882" s="33">
        <f t="shared" si="946"/>
        <v>0</v>
      </c>
      <c r="N3882" s="22">
        <f t="shared" si="947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944"/>
        <v>0</v>
      </c>
      <c r="J3883" s="5"/>
      <c r="K3883" s="5"/>
      <c r="L3883" s="33">
        <f t="shared" si="945"/>
        <v>0</v>
      </c>
      <c r="M3883" s="33">
        <f t="shared" si="946"/>
        <v>0</v>
      </c>
      <c r="N3883" s="22">
        <f t="shared" si="947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944"/>
        <v>0</v>
      </c>
      <c r="J3884" s="5"/>
      <c r="K3884" s="5"/>
      <c r="L3884" s="33">
        <f t="shared" si="945"/>
        <v>0</v>
      </c>
      <c r="M3884" s="33">
        <f t="shared" si="946"/>
        <v>0</v>
      </c>
      <c r="N3884" s="22">
        <f t="shared" si="947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944"/>
        <v>0</v>
      </c>
      <c r="J3885" s="5"/>
      <c r="K3885" s="5"/>
      <c r="L3885" s="33">
        <f t="shared" si="945"/>
        <v>0</v>
      </c>
      <c r="M3885" s="33">
        <f t="shared" si="946"/>
        <v>0</v>
      </c>
      <c r="N3885" s="22">
        <f t="shared" si="947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944"/>
        <v>0</v>
      </c>
      <c r="J3886" s="5"/>
      <c r="K3886" s="5"/>
      <c r="L3886" s="33">
        <f t="shared" si="945"/>
        <v>0</v>
      </c>
      <c r="M3886" s="33">
        <f t="shared" si="946"/>
        <v>0</v>
      </c>
      <c r="N3886" s="22">
        <f t="shared" si="947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944"/>
        <v>0</v>
      </c>
      <c r="J3887" s="5"/>
      <c r="K3887" s="5"/>
      <c r="L3887" s="33">
        <f t="shared" si="945"/>
        <v>0</v>
      </c>
      <c r="M3887" s="33">
        <f t="shared" si="946"/>
        <v>0</v>
      </c>
      <c r="N3887" s="22">
        <f t="shared" si="947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944"/>
        <v>0</v>
      </c>
      <c r="J3888" s="5"/>
      <c r="K3888" s="5"/>
      <c r="L3888" s="33">
        <f t="shared" si="945"/>
        <v>0</v>
      </c>
      <c r="M3888" s="33">
        <f t="shared" si="946"/>
        <v>0</v>
      </c>
      <c r="N3888" s="22">
        <f t="shared" si="947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944"/>
        <v>0</v>
      </c>
      <c r="J3889" s="5"/>
      <c r="K3889" s="5"/>
      <c r="L3889" s="33">
        <f t="shared" si="945"/>
        <v>0</v>
      </c>
      <c r="M3889" s="33">
        <f t="shared" si="946"/>
        <v>0</v>
      </c>
      <c r="N3889" s="22">
        <f t="shared" si="947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944"/>
        <v>0</v>
      </c>
      <c r="J3890" s="5"/>
      <c r="K3890" s="5"/>
      <c r="L3890" s="33">
        <f t="shared" si="945"/>
        <v>0</v>
      </c>
      <c r="M3890" s="33">
        <f t="shared" si="946"/>
        <v>0</v>
      </c>
      <c r="N3890" s="22">
        <f t="shared" si="947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944"/>
        <v>0</v>
      </c>
      <c r="J3891" s="5"/>
      <c r="K3891" s="5"/>
      <c r="L3891" s="33">
        <f t="shared" si="945"/>
        <v>0</v>
      </c>
      <c r="M3891" s="33">
        <f t="shared" si="946"/>
        <v>0</v>
      </c>
      <c r="N3891" s="22">
        <f t="shared" si="947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944"/>
        <v>0</v>
      </c>
      <c r="J3892" s="5"/>
      <c r="K3892" s="5"/>
      <c r="L3892" s="33">
        <f t="shared" si="945"/>
        <v>0</v>
      </c>
      <c r="M3892" s="33">
        <f t="shared" si="946"/>
        <v>0</v>
      </c>
      <c r="N3892" s="22">
        <f t="shared" si="947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944"/>
        <v>0</v>
      </c>
      <c r="J3893" s="5"/>
      <c r="K3893" s="5"/>
      <c r="L3893" s="33">
        <f t="shared" si="945"/>
        <v>0</v>
      </c>
      <c r="M3893" s="33">
        <f t="shared" si="946"/>
        <v>0</v>
      </c>
      <c r="N3893" s="22">
        <f t="shared" si="947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944"/>
        <v>0</v>
      </c>
      <c r="J3894" s="5"/>
      <c r="K3894" s="5"/>
      <c r="L3894" s="33">
        <f t="shared" si="945"/>
        <v>0</v>
      </c>
      <c r="M3894" s="33">
        <f t="shared" si="946"/>
        <v>0</v>
      </c>
      <c r="N3894" s="22">
        <f t="shared" si="947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944"/>
        <v>0</v>
      </c>
      <c r="J3895" s="5"/>
      <c r="K3895" s="5"/>
      <c r="L3895" s="33">
        <f t="shared" si="945"/>
        <v>0</v>
      </c>
      <c r="M3895" s="33">
        <f t="shared" si="946"/>
        <v>0</v>
      </c>
      <c r="N3895" s="22">
        <f t="shared" si="947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944"/>
        <v>0</v>
      </c>
      <c r="J3896" s="5"/>
      <c r="K3896" s="5"/>
      <c r="L3896" s="33">
        <f t="shared" si="945"/>
        <v>0</v>
      </c>
      <c r="M3896" s="33">
        <f t="shared" si="946"/>
        <v>0</v>
      </c>
      <c r="N3896" s="22">
        <f t="shared" si="947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944"/>
        <v>0</v>
      </c>
      <c r="J3897" s="5"/>
      <c r="K3897" s="5"/>
      <c r="L3897" s="33">
        <f t="shared" si="945"/>
        <v>0</v>
      </c>
      <c r="M3897" s="33">
        <f t="shared" si="946"/>
        <v>0</v>
      </c>
      <c r="N3897" s="22">
        <f t="shared" si="947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944"/>
        <v>0</v>
      </c>
      <c r="J3898" s="5"/>
      <c r="K3898" s="5"/>
      <c r="L3898" s="33">
        <f t="shared" si="945"/>
        <v>0</v>
      </c>
      <c r="M3898" s="33">
        <f t="shared" si="946"/>
        <v>0</v>
      </c>
      <c r="N3898" s="22">
        <f t="shared" si="947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944"/>
        <v>0</v>
      </c>
      <c r="J3899" s="5"/>
      <c r="K3899" s="5"/>
      <c r="L3899" s="33">
        <f t="shared" si="945"/>
        <v>0</v>
      </c>
      <c r="M3899" s="33">
        <f t="shared" si="946"/>
        <v>0</v>
      </c>
      <c r="N3899" s="22">
        <f t="shared" si="947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944"/>
        <v>0</v>
      </c>
      <c r="J3900" s="5"/>
      <c r="K3900" s="5"/>
      <c r="L3900" s="33">
        <f t="shared" si="945"/>
        <v>0</v>
      </c>
      <c r="M3900" s="33">
        <f t="shared" si="946"/>
        <v>0</v>
      </c>
      <c r="N3900" s="22">
        <f t="shared" si="947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944"/>
        <v>0</v>
      </c>
      <c r="J3901" s="5"/>
      <c r="K3901" s="5"/>
      <c r="L3901" s="33">
        <f t="shared" si="945"/>
        <v>0</v>
      </c>
      <c r="M3901" s="33">
        <f t="shared" si="946"/>
        <v>0</v>
      </c>
      <c r="N3901" s="22">
        <f t="shared" si="947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944"/>
        <v>0</v>
      </c>
      <c r="J3902" s="5"/>
      <c r="K3902" s="5"/>
      <c r="L3902" s="33">
        <f t="shared" si="945"/>
        <v>0</v>
      </c>
      <c r="M3902" s="33">
        <f t="shared" si="946"/>
        <v>0</v>
      </c>
      <c r="N3902" s="22">
        <f t="shared" si="947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948">D3904*(1-H3904)</f>
        <v>0</v>
      </c>
      <c r="J3904" s="5"/>
      <c r="K3904" s="5"/>
      <c r="L3904" s="33">
        <f t="shared" ref="L3904:L3951" si="949">E3904*(1-H3904)</f>
        <v>0</v>
      </c>
      <c r="M3904" s="33">
        <f t="shared" ref="M3904:M3951" si="950">IF(J3904="",L3904,(E3904/D3904)*J3904)</f>
        <v>0</v>
      </c>
      <c r="N3904" s="22">
        <f t="shared" ref="N3904:N3951" si="951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948"/>
        <v>0</v>
      </c>
      <c r="J3905" s="5"/>
      <c r="K3905" s="5"/>
      <c r="L3905" s="33">
        <f t="shared" si="949"/>
        <v>0</v>
      </c>
      <c r="M3905" s="33">
        <f t="shared" si="950"/>
        <v>0</v>
      </c>
      <c r="N3905" s="22">
        <f t="shared" si="951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948"/>
        <v>0</v>
      </c>
      <c r="J3906" s="5"/>
      <c r="K3906" s="5"/>
      <c r="L3906" s="33">
        <f t="shared" si="949"/>
        <v>0</v>
      </c>
      <c r="M3906" s="33">
        <f t="shared" si="950"/>
        <v>0</v>
      </c>
      <c r="N3906" s="22">
        <f t="shared" si="951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948"/>
        <v>0</v>
      </c>
      <c r="J3907" s="5"/>
      <c r="K3907" s="5"/>
      <c r="L3907" s="33">
        <f t="shared" si="949"/>
        <v>0</v>
      </c>
      <c r="M3907" s="33">
        <f t="shared" si="950"/>
        <v>0</v>
      </c>
      <c r="N3907" s="22">
        <f t="shared" si="951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948"/>
        <v>0</v>
      </c>
      <c r="J3908" s="5"/>
      <c r="K3908" s="5"/>
      <c r="L3908" s="33">
        <f t="shared" si="949"/>
        <v>0</v>
      </c>
      <c r="M3908" s="33">
        <f t="shared" si="950"/>
        <v>0</v>
      </c>
      <c r="N3908" s="22">
        <f t="shared" si="951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948"/>
        <v>0</v>
      </c>
      <c r="J3909" s="5"/>
      <c r="K3909" s="5"/>
      <c r="L3909" s="33">
        <f t="shared" si="949"/>
        <v>0</v>
      </c>
      <c r="M3909" s="33">
        <f t="shared" si="950"/>
        <v>0</v>
      </c>
      <c r="N3909" s="22">
        <f t="shared" si="951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948"/>
        <v>0</v>
      </c>
      <c r="J3910" s="5"/>
      <c r="K3910" s="5"/>
      <c r="L3910" s="33">
        <f t="shared" si="949"/>
        <v>0</v>
      </c>
      <c r="M3910" s="33">
        <f t="shared" si="950"/>
        <v>0</v>
      </c>
      <c r="N3910" s="22">
        <f t="shared" si="951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948"/>
        <v>0</v>
      </c>
      <c r="J3911" s="5"/>
      <c r="K3911" s="5"/>
      <c r="L3911" s="33">
        <f t="shared" si="949"/>
        <v>0</v>
      </c>
      <c r="M3911" s="33">
        <f t="shared" si="950"/>
        <v>0</v>
      </c>
      <c r="N3911" s="22">
        <f t="shared" si="951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948"/>
        <v>0</v>
      </c>
      <c r="J3912" s="5"/>
      <c r="K3912" s="5"/>
      <c r="L3912" s="33">
        <f t="shared" si="949"/>
        <v>0</v>
      </c>
      <c r="M3912" s="33">
        <f t="shared" si="950"/>
        <v>0</v>
      </c>
      <c r="N3912" s="22">
        <f t="shared" si="951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948"/>
        <v>0</v>
      </c>
      <c r="J3913" s="5"/>
      <c r="K3913" s="5"/>
      <c r="L3913" s="33">
        <f t="shared" si="949"/>
        <v>0</v>
      </c>
      <c r="M3913" s="33">
        <f t="shared" si="950"/>
        <v>0</v>
      </c>
      <c r="N3913" s="22">
        <f t="shared" si="951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948"/>
        <v>0</v>
      </c>
      <c r="J3914" s="5"/>
      <c r="K3914" s="5"/>
      <c r="L3914" s="33">
        <f t="shared" si="949"/>
        <v>0</v>
      </c>
      <c r="M3914" s="33">
        <f t="shared" si="950"/>
        <v>0</v>
      </c>
      <c r="N3914" s="22">
        <f t="shared" si="951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948"/>
        <v>0</v>
      </c>
      <c r="J3915" s="5"/>
      <c r="K3915" s="5"/>
      <c r="L3915" s="33">
        <f t="shared" si="949"/>
        <v>0</v>
      </c>
      <c r="M3915" s="33">
        <f t="shared" si="950"/>
        <v>0</v>
      </c>
      <c r="N3915" s="22">
        <f t="shared" si="951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948"/>
        <v>0</v>
      </c>
      <c r="J3916" s="5"/>
      <c r="K3916" s="5"/>
      <c r="L3916" s="33">
        <f t="shared" si="949"/>
        <v>0</v>
      </c>
      <c r="M3916" s="33">
        <f t="shared" si="950"/>
        <v>0</v>
      </c>
      <c r="N3916" s="22">
        <f t="shared" si="951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948"/>
        <v>0</v>
      </c>
      <c r="J3917" s="5"/>
      <c r="K3917" s="5"/>
      <c r="L3917" s="33">
        <f t="shared" si="949"/>
        <v>0</v>
      </c>
      <c r="M3917" s="33">
        <f t="shared" si="950"/>
        <v>0</v>
      </c>
      <c r="N3917" s="22">
        <f t="shared" si="951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948"/>
        <v>0</v>
      </c>
      <c r="J3918" s="5"/>
      <c r="K3918" s="5"/>
      <c r="L3918" s="33">
        <f t="shared" si="949"/>
        <v>0</v>
      </c>
      <c r="M3918" s="33">
        <f t="shared" si="950"/>
        <v>0</v>
      </c>
      <c r="N3918" s="22">
        <f t="shared" si="951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948"/>
        <v>0</v>
      </c>
      <c r="J3919" s="5"/>
      <c r="K3919" s="5"/>
      <c r="L3919" s="33">
        <f t="shared" si="949"/>
        <v>0</v>
      </c>
      <c r="M3919" s="33">
        <f t="shared" si="950"/>
        <v>0</v>
      </c>
      <c r="N3919" s="22">
        <f t="shared" si="951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948"/>
        <v>0</v>
      </c>
      <c r="J3920" s="5"/>
      <c r="K3920" s="5"/>
      <c r="L3920" s="33">
        <f t="shared" si="949"/>
        <v>0</v>
      </c>
      <c r="M3920" s="33">
        <f t="shared" si="950"/>
        <v>0</v>
      </c>
      <c r="N3920" s="22">
        <f t="shared" si="951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948"/>
        <v>0</v>
      </c>
      <c r="J3921" s="5"/>
      <c r="K3921" s="5"/>
      <c r="L3921" s="33">
        <f t="shared" si="949"/>
        <v>0</v>
      </c>
      <c r="M3921" s="33">
        <f t="shared" si="950"/>
        <v>0</v>
      </c>
      <c r="N3921" s="22">
        <f t="shared" si="951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948"/>
        <v>0</v>
      </c>
      <c r="J3922" s="5"/>
      <c r="K3922" s="5"/>
      <c r="L3922" s="33">
        <f t="shared" si="949"/>
        <v>0</v>
      </c>
      <c r="M3922" s="33">
        <f t="shared" si="950"/>
        <v>0</v>
      </c>
      <c r="N3922" s="22">
        <f t="shared" si="951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948"/>
        <v>0</v>
      </c>
      <c r="J3923" s="5"/>
      <c r="K3923" s="5"/>
      <c r="L3923" s="33">
        <f t="shared" si="949"/>
        <v>0</v>
      </c>
      <c r="M3923" s="33">
        <f t="shared" si="950"/>
        <v>0</v>
      </c>
      <c r="N3923" s="22">
        <f t="shared" si="951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948"/>
        <v>0</v>
      </c>
      <c r="J3924" s="5"/>
      <c r="K3924" s="5"/>
      <c r="L3924" s="33">
        <f t="shared" si="949"/>
        <v>0</v>
      </c>
      <c r="M3924" s="33">
        <f t="shared" si="950"/>
        <v>0</v>
      </c>
      <c r="N3924" s="22">
        <f t="shared" si="951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948"/>
        <v>0</v>
      </c>
      <c r="J3925" s="5"/>
      <c r="K3925" s="5"/>
      <c r="L3925" s="33">
        <f t="shared" si="949"/>
        <v>0</v>
      </c>
      <c r="M3925" s="33">
        <f t="shared" si="950"/>
        <v>0</v>
      </c>
      <c r="N3925" s="22">
        <f t="shared" si="951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948"/>
        <v>0</v>
      </c>
      <c r="J3926" s="5"/>
      <c r="K3926" s="5"/>
      <c r="L3926" s="33">
        <f t="shared" si="949"/>
        <v>0</v>
      </c>
      <c r="M3926" s="33">
        <f t="shared" si="950"/>
        <v>0</v>
      </c>
      <c r="N3926" s="22">
        <f t="shared" si="951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948"/>
        <v>0</v>
      </c>
      <c r="J3927" s="5"/>
      <c r="K3927" s="5"/>
      <c r="L3927" s="33">
        <f t="shared" si="949"/>
        <v>0</v>
      </c>
      <c r="M3927" s="33">
        <f t="shared" si="950"/>
        <v>0</v>
      </c>
      <c r="N3927" s="22">
        <f t="shared" si="951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948"/>
        <v>0</v>
      </c>
      <c r="J3928" s="5"/>
      <c r="K3928" s="5"/>
      <c r="L3928" s="33">
        <f t="shared" si="949"/>
        <v>0</v>
      </c>
      <c r="M3928" s="33">
        <f t="shared" si="950"/>
        <v>0</v>
      </c>
      <c r="N3928" s="22">
        <f t="shared" si="951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948"/>
        <v>0</v>
      </c>
      <c r="J3929" s="5"/>
      <c r="K3929" s="5"/>
      <c r="L3929" s="33">
        <f t="shared" si="949"/>
        <v>0</v>
      </c>
      <c r="M3929" s="33">
        <f t="shared" si="950"/>
        <v>0</v>
      </c>
      <c r="N3929" s="22">
        <f t="shared" si="951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948"/>
        <v>0</v>
      </c>
      <c r="J3930" s="5"/>
      <c r="K3930" s="5"/>
      <c r="L3930" s="33">
        <f t="shared" si="949"/>
        <v>0</v>
      </c>
      <c r="M3930" s="33">
        <f t="shared" si="950"/>
        <v>0</v>
      </c>
      <c r="N3930" s="22">
        <f t="shared" si="951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948"/>
        <v>0</v>
      </c>
      <c r="J3931" s="5"/>
      <c r="K3931" s="5"/>
      <c r="L3931" s="33">
        <f t="shared" si="949"/>
        <v>0</v>
      </c>
      <c r="M3931" s="33">
        <f t="shared" si="950"/>
        <v>0</v>
      </c>
      <c r="N3931" s="22">
        <f t="shared" si="951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948"/>
        <v>0</v>
      </c>
      <c r="J3932" s="5"/>
      <c r="K3932" s="5"/>
      <c r="L3932" s="33">
        <f t="shared" si="949"/>
        <v>0</v>
      </c>
      <c r="M3932" s="33">
        <f t="shared" si="950"/>
        <v>0</v>
      </c>
      <c r="N3932" s="22">
        <f t="shared" si="951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948"/>
        <v>0</v>
      </c>
      <c r="J3933" s="5"/>
      <c r="K3933" s="5"/>
      <c r="L3933" s="33">
        <f t="shared" si="949"/>
        <v>0</v>
      </c>
      <c r="M3933" s="33">
        <f t="shared" si="950"/>
        <v>0</v>
      </c>
      <c r="N3933" s="22">
        <f t="shared" si="951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948"/>
        <v>0</v>
      </c>
      <c r="J3934" s="5"/>
      <c r="K3934" s="5"/>
      <c r="L3934" s="33">
        <f t="shared" si="949"/>
        <v>0</v>
      </c>
      <c r="M3934" s="33">
        <f t="shared" si="950"/>
        <v>0</v>
      </c>
      <c r="N3934" s="22">
        <f t="shared" si="951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948"/>
        <v>0</v>
      </c>
      <c r="J3935" s="5"/>
      <c r="K3935" s="5"/>
      <c r="L3935" s="33">
        <f t="shared" si="949"/>
        <v>0</v>
      </c>
      <c r="M3935" s="33">
        <f t="shared" si="950"/>
        <v>0</v>
      </c>
      <c r="N3935" s="22">
        <f t="shared" si="951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948"/>
        <v>0</v>
      </c>
      <c r="J3936" s="5"/>
      <c r="K3936" s="5"/>
      <c r="L3936" s="33">
        <f t="shared" si="949"/>
        <v>0</v>
      </c>
      <c r="M3936" s="33">
        <f t="shared" si="950"/>
        <v>0</v>
      </c>
      <c r="N3936" s="22">
        <f t="shared" si="951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948"/>
        <v>0</v>
      </c>
      <c r="J3937" s="5"/>
      <c r="K3937" s="5"/>
      <c r="L3937" s="33">
        <f t="shared" si="949"/>
        <v>0</v>
      </c>
      <c r="M3937" s="33">
        <f t="shared" si="950"/>
        <v>0</v>
      </c>
      <c r="N3937" s="22">
        <f t="shared" si="951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948"/>
        <v>0</v>
      </c>
      <c r="J3938" s="5"/>
      <c r="K3938" s="5"/>
      <c r="L3938" s="33">
        <f t="shared" si="949"/>
        <v>0</v>
      </c>
      <c r="M3938" s="33">
        <f t="shared" si="950"/>
        <v>0</v>
      </c>
      <c r="N3938" s="22">
        <f t="shared" si="951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948"/>
        <v>0</v>
      </c>
      <c r="J3939" s="5"/>
      <c r="K3939" s="5"/>
      <c r="L3939" s="33">
        <f t="shared" si="949"/>
        <v>0</v>
      </c>
      <c r="M3939" s="33">
        <f t="shared" si="950"/>
        <v>0</v>
      </c>
      <c r="N3939" s="22">
        <f t="shared" si="951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948"/>
        <v>0</v>
      </c>
      <c r="J3940" s="5"/>
      <c r="K3940" s="5"/>
      <c r="L3940" s="33">
        <f t="shared" si="949"/>
        <v>0</v>
      </c>
      <c r="M3940" s="33">
        <f t="shared" si="950"/>
        <v>0</v>
      </c>
      <c r="N3940" s="22">
        <f t="shared" si="951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948"/>
        <v>0</v>
      </c>
      <c r="J3941" s="5"/>
      <c r="K3941" s="5"/>
      <c r="L3941" s="33">
        <f t="shared" si="949"/>
        <v>0</v>
      </c>
      <c r="M3941" s="33">
        <f t="shared" si="950"/>
        <v>0</v>
      </c>
      <c r="N3941" s="22">
        <f t="shared" si="951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948"/>
        <v>0</v>
      </c>
      <c r="J3942" s="5"/>
      <c r="K3942" s="5"/>
      <c r="L3942" s="33">
        <f t="shared" si="949"/>
        <v>0</v>
      </c>
      <c r="M3942" s="33">
        <f t="shared" si="950"/>
        <v>0</v>
      </c>
      <c r="N3942" s="22">
        <f t="shared" si="951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948"/>
        <v>0</v>
      </c>
      <c r="J3943" s="5"/>
      <c r="K3943" s="5"/>
      <c r="L3943" s="33">
        <f t="shared" si="949"/>
        <v>0</v>
      </c>
      <c r="M3943" s="33">
        <f t="shared" si="950"/>
        <v>0</v>
      </c>
      <c r="N3943" s="22">
        <f t="shared" si="951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948"/>
        <v>0</v>
      </c>
      <c r="J3944" s="5"/>
      <c r="K3944" s="5"/>
      <c r="L3944" s="33">
        <f t="shared" si="949"/>
        <v>0</v>
      </c>
      <c r="M3944" s="33">
        <f t="shared" si="950"/>
        <v>0</v>
      </c>
      <c r="N3944" s="22">
        <f t="shared" si="951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948"/>
        <v>0</v>
      </c>
      <c r="J3945" s="5"/>
      <c r="K3945" s="5"/>
      <c r="L3945" s="33">
        <f t="shared" si="949"/>
        <v>0</v>
      </c>
      <c r="M3945" s="33">
        <f t="shared" si="950"/>
        <v>0</v>
      </c>
      <c r="N3945" s="22">
        <f t="shared" si="951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948"/>
        <v>0</v>
      </c>
      <c r="J3946" s="5"/>
      <c r="K3946" s="5"/>
      <c r="L3946" s="33">
        <f t="shared" si="949"/>
        <v>0</v>
      </c>
      <c r="M3946" s="33">
        <f t="shared" si="950"/>
        <v>0</v>
      </c>
      <c r="N3946" s="22">
        <f t="shared" si="951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948"/>
        <v>0</v>
      </c>
      <c r="J3947" s="5"/>
      <c r="K3947" s="5"/>
      <c r="L3947" s="33">
        <f t="shared" si="949"/>
        <v>0</v>
      </c>
      <c r="M3947" s="33">
        <f t="shared" si="950"/>
        <v>0</v>
      </c>
      <c r="N3947" s="22">
        <f t="shared" si="951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948"/>
        <v>0</v>
      </c>
      <c r="J3948" s="5"/>
      <c r="K3948" s="5"/>
      <c r="L3948" s="33">
        <f t="shared" si="949"/>
        <v>0</v>
      </c>
      <c r="M3948" s="33">
        <f t="shared" si="950"/>
        <v>0</v>
      </c>
      <c r="N3948" s="22">
        <f t="shared" si="951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948"/>
        <v>0</v>
      </c>
      <c r="J3949" s="5"/>
      <c r="K3949" s="5"/>
      <c r="L3949" s="33">
        <f t="shared" si="949"/>
        <v>0</v>
      </c>
      <c r="M3949" s="33">
        <f t="shared" si="950"/>
        <v>0</v>
      </c>
      <c r="N3949" s="22">
        <f t="shared" si="951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948"/>
        <v>0</v>
      </c>
      <c r="J3950" s="5"/>
      <c r="K3950" s="5"/>
      <c r="L3950" s="33">
        <f t="shared" si="949"/>
        <v>0</v>
      </c>
      <c r="M3950" s="33">
        <f t="shared" si="950"/>
        <v>0</v>
      </c>
      <c r="N3950" s="22">
        <f t="shared" si="951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948"/>
        <v>0</v>
      </c>
      <c r="J3951" s="5"/>
      <c r="K3951" s="5"/>
      <c r="L3951" s="33">
        <f t="shared" si="949"/>
        <v>0</v>
      </c>
      <c r="M3951" s="33">
        <f t="shared" si="950"/>
        <v>0</v>
      </c>
      <c r="N3951" s="22">
        <f t="shared" si="951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 t="shared" ref="I3957:I3959" si="952">D3957*(1-H3957)</f>
        <v>0</v>
      </c>
      <c r="J3957" s="5"/>
      <c r="K3957" s="5"/>
      <c r="L3957" s="33">
        <f t="shared" ref="L3957:L3959" si="953">E3957*(1-H3957)</f>
        <v>0</v>
      </c>
      <c r="M3957" s="33">
        <f t="shared" ref="M3957:M3959" si="954">IF(J3957="",L3957,(E3957/D3957)*J3957)</f>
        <v>0</v>
      </c>
      <c r="N3957" s="22">
        <f t="shared" ref="N3957:N3959" si="955"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 t="shared" si="952"/>
        <v>0</v>
      </c>
      <c r="J3958" s="5"/>
      <c r="K3958" s="5"/>
      <c r="L3958" s="33">
        <f t="shared" si="953"/>
        <v>0</v>
      </c>
      <c r="M3958" s="33">
        <f t="shared" si="954"/>
        <v>0</v>
      </c>
      <c r="N3958" s="22">
        <f t="shared" si="955"/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 t="shared" si="952"/>
        <v>0</v>
      </c>
      <c r="J3959" s="5"/>
      <c r="K3959" s="5"/>
      <c r="L3959" s="33">
        <f t="shared" si="953"/>
        <v>0</v>
      </c>
      <c r="M3959" s="33">
        <f t="shared" si="954"/>
        <v>0</v>
      </c>
      <c r="N3959" s="22">
        <f t="shared" si="955"/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 t="shared" ref="I3962:I3966" si="956">D3962*(1-H3962)</f>
        <v>0</v>
      </c>
      <c r="J3962" s="5"/>
      <c r="K3962" s="5"/>
      <c r="L3962" s="33">
        <f t="shared" ref="L3962:L3966" si="957">E3962*(1-H3962)</f>
        <v>0</v>
      </c>
      <c r="M3962" s="33">
        <f t="shared" ref="M3962:M3966" si="958">IF(J3962="",L3962,(E3962/D3962)*J3962)</f>
        <v>0</v>
      </c>
      <c r="N3962" s="22">
        <f t="shared" ref="N3962:N3966" si="959"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 t="shared" si="956"/>
        <v>0</v>
      </c>
      <c r="J3963" s="5"/>
      <c r="K3963" s="5"/>
      <c r="L3963" s="33">
        <f t="shared" si="957"/>
        <v>0</v>
      </c>
      <c r="M3963" s="33">
        <f t="shared" si="958"/>
        <v>0</v>
      </c>
      <c r="N3963" s="22">
        <f t="shared" si="959"/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 t="shared" si="956"/>
        <v>0</v>
      </c>
      <c r="J3964" s="5"/>
      <c r="K3964" s="5"/>
      <c r="L3964" s="33">
        <f t="shared" si="957"/>
        <v>0</v>
      </c>
      <c r="M3964" s="33">
        <f t="shared" si="958"/>
        <v>0</v>
      </c>
      <c r="N3964" s="22">
        <f t="shared" si="959"/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 t="shared" si="956"/>
        <v>0</v>
      </c>
      <c r="J3965" s="5"/>
      <c r="K3965" s="5"/>
      <c r="L3965" s="33">
        <f t="shared" si="957"/>
        <v>0</v>
      </c>
      <c r="M3965" s="33">
        <f t="shared" si="958"/>
        <v>0</v>
      </c>
      <c r="N3965" s="22">
        <f t="shared" si="959"/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 t="shared" si="956"/>
        <v>0</v>
      </c>
      <c r="J3966" s="5"/>
      <c r="K3966" s="5"/>
      <c r="L3966" s="33">
        <f t="shared" si="957"/>
        <v>0</v>
      </c>
      <c r="M3966" s="33">
        <f t="shared" si="958"/>
        <v>0</v>
      </c>
      <c r="N3966" s="22">
        <f t="shared" si="959"/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 t="shared" ref="I3968:I3970" si="960">D3968*(1-H3968)</f>
        <v>0</v>
      </c>
      <c r="J3968" s="5"/>
      <c r="K3968" s="5"/>
      <c r="L3968" s="33">
        <f t="shared" ref="L3968:L3970" si="961">E3968*(1-H3968)</f>
        <v>0</v>
      </c>
      <c r="M3968" s="33">
        <f t="shared" ref="M3968:M3970" si="962">IF(J3968="",L3968,(E3968/D3968)*J3968)</f>
        <v>0</v>
      </c>
      <c r="N3968" s="22">
        <f t="shared" ref="N3968:N3970" si="963"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 t="shared" si="960"/>
        <v>0</v>
      </c>
      <c r="J3969" s="5"/>
      <c r="K3969" s="5"/>
      <c r="L3969" s="33">
        <f t="shared" si="961"/>
        <v>0</v>
      </c>
      <c r="M3969" s="33">
        <f t="shared" si="962"/>
        <v>0</v>
      </c>
      <c r="N3969" s="22">
        <f t="shared" si="963"/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 t="shared" si="960"/>
        <v>0</v>
      </c>
      <c r="J3970" s="5"/>
      <c r="K3970" s="5"/>
      <c r="L3970" s="33">
        <f t="shared" si="961"/>
        <v>0</v>
      </c>
      <c r="M3970" s="33">
        <f t="shared" si="962"/>
        <v>0</v>
      </c>
      <c r="N3970" s="22">
        <f t="shared" si="963"/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964">D3973*(1-H3973)</f>
        <v>0</v>
      </c>
      <c r="J3973" s="5"/>
      <c r="K3973" s="5"/>
      <c r="L3973" s="33">
        <f t="shared" ref="L3973:L3979" si="965">E3973*(1-H3973)</f>
        <v>0</v>
      </c>
      <c r="M3973" s="33">
        <f t="shared" ref="M3973:M3979" si="966">IF(J3973="",L3973,(E3973/D3973)*J3973)</f>
        <v>0</v>
      </c>
      <c r="N3973" s="22">
        <f t="shared" ref="N3973:N3979" si="967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964"/>
        <v>0</v>
      </c>
      <c r="J3974" s="5"/>
      <c r="K3974" s="5"/>
      <c r="L3974" s="33">
        <f t="shared" si="965"/>
        <v>0</v>
      </c>
      <c r="M3974" s="33">
        <f t="shared" si="966"/>
        <v>0</v>
      </c>
      <c r="N3974" s="22">
        <f t="shared" si="967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964"/>
        <v>0</v>
      </c>
      <c r="J3975" s="5"/>
      <c r="K3975" s="5"/>
      <c r="L3975" s="33">
        <f t="shared" si="965"/>
        <v>0</v>
      </c>
      <c r="M3975" s="33">
        <f t="shared" si="966"/>
        <v>0</v>
      </c>
      <c r="N3975" s="22">
        <f t="shared" si="967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964"/>
        <v>0</v>
      </c>
      <c r="J3976" s="5"/>
      <c r="K3976" s="5"/>
      <c r="L3976" s="33">
        <f t="shared" si="965"/>
        <v>0</v>
      </c>
      <c r="M3976" s="33">
        <f t="shared" si="966"/>
        <v>0</v>
      </c>
      <c r="N3976" s="22">
        <f t="shared" si="967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964"/>
        <v>0</v>
      </c>
      <c r="J3977" s="5"/>
      <c r="K3977" s="5"/>
      <c r="L3977" s="33">
        <f t="shared" si="965"/>
        <v>0</v>
      </c>
      <c r="M3977" s="33">
        <f t="shared" si="966"/>
        <v>0</v>
      </c>
      <c r="N3977" s="22">
        <f t="shared" si="967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964"/>
        <v>0</v>
      </c>
      <c r="J3978" s="5"/>
      <c r="K3978" s="5"/>
      <c r="L3978" s="33">
        <f t="shared" si="965"/>
        <v>0</v>
      </c>
      <c r="M3978" s="33">
        <f t="shared" si="966"/>
        <v>0</v>
      </c>
      <c r="N3978" s="22">
        <f t="shared" si="967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964"/>
        <v>0</v>
      </c>
      <c r="J3979" s="5"/>
      <c r="K3979" s="5"/>
      <c r="L3979" s="33">
        <f t="shared" si="965"/>
        <v>0</v>
      </c>
      <c r="M3979" s="33">
        <f t="shared" si="966"/>
        <v>0</v>
      </c>
      <c r="N3979" s="22">
        <f t="shared" si="967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 t="shared" ref="I3981:I3983" si="968">D3981*(1-H3981)</f>
        <v>0</v>
      </c>
      <c r="J3981" s="5"/>
      <c r="K3981" s="5"/>
      <c r="L3981" s="33">
        <f t="shared" ref="L3981:L3983" si="969">E3981*(1-H3981)</f>
        <v>0</v>
      </c>
      <c r="M3981" s="33">
        <f t="shared" ref="M3981:M3983" si="970">IF(J3981="",L3981,(E3981/D3981)*J3981)</f>
        <v>0</v>
      </c>
      <c r="N3981" s="22">
        <f t="shared" ref="N3981:N3983" si="971"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 t="shared" si="968"/>
        <v>0</v>
      </c>
      <c r="J3982" s="5"/>
      <c r="K3982" s="5"/>
      <c r="L3982" s="33">
        <f t="shared" si="969"/>
        <v>0</v>
      </c>
      <c r="M3982" s="33">
        <f t="shared" si="970"/>
        <v>0</v>
      </c>
      <c r="N3982" s="22">
        <f t="shared" si="971"/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 t="shared" si="968"/>
        <v>0</v>
      </c>
      <c r="J3983" s="5"/>
      <c r="K3983" s="5"/>
      <c r="L3983" s="33">
        <f t="shared" si="969"/>
        <v>0</v>
      </c>
      <c r="M3983" s="33">
        <f t="shared" si="970"/>
        <v>0</v>
      </c>
      <c r="N3983" s="22">
        <f t="shared" si="971"/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 t="shared" ref="I3985:I3988" si="972">D3985*(1-H3985)</f>
        <v>0</v>
      </c>
      <c r="J3985" s="5"/>
      <c r="K3985" s="5"/>
      <c r="L3985" s="33">
        <f t="shared" ref="L3985:L3988" si="973">E3985*(1-H3985)</f>
        <v>0</v>
      </c>
      <c r="M3985" s="33">
        <f t="shared" ref="M3985:M3988" si="974">IF(J3985="",L3985,(E3985/D3985)*J3985)</f>
        <v>0</v>
      </c>
      <c r="N3985" s="22">
        <f t="shared" ref="N3985:N3988" si="975"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 t="shared" si="972"/>
        <v>0</v>
      </c>
      <c r="J3986" s="5"/>
      <c r="K3986" s="5"/>
      <c r="L3986" s="33">
        <f t="shared" si="973"/>
        <v>0</v>
      </c>
      <c r="M3986" s="33">
        <f t="shared" si="974"/>
        <v>0</v>
      </c>
      <c r="N3986" s="22">
        <f t="shared" si="975"/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 t="shared" si="972"/>
        <v>0</v>
      </c>
      <c r="J3987" s="5"/>
      <c r="K3987" s="5"/>
      <c r="L3987" s="33">
        <f t="shared" si="973"/>
        <v>0</v>
      </c>
      <c r="M3987" s="33">
        <f t="shared" si="974"/>
        <v>0</v>
      </c>
      <c r="N3987" s="22">
        <f t="shared" si="975"/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 t="shared" si="972"/>
        <v>0</v>
      </c>
      <c r="J3988" s="5"/>
      <c r="K3988" s="5"/>
      <c r="L3988" s="33">
        <f t="shared" si="973"/>
        <v>0</v>
      </c>
      <c r="M3988" s="33">
        <f t="shared" si="974"/>
        <v>0</v>
      </c>
      <c r="N3988" s="22">
        <f t="shared" si="975"/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976">D3991*(1-H3991)</f>
        <v>0</v>
      </c>
      <c r="J3991" s="5"/>
      <c r="K3991" s="5"/>
      <c r="L3991" s="33">
        <f t="shared" ref="L3991:L4000" si="977">E3991*(1-H3991)</f>
        <v>0</v>
      </c>
      <c r="M3991" s="33">
        <f t="shared" ref="M3991:M4000" si="978">IF(J3991="",L3991,(E3991/D3991)*J3991)</f>
        <v>0</v>
      </c>
      <c r="N3991" s="22">
        <f t="shared" ref="N3991:N4000" si="979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976"/>
        <v>0</v>
      </c>
      <c r="J3992" s="5"/>
      <c r="K3992" s="5"/>
      <c r="L3992" s="33">
        <f t="shared" si="977"/>
        <v>0</v>
      </c>
      <c r="M3992" s="33">
        <f t="shared" si="978"/>
        <v>0</v>
      </c>
      <c r="N3992" s="22">
        <f t="shared" si="979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976"/>
        <v>0</v>
      </c>
      <c r="J3993" s="5"/>
      <c r="K3993" s="5"/>
      <c r="L3993" s="33">
        <f t="shared" si="977"/>
        <v>0</v>
      </c>
      <c r="M3993" s="33">
        <f t="shared" si="978"/>
        <v>0</v>
      </c>
      <c r="N3993" s="22">
        <f t="shared" si="979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976"/>
        <v>0</v>
      </c>
      <c r="J3994" s="5"/>
      <c r="K3994" s="5"/>
      <c r="L3994" s="33">
        <f t="shared" si="977"/>
        <v>0</v>
      </c>
      <c r="M3994" s="33">
        <f t="shared" si="978"/>
        <v>0</v>
      </c>
      <c r="N3994" s="22">
        <f t="shared" si="979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976"/>
        <v>0</v>
      </c>
      <c r="J3995" s="5"/>
      <c r="K3995" s="5"/>
      <c r="L3995" s="33">
        <f t="shared" si="977"/>
        <v>0</v>
      </c>
      <c r="M3995" s="33">
        <f t="shared" si="978"/>
        <v>0</v>
      </c>
      <c r="N3995" s="22">
        <f t="shared" si="979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976"/>
        <v>0</v>
      </c>
      <c r="J3996" s="5"/>
      <c r="K3996" s="5"/>
      <c r="L3996" s="33">
        <f t="shared" si="977"/>
        <v>0</v>
      </c>
      <c r="M3996" s="33">
        <f t="shared" si="978"/>
        <v>0</v>
      </c>
      <c r="N3996" s="22">
        <f t="shared" si="979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976"/>
        <v>0</v>
      </c>
      <c r="J3997" s="5"/>
      <c r="K3997" s="5"/>
      <c r="L3997" s="33">
        <f t="shared" si="977"/>
        <v>0</v>
      </c>
      <c r="M3997" s="33">
        <f t="shared" si="978"/>
        <v>0</v>
      </c>
      <c r="N3997" s="22">
        <f t="shared" si="979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976"/>
        <v>0</v>
      </c>
      <c r="J3998" s="5"/>
      <c r="K3998" s="5"/>
      <c r="L3998" s="33">
        <f t="shared" si="977"/>
        <v>0</v>
      </c>
      <c r="M3998" s="33">
        <f t="shared" si="978"/>
        <v>0</v>
      </c>
      <c r="N3998" s="22">
        <f t="shared" si="979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976"/>
        <v>0</v>
      </c>
      <c r="J3999" s="5"/>
      <c r="K3999" s="5"/>
      <c r="L3999" s="33">
        <f t="shared" si="977"/>
        <v>0</v>
      </c>
      <c r="M3999" s="33">
        <f t="shared" si="978"/>
        <v>0</v>
      </c>
      <c r="N3999" s="22">
        <f t="shared" si="979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976"/>
        <v>0</v>
      </c>
      <c r="J4000" s="5"/>
      <c r="K4000" s="5"/>
      <c r="L4000" s="33">
        <f t="shared" si="977"/>
        <v>0</v>
      </c>
      <c r="M4000" s="33">
        <f t="shared" si="978"/>
        <v>0</v>
      </c>
      <c r="N4000" s="22">
        <f t="shared" si="979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 t="shared" ref="I4002:I4004" si="980">D4002*(1-H4002)</f>
        <v>0</v>
      </c>
      <c r="J4002" s="5"/>
      <c r="K4002" s="5"/>
      <c r="L4002" s="33">
        <f t="shared" ref="L4002:L4004" si="981">E4002*(1-H4002)</f>
        <v>0</v>
      </c>
      <c r="M4002" s="33">
        <f t="shared" ref="M4002:M4004" si="982">IF(J4002="",L4002,(E4002/D4002)*J4002)</f>
        <v>0</v>
      </c>
      <c r="N4002" s="22">
        <f t="shared" ref="N4002:N4004" si="983"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 t="shared" si="980"/>
        <v>0</v>
      </c>
      <c r="J4003" s="5"/>
      <c r="K4003" s="5"/>
      <c r="L4003" s="33">
        <f t="shared" si="981"/>
        <v>0</v>
      </c>
      <c r="M4003" s="33">
        <f t="shared" si="982"/>
        <v>0</v>
      </c>
      <c r="N4003" s="22">
        <f t="shared" si="983"/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 t="shared" si="980"/>
        <v>0</v>
      </c>
      <c r="J4004" s="5"/>
      <c r="K4004" s="5"/>
      <c r="L4004" s="33">
        <f t="shared" si="981"/>
        <v>0</v>
      </c>
      <c r="M4004" s="33">
        <f t="shared" si="982"/>
        <v>0</v>
      </c>
      <c r="N4004" s="22">
        <f t="shared" si="983"/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 t="shared" ref="I4007:I4010" si="984">D4007*(1-H4007)</f>
        <v>0</v>
      </c>
      <c r="J4007" s="5"/>
      <c r="K4007" s="5"/>
      <c r="L4007" s="33">
        <f t="shared" ref="L4007:L4010" si="985">E4007*(1-H4007)</f>
        <v>0</v>
      </c>
      <c r="M4007" s="33">
        <f t="shared" ref="M4007:M4010" si="986">IF(J4007="",L4007,(E4007/D4007)*J4007)</f>
        <v>0</v>
      </c>
      <c r="N4007" s="22">
        <f t="shared" ref="N4007:N4010" si="987"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 t="shared" si="984"/>
        <v>0</v>
      </c>
      <c r="J4008" s="5"/>
      <c r="K4008" s="5"/>
      <c r="L4008" s="33">
        <f t="shared" si="985"/>
        <v>0</v>
      </c>
      <c r="M4008" s="33">
        <f t="shared" si="986"/>
        <v>0</v>
      </c>
      <c r="N4008" s="22">
        <f t="shared" si="987"/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 t="shared" si="984"/>
        <v>0</v>
      </c>
      <c r="J4009" s="5"/>
      <c r="K4009" s="5"/>
      <c r="L4009" s="33">
        <f t="shared" si="985"/>
        <v>0</v>
      </c>
      <c r="M4009" s="33">
        <f t="shared" si="986"/>
        <v>0</v>
      </c>
      <c r="N4009" s="22">
        <f t="shared" si="987"/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 t="shared" si="984"/>
        <v>0</v>
      </c>
      <c r="J4010" s="5"/>
      <c r="K4010" s="5"/>
      <c r="L4010" s="33">
        <f t="shared" si="985"/>
        <v>0</v>
      </c>
      <c r="M4010" s="33">
        <f t="shared" si="986"/>
        <v>0</v>
      </c>
      <c r="N4010" s="22">
        <f t="shared" si="987"/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 t="shared" ref="I4012:I4013" si="988">D4012*(1-H4012)</f>
        <v>0</v>
      </c>
      <c r="J4012" s="5"/>
      <c r="K4012" s="5"/>
      <c r="L4012" s="33">
        <f t="shared" ref="L4012:L4013" si="989">E4012*(1-H4012)</f>
        <v>0</v>
      </c>
      <c r="M4012" s="33">
        <f t="shared" ref="M4012:M4013" si="990">IF(J4012="",L4012,(E4012/D4012)*J4012)</f>
        <v>0</v>
      </c>
      <c r="N4012" s="22">
        <f t="shared" ref="N4012:N4013" si="991"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 t="shared" si="988"/>
        <v>0</v>
      </c>
      <c r="J4013" s="5"/>
      <c r="K4013" s="5"/>
      <c r="L4013" s="33">
        <f t="shared" si="989"/>
        <v>0</v>
      </c>
      <c r="M4013" s="33">
        <f t="shared" si="990"/>
        <v>0</v>
      </c>
      <c r="N4013" s="22">
        <f t="shared" si="991"/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 t="shared" ref="I4015:I4017" si="992">D4015*(1-H4015)</f>
        <v>0</v>
      </c>
      <c r="J4015" s="5"/>
      <c r="K4015" s="5"/>
      <c r="L4015" s="33">
        <f t="shared" ref="L4015:L4017" si="993">E4015*(1-H4015)</f>
        <v>0</v>
      </c>
      <c r="M4015" s="33">
        <f t="shared" ref="M4015:M4017" si="994">IF(J4015="",L4015,(E4015/D4015)*J4015)</f>
        <v>0</v>
      </c>
      <c r="N4015" s="22">
        <f t="shared" ref="N4015:N4017" si="995"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 t="shared" si="992"/>
        <v>0</v>
      </c>
      <c r="J4016" s="5"/>
      <c r="K4016" s="5"/>
      <c r="L4016" s="33">
        <f t="shared" si="993"/>
        <v>0</v>
      </c>
      <c r="M4016" s="33">
        <f t="shared" si="994"/>
        <v>0</v>
      </c>
      <c r="N4016" s="22">
        <f t="shared" si="995"/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 t="shared" si="992"/>
        <v>0</v>
      </c>
      <c r="J4017" s="5"/>
      <c r="K4017" s="5"/>
      <c r="L4017" s="33">
        <f t="shared" si="993"/>
        <v>0</v>
      </c>
      <c r="M4017" s="33">
        <f t="shared" si="994"/>
        <v>0</v>
      </c>
      <c r="N4017" s="22">
        <f t="shared" si="995"/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AA1295"/>
  <sheetViews>
    <sheetView zoomScale="90" zoomScaleNormal="90" workbookViewId="0">
      <pane xSplit="4" ySplit="3" topLeftCell="K1271" activePane="bottomRight" state="frozen"/>
      <selection pane="topRight" activeCell="E1" sqref="E1"/>
      <selection pane="bottomLeft" activeCell="A4" sqref="A4"/>
      <selection pane="bottomRight" activeCell="U53" sqref="U53:U65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43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3.109375" style="29" bestFit="1" customWidth="1"/>
    <col min="13" max="13" width="13.5546875" style="29" customWidth="1"/>
    <col min="14" max="14" width="10.88671875" style="29" customWidth="1"/>
    <col min="17" max="17" width="10.77734375" customWidth="1"/>
    <col min="18" max="18" width="9.6640625" customWidth="1"/>
    <col min="21" max="21" width="11" bestFit="1" customWidth="1"/>
    <col min="22" max="22" width="9.6640625" customWidth="1"/>
    <col min="23" max="23" width="12.109375" bestFit="1" customWidth="1"/>
    <col min="24" max="24" width="9.6640625" customWidth="1"/>
    <col min="25" max="25" width="9.88671875" customWidth="1"/>
    <col min="26" max="26" width="11" bestFit="1" customWidth="1"/>
    <col min="27" max="27" width="21.109375" customWidth="1"/>
  </cols>
  <sheetData>
    <row r="1" spans="1:27" ht="15" thickBot="1" x14ac:dyDescent="0.35">
      <c r="A1" s="112" t="s">
        <v>3815</v>
      </c>
      <c r="B1" s="113"/>
      <c r="C1" s="113"/>
      <c r="D1" s="114"/>
      <c r="E1" s="115" t="s">
        <v>7818</v>
      </c>
      <c r="F1" s="116"/>
      <c r="G1" s="117"/>
      <c r="H1" s="34"/>
    </row>
    <row r="2" spans="1:27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8027</v>
      </c>
      <c r="P2" s="28" t="s">
        <v>8028</v>
      </c>
      <c r="Q2" s="28" t="s">
        <v>8030</v>
      </c>
      <c r="R2" s="28" t="s">
        <v>8031</v>
      </c>
      <c r="S2" s="28" t="s">
        <v>8032</v>
      </c>
      <c r="T2" s="28" t="s">
        <v>8029</v>
      </c>
      <c r="U2" s="56" t="s">
        <v>8033</v>
      </c>
      <c r="V2" s="57" t="s">
        <v>8034</v>
      </c>
      <c r="W2" s="57" t="s">
        <v>8035</v>
      </c>
      <c r="X2" s="57" t="s">
        <v>8036</v>
      </c>
      <c r="Y2" s="57" t="s">
        <v>8037</v>
      </c>
      <c r="Z2" s="58" t="s">
        <v>8038</v>
      </c>
      <c r="AA2" s="28" t="s">
        <v>8340</v>
      </c>
    </row>
    <row r="3" spans="1:27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27" x14ac:dyDescent="0.3">
      <c r="A4" s="3" t="s">
        <v>7843</v>
      </c>
      <c r="B4" s="3"/>
      <c r="C4" s="3"/>
      <c r="D4" s="4"/>
      <c r="E4" s="15"/>
      <c r="F4" s="15"/>
      <c r="G4" s="41"/>
      <c r="H4" s="3"/>
      <c r="I4" s="38"/>
      <c r="J4" s="3"/>
      <c r="K4" s="3"/>
      <c r="L4" s="32"/>
      <c r="M4" s="32"/>
      <c r="N4" s="32"/>
    </row>
    <row r="5" spans="1:27" x14ac:dyDescent="0.3">
      <c r="A5" s="5" t="s">
        <v>3653</v>
      </c>
      <c r="B5" s="5" t="s">
        <v>3654</v>
      </c>
      <c r="C5" s="5">
        <v>880</v>
      </c>
      <c r="D5" s="6">
        <v>155997</v>
      </c>
      <c r="E5" s="17" t="str">
        <f>VLOOKUP(A5,'forecast data dump'!$A$1:$H$3450,4,FALSE)</f>
        <v>01-Oct-20 A</v>
      </c>
      <c r="F5" s="17">
        <f>VLOOKUP(A5,'forecast data dump'!$A$1:$H$3450,5,FALSE)</f>
        <v>44469</v>
      </c>
      <c r="G5" s="42">
        <v>0.82799999999999996</v>
      </c>
      <c r="H5" s="5" t="s">
        <v>3754</v>
      </c>
      <c r="I5" s="39">
        <f t="shared" ref="I5:I8" si="0">C5*(1-G5)</f>
        <v>151.36000000000004</v>
      </c>
      <c r="J5" s="5"/>
      <c r="K5" s="5"/>
      <c r="L5" s="33">
        <f t="shared" ref="L5:L8" si="1">D5*(1-G5)</f>
        <v>26831.484000000008</v>
      </c>
      <c r="M5" s="33">
        <f t="shared" ref="M5:M8" si="2">IF(J5="",L5,(D5/C5)*J5)</f>
        <v>26831.484000000008</v>
      </c>
      <c r="N5" s="33">
        <f t="shared" ref="N5:N8" si="3">L5-M5</f>
        <v>0</v>
      </c>
      <c r="S5">
        <v>1</v>
      </c>
      <c r="U5" s="29">
        <f>O5*M5</f>
        <v>0</v>
      </c>
      <c r="V5" s="29">
        <f>P5*M5</f>
        <v>0</v>
      </c>
      <c r="W5" s="29">
        <f>Q5*M5</f>
        <v>0</v>
      </c>
      <c r="X5" s="29">
        <f>R5*M5</f>
        <v>0</v>
      </c>
      <c r="Y5" s="29">
        <f>S5*M5</f>
        <v>26831.484000000008</v>
      </c>
      <c r="Z5" s="29">
        <f>T5*M5</f>
        <v>0</v>
      </c>
    </row>
    <row r="6" spans="1:27" x14ac:dyDescent="0.3">
      <c r="A6" s="5" t="s">
        <v>3655</v>
      </c>
      <c r="B6" s="5" t="s">
        <v>3656</v>
      </c>
      <c r="C6" s="5">
        <v>880</v>
      </c>
      <c r="D6" s="6">
        <v>160676</v>
      </c>
      <c r="E6" s="17">
        <f>VLOOKUP(A6,'forecast data dump'!$A$1:$H$3450,4,FALSE)</f>
        <v>44470</v>
      </c>
      <c r="F6" s="17">
        <f>VLOOKUP(A6,'forecast data dump'!$A$1:$H$3450,5,FALSE)</f>
        <v>44834</v>
      </c>
      <c r="G6" s="42">
        <f>VLOOKUP(A6,'forecast data dump'!$A$1:$H$3450,8,FALSE)</f>
        <v>0</v>
      </c>
      <c r="H6" s="5" t="s">
        <v>3754</v>
      </c>
      <c r="I6" s="39">
        <f t="shared" si="0"/>
        <v>880</v>
      </c>
      <c r="J6" s="5"/>
      <c r="K6" s="5"/>
      <c r="L6" s="33">
        <f t="shared" si="1"/>
        <v>160676</v>
      </c>
      <c r="M6" s="33">
        <f t="shared" si="2"/>
        <v>160676</v>
      </c>
      <c r="N6" s="33">
        <f t="shared" si="3"/>
        <v>0</v>
      </c>
      <c r="S6">
        <v>1</v>
      </c>
      <c r="U6" s="29">
        <f t="shared" ref="U6:U8" si="4">O6*M6</f>
        <v>0</v>
      </c>
      <c r="V6" s="29">
        <f>P6*M6</f>
        <v>0</v>
      </c>
      <c r="W6" s="29">
        <f t="shared" ref="W6:W8" si="5">Q6*M6</f>
        <v>0</v>
      </c>
      <c r="X6" s="29">
        <f t="shared" ref="X6:X8" si="6">R6*M6</f>
        <v>0</v>
      </c>
      <c r="Y6" s="29">
        <f>S6*M6</f>
        <v>160676</v>
      </c>
      <c r="Z6" s="29">
        <f t="shared" ref="Z6:Z8" si="7">T6*M6</f>
        <v>0</v>
      </c>
    </row>
    <row r="7" spans="1:27" x14ac:dyDescent="0.3">
      <c r="A7" s="5" t="s">
        <v>3663</v>
      </c>
      <c r="B7" s="5" t="s">
        <v>3664</v>
      </c>
      <c r="C7" s="5">
        <v>352</v>
      </c>
      <c r="D7" s="6">
        <v>61658</v>
      </c>
      <c r="E7" s="17" t="str">
        <f>VLOOKUP(A7,'forecast data dump'!$A$1:$H$3450,4,FALSE)</f>
        <v>01-Oct-20 A</v>
      </c>
      <c r="F7" s="17">
        <f>VLOOKUP(A7,'forecast data dump'!$A$1:$H$3450,5,FALSE)</f>
        <v>44469</v>
      </c>
      <c r="G7" s="42">
        <v>0.82799999999999996</v>
      </c>
      <c r="H7" s="5" t="s">
        <v>3731</v>
      </c>
      <c r="I7" s="39">
        <f t="shared" si="0"/>
        <v>60.544000000000011</v>
      </c>
      <c r="J7" s="5"/>
      <c r="K7" s="5"/>
      <c r="L7" s="33">
        <f t="shared" si="1"/>
        <v>10605.176000000003</v>
      </c>
      <c r="M7" s="33">
        <f t="shared" si="2"/>
        <v>10605.176000000003</v>
      </c>
      <c r="N7" s="33">
        <f t="shared" si="3"/>
        <v>0</v>
      </c>
      <c r="S7">
        <v>1</v>
      </c>
      <c r="U7" s="29">
        <f t="shared" si="4"/>
        <v>0</v>
      </c>
      <c r="V7" s="29">
        <f>P7*M7</f>
        <v>0</v>
      </c>
      <c r="W7" s="29">
        <f t="shared" si="5"/>
        <v>0</v>
      </c>
      <c r="X7" s="29">
        <f t="shared" si="6"/>
        <v>0</v>
      </c>
      <c r="Y7" s="29">
        <f>S7*M7</f>
        <v>10605.176000000003</v>
      </c>
      <c r="Z7" s="29">
        <f t="shared" si="7"/>
        <v>0</v>
      </c>
    </row>
    <row r="8" spans="1:27" x14ac:dyDescent="0.3">
      <c r="A8" s="5" t="s">
        <v>3665</v>
      </c>
      <c r="B8" s="5" t="s">
        <v>3666</v>
      </c>
      <c r="C8" s="5">
        <v>352</v>
      </c>
      <c r="D8" s="6">
        <v>63508</v>
      </c>
      <c r="E8" s="17">
        <f>VLOOKUP(A8,'forecast data dump'!$A$1:$H$3450,4,FALSE)</f>
        <v>44470</v>
      </c>
      <c r="F8" s="17">
        <f>VLOOKUP(A8,'forecast data dump'!$A$1:$H$3450,5,FALSE)</f>
        <v>44834</v>
      </c>
      <c r="G8" s="42">
        <f>VLOOKUP(A8,'forecast data dump'!$A$1:$H$3450,8,FALSE)</f>
        <v>0</v>
      </c>
      <c r="H8" s="5" t="s">
        <v>3731</v>
      </c>
      <c r="I8" s="39">
        <f t="shared" si="0"/>
        <v>352</v>
      </c>
      <c r="J8" s="5"/>
      <c r="K8" s="5"/>
      <c r="L8" s="33">
        <f t="shared" si="1"/>
        <v>63508</v>
      </c>
      <c r="M8" s="33">
        <f t="shared" si="2"/>
        <v>63508</v>
      </c>
      <c r="N8" s="33">
        <f t="shared" si="3"/>
        <v>0</v>
      </c>
      <c r="S8">
        <v>1</v>
      </c>
      <c r="U8" s="29">
        <f t="shared" si="4"/>
        <v>0</v>
      </c>
      <c r="V8" s="29">
        <f>P8*M8</f>
        <v>0</v>
      </c>
      <c r="W8" s="29">
        <f t="shared" si="5"/>
        <v>0</v>
      </c>
      <c r="X8" s="29">
        <f t="shared" si="6"/>
        <v>0</v>
      </c>
      <c r="Y8" s="29">
        <f>S8*M8</f>
        <v>63508</v>
      </c>
      <c r="Z8" s="29">
        <f t="shared" si="7"/>
        <v>0</v>
      </c>
    </row>
    <row r="9" spans="1:27" x14ac:dyDescent="0.3">
      <c r="A9" s="3" t="s">
        <v>7844</v>
      </c>
      <c r="B9" s="3"/>
      <c r="C9" s="3"/>
      <c r="D9" s="4"/>
      <c r="E9" s="15"/>
      <c r="F9" s="15"/>
      <c r="G9" s="41"/>
      <c r="H9" s="3"/>
      <c r="I9" s="38"/>
      <c r="J9" s="3"/>
      <c r="K9" s="3"/>
      <c r="L9" s="32"/>
      <c r="M9" s="32"/>
      <c r="N9" s="32"/>
      <c r="U9" s="29"/>
      <c r="V9" s="29"/>
      <c r="W9" s="29"/>
      <c r="X9" s="29"/>
      <c r="Y9" s="29"/>
      <c r="Z9" s="29"/>
    </row>
    <row r="10" spans="1:27" x14ac:dyDescent="0.3">
      <c r="A10" s="5" t="s">
        <v>3695</v>
      </c>
      <c r="B10" s="5" t="s">
        <v>3696</v>
      </c>
      <c r="C10" s="5">
        <v>890</v>
      </c>
      <c r="D10" s="6">
        <v>144577</v>
      </c>
      <c r="E10" s="17" t="str">
        <f>VLOOKUP(A10,'forecast data dump'!$A$1:$H$3450,4,FALSE)</f>
        <v>01-Oct-20 A</v>
      </c>
      <c r="F10" s="17">
        <f>VLOOKUP(A10,'forecast data dump'!$A$1:$H$3450,5,FALSE)</f>
        <v>44469</v>
      </c>
      <c r="G10" s="42">
        <v>0.82799999999999996</v>
      </c>
      <c r="H10" s="5" t="s">
        <v>3756</v>
      </c>
      <c r="I10" s="39">
        <f t="shared" ref="I10:I16" si="8">C10*(1-G10)</f>
        <v>153.08000000000004</v>
      </c>
      <c r="J10" s="5"/>
      <c r="K10" s="5"/>
      <c r="L10" s="33">
        <f t="shared" ref="L10:L16" si="9">D10*(1-G10)</f>
        <v>24867.244000000006</v>
      </c>
      <c r="M10" s="33">
        <f t="shared" ref="M10:M16" si="10">IF(J10="",L10,(D10/C10)*J10)</f>
        <v>24867.244000000006</v>
      </c>
      <c r="N10" s="33">
        <f t="shared" ref="N10:N16" si="11">L10-M10</f>
        <v>0</v>
      </c>
      <c r="S10">
        <v>1</v>
      </c>
      <c r="U10" s="29">
        <f t="shared" ref="U10:U72" si="12">O10*M10</f>
        <v>0</v>
      </c>
      <c r="V10" s="29">
        <f t="shared" ref="V10:V16" si="13">P10*M10</f>
        <v>0</v>
      </c>
      <c r="W10" s="29">
        <f t="shared" ref="W10:W72" si="14">Q10*M10</f>
        <v>0</v>
      </c>
      <c r="X10" s="29">
        <f t="shared" ref="X10:X72" si="15">R10*M10</f>
        <v>0</v>
      </c>
      <c r="Y10" s="29">
        <f t="shared" ref="Y10:Y16" si="16">S10*M10</f>
        <v>24867.244000000006</v>
      </c>
      <c r="Z10" s="29">
        <f t="shared" ref="Z10:Z72" si="17">T10*M10</f>
        <v>0</v>
      </c>
    </row>
    <row r="11" spans="1:27" x14ac:dyDescent="0.3">
      <c r="A11" s="5" t="s">
        <v>3695</v>
      </c>
      <c r="B11" s="5" t="s">
        <v>3696</v>
      </c>
      <c r="C11" s="5">
        <v>860</v>
      </c>
      <c r="D11" s="6">
        <v>112062</v>
      </c>
      <c r="E11" s="17" t="str">
        <f>VLOOKUP(A11,'forecast data dump'!$A$1:$H$3450,4,FALSE)</f>
        <v>01-Oct-20 A</v>
      </c>
      <c r="F11" s="17">
        <f>VLOOKUP(A11,'forecast data dump'!$A$1:$H$3450,5,FALSE)</f>
        <v>44469</v>
      </c>
      <c r="G11" s="42">
        <v>0.82799999999999996</v>
      </c>
      <c r="H11" s="5" t="s">
        <v>3746</v>
      </c>
      <c r="I11" s="39">
        <f t="shared" si="8"/>
        <v>147.92000000000004</v>
      </c>
      <c r="J11" s="5"/>
      <c r="K11" s="5"/>
      <c r="L11" s="33">
        <f t="shared" si="9"/>
        <v>19274.664000000004</v>
      </c>
      <c r="M11" s="33">
        <f t="shared" si="10"/>
        <v>19274.664000000004</v>
      </c>
      <c r="N11" s="33">
        <f t="shared" si="11"/>
        <v>0</v>
      </c>
      <c r="S11">
        <v>1</v>
      </c>
      <c r="U11" s="29">
        <f t="shared" si="12"/>
        <v>0</v>
      </c>
      <c r="V11" s="29">
        <f t="shared" si="13"/>
        <v>0</v>
      </c>
      <c r="W11" s="29">
        <f t="shared" si="14"/>
        <v>0</v>
      </c>
      <c r="X11" s="29">
        <f t="shared" si="15"/>
        <v>0</v>
      </c>
      <c r="Y11" s="29">
        <f t="shared" si="16"/>
        <v>19274.664000000004</v>
      </c>
      <c r="Z11" s="29">
        <f t="shared" si="17"/>
        <v>0</v>
      </c>
    </row>
    <row r="12" spans="1:27" x14ac:dyDescent="0.3">
      <c r="A12" s="5" t="s">
        <v>3697</v>
      </c>
      <c r="B12" s="5" t="s">
        <v>3698</v>
      </c>
      <c r="C12" s="5">
        <v>800</v>
      </c>
      <c r="D12" s="6">
        <v>107371</v>
      </c>
      <c r="E12" s="17">
        <f>VLOOKUP(A12,'forecast data dump'!$A$1:$H$3450,4,FALSE)</f>
        <v>44470</v>
      </c>
      <c r="F12" s="17">
        <f>VLOOKUP(A12,'forecast data dump'!$A$1:$H$3450,5,FALSE)</f>
        <v>44834</v>
      </c>
      <c r="G12" s="42">
        <f>VLOOKUP(A12,'forecast data dump'!$A$1:$H$3450,8,FALSE)</f>
        <v>0</v>
      </c>
      <c r="H12" s="5" t="s">
        <v>3746</v>
      </c>
      <c r="I12" s="39">
        <f t="shared" si="8"/>
        <v>800</v>
      </c>
      <c r="J12" s="5"/>
      <c r="K12" s="5"/>
      <c r="L12" s="33">
        <f t="shared" si="9"/>
        <v>107371</v>
      </c>
      <c r="M12" s="33">
        <f t="shared" si="10"/>
        <v>107371</v>
      </c>
      <c r="N12" s="33">
        <f t="shared" si="11"/>
        <v>0</v>
      </c>
      <c r="S12">
        <v>1</v>
      </c>
      <c r="U12" s="29">
        <f t="shared" si="12"/>
        <v>0</v>
      </c>
      <c r="V12" s="29">
        <f t="shared" si="13"/>
        <v>0</v>
      </c>
      <c r="W12" s="29">
        <f t="shared" si="14"/>
        <v>0</v>
      </c>
      <c r="X12" s="29">
        <f t="shared" si="15"/>
        <v>0</v>
      </c>
      <c r="Y12" s="29">
        <f t="shared" si="16"/>
        <v>107371</v>
      </c>
      <c r="Z12" s="29">
        <f t="shared" si="17"/>
        <v>0</v>
      </c>
    </row>
    <row r="13" spans="1:27" x14ac:dyDescent="0.3">
      <c r="A13" s="5" t="s">
        <v>3701</v>
      </c>
      <c r="B13" s="5" t="s">
        <v>3702</v>
      </c>
      <c r="C13" s="5">
        <v>352</v>
      </c>
      <c r="D13" s="6">
        <v>36335</v>
      </c>
      <c r="E13" s="17" t="str">
        <f>VLOOKUP(A13,'forecast data dump'!$A$1:$H$3450,4,FALSE)</f>
        <v>01-Oct-20 A</v>
      </c>
      <c r="F13" s="17">
        <f>VLOOKUP(A13,'forecast data dump'!$A$1:$H$3450,5,FALSE)</f>
        <v>44469</v>
      </c>
      <c r="G13" s="42">
        <v>0.82799999999999996</v>
      </c>
      <c r="H13" s="5" t="s">
        <v>3757</v>
      </c>
      <c r="I13" s="39">
        <f t="shared" si="8"/>
        <v>60.544000000000011</v>
      </c>
      <c r="J13" s="5"/>
      <c r="K13" s="5"/>
      <c r="L13" s="33">
        <f t="shared" si="9"/>
        <v>6249.6200000000017</v>
      </c>
      <c r="M13" s="33">
        <f t="shared" si="10"/>
        <v>6249.6200000000017</v>
      </c>
      <c r="N13" s="33">
        <f t="shared" si="11"/>
        <v>0</v>
      </c>
      <c r="S13">
        <v>1</v>
      </c>
      <c r="U13" s="29">
        <f t="shared" si="12"/>
        <v>0</v>
      </c>
      <c r="V13" s="29">
        <f t="shared" si="13"/>
        <v>0</v>
      </c>
      <c r="W13" s="29">
        <f t="shared" si="14"/>
        <v>0</v>
      </c>
      <c r="X13" s="29">
        <f t="shared" si="15"/>
        <v>0</v>
      </c>
      <c r="Y13" s="29">
        <f t="shared" si="16"/>
        <v>6249.6200000000017</v>
      </c>
      <c r="Z13" s="29">
        <f t="shared" si="17"/>
        <v>0</v>
      </c>
    </row>
    <row r="14" spans="1:27" x14ac:dyDescent="0.3">
      <c r="A14" s="5" t="s">
        <v>3705</v>
      </c>
      <c r="B14" s="5" t="s">
        <v>3706</v>
      </c>
      <c r="C14" s="5">
        <v>440</v>
      </c>
      <c r="D14" s="6">
        <v>66741</v>
      </c>
      <c r="E14" s="17" t="str">
        <f>VLOOKUP(A14,'forecast data dump'!$A$1:$H$3450,4,FALSE)</f>
        <v>01-Oct-20 A</v>
      </c>
      <c r="F14" s="17">
        <f>VLOOKUP(A14,'forecast data dump'!$A$1:$H$3450,5,FALSE)</f>
        <v>44469</v>
      </c>
      <c r="G14" s="42">
        <v>0.82799999999999996</v>
      </c>
      <c r="H14" s="5" t="s">
        <v>3744</v>
      </c>
      <c r="I14" s="39">
        <f t="shared" si="8"/>
        <v>75.680000000000021</v>
      </c>
      <c r="J14" s="5"/>
      <c r="K14" s="5"/>
      <c r="L14" s="33">
        <f t="shared" si="9"/>
        <v>11479.452000000003</v>
      </c>
      <c r="M14" s="33">
        <f t="shared" si="10"/>
        <v>11479.452000000003</v>
      </c>
      <c r="N14" s="33">
        <f t="shared" si="11"/>
        <v>0</v>
      </c>
      <c r="S14">
        <v>1</v>
      </c>
      <c r="U14" s="29">
        <f t="shared" si="12"/>
        <v>0</v>
      </c>
      <c r="V14" s="29">
        <f t="shared" si="13"/>
        <v>0</v>
      </c>
      <c r="W14" s="29">
        <f t="shared" si="14"/>
        <v>0</v>
      </c>
      <c r="X14" s="29">
        <f t="shared" si="15"/>
        <v>0</v>
      </c>
      <c r="Y14" s="29">
        <f t="shared" si="16"/>
        <v>11479.452000000003</v>
      </c>
      <c r="Z14" s="29">
        <f t="shared" si="17"/>
        <v>0</v>
      </c>
    </row>
    <row r="15" spans="1:27" x14ac:dyDescent="0.3">
      <c r="A15" s="5" t="s">
        <v>3705</v>
      </c>
      <c r="B15" s="5" t="s">
        <v>3706</v>
      </c>
      <c r="C15" s="5">
        <v>352</v>
      </c>
      <c r="D15" s="6">
        <v>45867</v>
      </c>
      <c r="E15" s="17" t="str">
        <f>VLOOKUP(A15,'forecast data dump'!$A$1:$H$3450,4,FALSE)</f>
        <v>01-Oct-20 A</v>
      </c>
      <c r="F15" s="17">
        <f>VLOOKUP(A15,'forecast data dump'!$A$1:$H$3450,5,FALSE)</f>
        <v>44469</v>
      </c>
      <c r="G15" s="42">
        <v>0.82799999999999996</v>
      </c>
      <c r="H15" s="5" t="s">
        <v>3746</v>
      </c>
      <c r="I15" s="39">
        <f t="shared" si="8"/>
        <v>60.544000000000011</v>
      </c>
      <c r="J15" s="5"/>
      <c r="K15" s="5"/>
      <c r="L15" s="33">
        <f t="shared" si="9"/>
        <v>7889.1240000000016</v>
      </c>
      <c r="M15" s="33">
        <f t="shared" si="10"/>
        <v>7889.1240000000016</v>
      </c>
      <c r="N15" s="33">
        <f t="shared" si="11"/>
        <v>0</v>
      </c>
      <c r="S15">
        <v>1</v>
      </c>
      <c r="U15" s="29">
        <f t="shared" si="12"/>
        <v>0</v>
      </c>
      <c r="V15" s="29">
        <f t="shared" si="13"/>
        <v>0</v>
      </c>
      <c r="W15" s="29">
        <f t="shared" si="14"/>
        <v>0</v>
      </c>
      <c r="X15" s="29">
        <f t="shared" si="15"/>
        <v>0</v>
      </c>
      <c r="Y15" s="29">
        <f t="shared" si="16"/>
        <v>7889.1240000000016</v>
      </c>
      <c r="Z15" s="29">
        <f t="shared" si="17"/>
        <v>0</v>
      </c>
    </row>
    <row r="16" spans="1:27" x14ac:dyDescent="0.3">
      <c r="A16" s="5" t="s">
        <v>3707</v>
      </c>
      <c r="B16" s="5" t="s">
        <v>3708</v>
      </c>
      <c r="C16" s="5">
        <v>40</v>
      </c>
      <c r="D16" s="6">
        <v>5530</v>
      </c>
      <c r="E16" s="17">
        <f>VLOOKUP(A16,'forecast data dump'!$A$1:$H$3450,4,FALSE)</f>
        <v>44837</v>
      </c>
      <c r="F16" s="17">
        <f>VLOOKUP(A16,'forecast data dump'!$A$1:$H$3450,5,FALSE)</f>
        <v>44841</v>
      </c>
      <c r="G16" s="42">
        <f>VLOOKUP(A16,'forecast data dump'!$A$1:$H$3450,8,FALSE)</f>
        <v>0</v>
      </c>
      <c r="H16" s="5" t="s">
        <v>3746</v>
      </c>
      <c r="I16" s="39">
        <f t="shared" si="8"/>
        <v>40</v>
      </c>
      <c r="J16" s="5"/>
      <c r="K16" s="5"/>
      <c r="L16" s="33">
        <f t="shared" si="9"/>
        <v>5530</v>
      </c>
      <c r="M16" s="33">
        <f t="shared" si="10"/>
        <v>5530</v>
      </c>
      <c r="N16" s="33">
        <f t="shared" si="11"/>
        <v>0</v>
      </c>
      <c r="S16">
        <v>1</v>
      </c>
      <c r="U16" s="29">
        <f t="shared" si="12"/>
        <v>0</v>
      </c>
      <c r="V16" s="29">
        <f t="shared" si="13"/>
        <v>0</v>
      </c>
      <c r="W16" s="29">
        <f t="shared" si="14"/>
        <v>0</v>
      </c>
      <c r="X16" s="29">
        <f t="shared" si="15"/>
        <v>0</v>
      </c>
      <c r="Y16" s="29">
        <f t="shared" si="16"/>
        <v>5530</v>
      </c>
      <c r="Z16" s="29">
        <f t="shared" si="17"/>
        <v>0</v>
      </c>
    </row>
    <row r="17" spans="1:26" x14ac:dyDescent="0.3">
      <c r="A17" s="3" t="s">
        <v>7845</v>
      </c>
      <c r="B17" s="3"/>
      <c r="C17" s="3"/>
      <c r="D17" s="4"/>
      <c r="E17" s="15"/>
      <c r="F17" s="15"/>
      <c r="G17" s="41"/>
      <c r="H17" s="3"/>
      <c r="I17" s="38"/>
      <c r="J17" s="3"/>
      <c r="K17" s="3"/>
      <c r="L17" s="32"/>
      <c r="M17" s="32"/>
      <c r="N17" s="32"/>
      <c r="U17" s="29"/>
      <c r="V17" s="29"/>
      <c r="W17" s="29"/>
      <c r="X17" s="29"/>
      <c r="Y17" s="29"/>
      <c r="Z17" s="29"/>
    </row>
    <row r="18" spans="1:26" x14ac:dyDescent="0.3">
      <c r="A18" s="5" t="s">
        <v>3679</v>
      </c>
      <c r="B18" s="5" t="s">
        <v>3680</v>
      </c>
      <c r="C18" s="5">
        <v>880</v>
      </c>
      <c r="D18" s="6">
        <v>154145</v>
      </c>
      <c r="E18" s="17" t="str">
        <f>VLOOKUP(A18,'forecast data dump'!$A$1:$H$3450,4,FALSE)</f>
        <v>02-Oct-20 A</v>
      </c>
      <c r="F18" s="17">
        <f>VLOOKUP(A18,'forecast data dump'!$A$1:$H$3450,5,FALSE)</f>
        <v>44469</v>
      </c>
      <c r="G18" s="42">
        <v>0.82799999999999996</v>
      </c>
      <c r="H18" s="5" t="s">
        <v>3734</v>
      </c>
      <c r="I18" s="39">
        <f t="shared" ref="I18:I22" si="18">C18*(1-G18)</f>
        <v>151.36000000000004</v>
      </c>
      <c r="J18" s="5"/>
      <c r="K18" s="5"/>
      <c r="L18" s="33">
        <f t="shared" ref="L18:L22" si="19">D18*(1-G18)</f>
        <v>26512.940000000006</v>
      </c>
      <c r="M18" s="33">
        <f t="shared" ref="M18:M22" si="20">IF(J18="",L18,(D18/C18)*J18)</f>
        <v>26512.940000000006</v>
      </c>
      <c r="N18" s="33">
        <f t="shared" ref="N18:N22" si="21">L18-M18</f>
        <v>0</v>
      </c>
      <c r="S18">
        <v>1</v>
      </c>
      <c r="U18" s="29">
        <f t="shared" si="12"/>
        <v>0</v>
      </c>
      <c r="V18" s="29">
        <f>P18*M18</f>
        <v>0</v>
      </c>
      <c r="W18" s="29">
        <f t="shared" si="14"/>
        <v>0</v>
      </c>
      <c r="X18" s="29">
        <f t="shared" si="15"/>
        <v>0</v>
      </c>
      <c r="Y18" s="29">
        <f>S18*M18</f>
        <v>26512.940000000006</v>
      </c>
      <c r="Z18" s="29">
        <f t="shared" si="17"/>
        <v>0</v>
      </c>
    </row>
    <row r="19" spans="1:26" x14ac:dyDescent="0.3">
      <c r="A19" s="5" t="s">
        <v>3679</v>
      </c>
      <c r="B19" s="5" t="s">
        <v>3680</v>
      </c>
      <c r="C19" s="5">
        <v>440</v>
      </c>
      <c r="D19" s="6">
        <v>57334</v>
      </c>
      <c r="E19" s="17" t="str">
        <f>VLOOKUP(A19,'forecast data dump'!$A$1:$H$3450,4,FALSE)</f>
        <v>02-Oct-20 A</v>
      </c>
      <c r="F19" s="17">
        <f>VLOOKUP(A19,'forecast data dump'!$A$1:$H$3450,5,FALSE)</f>
        <v>44469</v>
      </c>
      <c r="G19" s="42">
        <v>0.82799999999999996</v>
      </c>
      <c r="H19" s="5" t="s">
        <v>3746</v>
      </c>
      <c r="I19" s="39">
        <f t="shared" si="18"/>
        <v>75.680000000000021</v>
      </c>
      <c r="J19" s="5"/>
      <c r="K19" s="5"/>
      <c r="L19" s="33">
        <f t="shared" si="19"/>
        <v>9861.4480000000021</v>
      </c>
      <c r="M19" s="33">
        <f t="shared" si="20"/>
        <v>9861.4480000000021</v>
      </c>
      <c r="N19" s="33">
        <f t="shared" si="21"/>
        <v>0</v>
      </c>
      <c r="S19">
        <v>1</v>
      </c>
      <c r="U19" s="29">
        <f t="shared" si="12"/>
        <v>0</v>
      </c>
      <c r="V19" s="29">
        <f>P19*M19</f>
        <v>0</v>
      </c>
      <c r="W19" s="29">
        <f t="shared" si="14"/>
        <v>0</v>
      </c>
      <c r="X19" s="29">
        <f t="shared" si="15"/>
        <v>0</v>
      </c>
      <c r="Y19" s="29">
        <f>S19*M19</f>
        <v>9861.4480000000021</v>
      </c>
      <c r="Z19" s="29">
        <f t="shared" si="17"/>
        <v>0</v>
      </c>
    </row>
    <row r="20" spans="1:26" x14ac:dyDescent="0.3">
      <c r="A20" s="5" t="s">
        <v>3679</v>
      </c>
      <c r="B20" s="5" t="s">
        <v>3680</v>
      </c>
      <c r="C20" s="5">
        <v>440</v>
      </c>
      <c r="D20" s="6">
        <v>77998</v>
      </c>
      <c r="E20" s="17" t="str">
        <f>VLOOKUP(A20,'forecast data dump'!$A$1:$H$3450,4,FALSE)</f>
        <v>02-Oct-20 A</v>
      </c>
      <c r="F20" s="17">
        <f>VLOOKUP(A20,'forecast data dump'!$A$1:$H$3450,5,FALSE)</f>
        <v>44469</v>
      </c>
      <c r="G20" s="42">
        <v>0.82799999999999996</v>
      </c>
      <c r="H20" s="5" t="s">
        <v>3740</v>
      </c>
      <c r="I20" s="39">
        <f t="shared" si="18"/>
        <v>75.680000000000021</v>
      </c>
      <c r="J20" s="5"/>
      <c r="K20" s="5"/>
      <c r="L20" s="33">
        <f t="shared" si="19"/>
        <v>13415.656000000003</v>
      </c>
      <c r="M20" s="33">
        <f t="shared" si="20"/>
        <v>13415.656000000003</v>
      </c>
      <c r="N20" s="33">
        <f t="shared" si="21"/>
        <v>0</v>
      </c>
      <c r="S20">
        <v>1</v>
      </c>
      <c r="U20" s="29">
        <f t="shared" si="12"/>
        <v>0</v>
      </c>
      <c r="V20" s="29">
        <f>P20*M20</f>
        <v>0</v>
      </c>
      <c r="W20" s="29">
        <f t="shared" si="14"/>
        <v>0</v>
      </c>
      <c r="X20" s="29">
        <f t="shared" si="15"/>
        <v>0</v>
      </c>
      <c r="Y20" s="29">
        <f>S20*M20</f>
        <v>13415.656000000003</v>
      </c>
      <c r="Z20" s="29">
        <f t="shared" si="17"/>
        <v>0</v>
      </c>
    </row>
    <row r="21" spans="1:26" x14ac:dyDescent="0.3">
      <c r="A21" s="5" t="s">
        <v>3681</v>
      </c>
      <c r="B21" s="5" t="s">
        <v>3682</v>
      </c>
      <c r="C21" s="5">
        <v>880</v>
      </c>
      <c r="D21" s="6">
        <v>158770</v>
      </c>
      <c r="E21" s="17">
        <f>VLOOKUP(A21,'forecast data dump'!$A$1:$H$3450,4,FALSE)</f>
        <v>44470</v>
      </c>
      <c r="F21" s="17">
        <f>VLOOKUP(A21,'forecast data dump'!$A$1:$H$3450,5,FALSE)</f>
        <v>44834</v>
      </c>
      <c r="G21" s="42">
        <f>VLOOKUP(A21,'forecast data dump'!$A$1:$H$3450,8,FALSE)</f>
        <v>0</v>
      </c>
      <c r="H21" s="5" t="s">
        <v>3734</v>
      </c>
      <c r="I21" s="39">
        <f t="shared" si="18"/>
        <v>880</v>
      </c>
      <c r="J21" s="5"/>
      <c r="K21" s="5"/>
      <c r="L21" s="33">
        <f t="shared" si="19"/>
        <v>158770</v>
      </c>
      <c r="M21" s="33">
        <f t="shared" si="20"/>
        <v>158770</v>
      </c>
      <c r="N21" s="33">
        <f t="shared" si="21"/>
        <v>0</v>
      </c>
      <c r="S21">
        <v>1</v>
      </c>
      <c r="U21" s="29">
        <f t="shared" si="12"/>
        <v>0</v>
      </c>
      <c r="V21" s="29">
        <f>P21*M21</f>
        <v>0</v>
      </c>
      <c r="W21" s="29">
        <f t="shared" si="14"/>
        <v>0</v>
      </c>
      <c r="X21" s="29">
        <f t="shared" si="15"/>
        <v>0</v>
      </c>
      <c r="Y21" s="29">
        <f>S21*M21</f>
        <v>158770</v>
      </c>
      <c r="Z21" s="29">
        <f t="shared" si="17"/>
        <v>0</v>
      </c>
    </row>
    <row r="22" spans="1:26" x14ac:dyDescent="0.3">
      <c r="A22" s="5" t="s">
        <v>3683</v>
      </c>
      <c r="B22" s="5" t="s">
        <v>3684</v>
      </c>
      <c r="C22" s="5">
        <v>282</v>
      </c>
      <c r="D22" s="6">
        <v>52405</v>
      </c>
      <c r="E22" s="17">
        <f>VLOOKUP(A22,'forecast data dump'!$A$1:$H$3450,4,FALSE)</f>
        <v>44837</v>
      </c>
      <c r="F22" s="17">
        <f>VLOOKUP(A22,'forecast data dump'!$A$1:$H$3450,5,FALSE)</f>
        <v>44839</v>
      </c>
      <c r="G22" s="42">
        <f>VLOOKUP(A22,'forecast data dump'!$A$1:$H$3450,8,FALSE)</f>
        <v>0</v>
      </c>
      <c r="H22" s="5" t="s">
        <v>3734</v>
      </c>
      <c r="I22" s="39">
        <f t="shared" si="18"/>
        <v>282</v>
      </c>
      <c r="J22" s="5"/>
      <c r="K22" s="5"/>
      <c r="L22" s="33">
        <f t="shared" si="19"/>
        <v>52405</v>
      </c>
      <c r="M22" s="33">
        <f t="shared" si="20"/>
        <v>52405</v>
      </c>
      <c r="N22" s="33">
        <f t="shared" si="21"/>
        <v>0</v>
      </c>
      <c r="S22">
        <v>1</v>
      </c>
      <c r="U22" s="29">
        <f t="shared" si="12"/>
        <v>0</v>
      </c>
      <c r="V22" s="29">
        <f>P22*M22</f>
        <v>0</v>
      </c>
      <c r="W22" s="29">
        <f t="shared" si="14"/>
        <v>0</v>
      </c>
      <c r="X22" s="29">
        <f t="shared" si="15"/>
        <v>0</v>
      </c>
      <c r="Y22" s="29">
        <f>S22*M22</f>
        <v>52405</v>
      </c>
      <c r="Z22" s="29">
        <f t="shared" si="17"/>
        <v>0</v>
      </c>
    </row>
    <row r="23" spans="1:26" x14ac:dyDescent="0.3">
      <c r="A23" s="3" t="s">
        <v>7846</v>
      </c>
      <c r="B23" s="3"/>
      <c r="C23" s="3"/>
      <c r="D23" s="4"/>
      <c r="E23" s="15"/>
      <c r="F23" s="15"/>
      <c r="G23" s="41"/>
      <c r="H23" s="3"/>
      <c r="I23" s="38"/>
      <c r="J23" s="3"/>
      <c r="K23" s="3"/>
      <c r="L23" s="32"/>
      <c r="M23" s="32"/>
      <c r="N23" s="32"/>
      <c r="U23" s="29"/>
      <c r="V23" s="29"/>
      <c r="W23" s="29"/>
      <c r="X23" s="29"/>
      <c r="Y23" s="29"/>
      <c r="Z23" s="29"/>
    </row>
    <row r="24" spans="1:26" x14ac:dyDescent="0.3">
      <c r="A24" s="5" t="s">
        <v>2094</v>
      </c>
      <c r="B24" s="5" t="s">
        <v>2095</v>
      </c>
      <c r="C24" s="5">
        <v>16</v>
      </c>
      <c r="D24" s="6">
        <v>2921</v>
      </c>
      <c r="E24" s="17" t="str">
        <f>VLOOKUP(A24,'forecast data dump'!$A$1:$H$3450,4,FALSE)</f>
        <v>08-Mar-21 A</v>
      </c>
      <c r="F24" s="17">
        <f>VLOOKUP(A24,'forecast data dump'!$A$1:$H$3450,5,FALSE)</f>
        <v>44685</v>
      </c>
      <c r="G24" s="42">
        <f>VLOOKUP(A24,'forecast data dump'!$A$1:$H$3450,8,FALSE)</f>
        <v>0.5</v>
      </c>
      <c r="H24" s="5" t="s">
        <v>3754</v>
      </c>
      <c r="I24" s="39">
        <f t="shared" ref="I24:I31" si="22">C24*(1-G24)</f>
        <v>8</v>
      </c>
      <c r="J24" s="5"/>
      <c r="K24" s="5"/>
      <c r="L24" s="33">
        <f t="shared" ref="L24:L31" si="23">D24*(1-G24)</f>
        <v>1460.5</v>
      </c>
      <c r="M24" s="33">
        <f t="shared" ref="M24:M31" si="24">IF(J24="",L24,(D24/C24)*J24)</f>
        <v>1460.5</v>
      </c>
      <c r="N24" s="33">
        <f t="shared" ref="N24:N31" si="25">L24-M24</f>
        <v>0</v>
      </c>
      <c r="T24">
        <v>1</v>
      </c>
      <c r="U24" s="29">
        <f t="shared" si="12"/>
        <v>0</v>
      </c>
      <c r="V24" s="29">
        <f t="shared" ref="V24:V72" si="26">P24*M24</f>
        <v>0</v>
      </c>
      <c r="W24" s="29">
        <f t="shared" si="14"/>
        <v>0</v>
      </c>
      <c r="X24" s="29">
        <f t="shared" si="15"/>
        <v>0</v>
      </c>
      <c r="Y24" s="29">
        <f t="shared" ref="Y24:Y72" si="27">S24*M24</f>
        <v>0</v>
      </c>
      <c r="Z24" s="29">
        <f t="shared" si="17"/>
        <v>1460.5</v>
      </c>
    </row>
    <row r="25" spans="1:26" x14ac:dyDescent="0.3">
      <c r="A25" s="5" t="s">
        <v>2094</v>
      </c>
      <c r="B25" s="5" t="s">
        <v>2095</v>
      </c>
      <c r="C25" s="5">
        <v>8</v>
      </c>
      <c r="D25" s="6">
        <v>1250</v>
      </c>
      <c r="E25" s="17" t="str">
        <f>VLOOKUP(A25,'forecast data dump'!$A$1:$H$3450,4,FALSE)</f>
        <v>08-Mar-21 A</v>
      </c>
      <c r="F25" s="17">
        <f>VLOOKUP(A25,'forecast data dump'!$A$1:$H$3450,5,FALSE)</f>
        <v>44685</v>
      </c>
      <c r="G25" s="42">
        <f>VLOOKUP(A25,'forecast data dump'!$A$1:$H$3450,8,FALSE)</f>
        <v>0.5</v>
      </c>
      <c r="H25" s="5" t="s">
        <v>3743</v>
      </c>
      <c r="I25" s="39">
        <f t="shared" si="22"/>
        <v>4</v>
      </c>
      <c r="J25" s="5"/>
      <c r="K25" s="5"/>
      <c r="L25" s="33">
        <f t="shared" si="23"/>
        <v>625</v>
      </c>
      <c r="M25" s="33">
        <f t="shared" si="24"/>
        <v>625</v>
      </c>
      <c r="N25" s="33">
        <f t="shared" si="25"/>
        <v>0</v>
      </c>
      <c r="T25">
        <v>1</v>
      </c>
      <c r="U25" s="29">
        <f t="shared" si="12"/>
        <v>0</v>
      </c>
      <c r="V25" s="29">
        <f t="shared" si="26"/>
        <v>0</v>
      </c>
      <c r="W25" s="29">
        <f t="shared" si="14"/>
        <v>0</v>
      </c>
      <c r="X25" s="29">
        <f t="shared" si="15"/>
        <v>0</v>
      </c>
      <c r="Y25" s="29">
        <f t="shared" si="27"/>
        <v>0</v>
      </c>
      <c r="Z25" s="29">
        <f t="shared" si="17"/>
        <v>625</v>
      </c>
    </row>
    <row r="26" spans="1:26" x14ac:dyDescent="0.3">
      <c r="A26" s="5" t="s">
        <v>2094</v>
      </c>
      <c r="B26" s="5" t="s">
        <v>2095</v>
      </c>
      <c r="C26" s="5">
        <v>16</v>
      </c>
      <c r="D26" s="6">
        <v>3276</v>
      </c>
      <c r="E26" s="17" t="str">
        <f>VLOOKUP(A26,'forecast data dump'!$A$1:$H$3450,4,FALSE)</f>
        <v>08-Mar-21 A</v>
      </c>
      <c r="F26" s="17">
        <f>VLOOKUP(A26,'forecast data dump'!$A$1:$H$3450,5,FALSE)</f>
        <v>44685</v>
      </c>
      <c r="G26" s="42">
        <f>VLOOKUP(A26,'forecast data dump'!$A$1:$H$3450,8,FALSE)</f>
        <v>0.5</v>
      </c>
      <c r="H26" s="5" t="s">
        <v>3755</v>
      </c>
      <c r="I26" s="39">
        <f t="shared" si="22"/>
        <v>8</v>
      </c>
      <c r="J26" s="5"/>
      <c r="K26" s="5"/>
      <c r="L26" s="33">
        <f t="shared" si="23"/>
        <v>1638</v>
      </c>
      <c r="M26" s="33">
        <f t="shared" si="24"/>
        <v>1638</v>
      </c>
      <c r="N26" s="33">
        <f t="shared" si="25"/>
        <v>0</v>
      </c>
      <c r="T26">
        <v>1</v>
      </c>
      <c r="U26" s="29">
        <f t="shared" si="12"/>
        <v>0</v>
      </c>
      <c r="V26" s="29">
        <f t="shared" si="26"/>
        <v>0</v>
      </c>
      <c r="W26" s="29">
        <f t="shared" si="14"/>
        <v>0</v>
      </c>
      <c r="X26" s="29">
        <f t="shared" si="15"/>
        <v>0</v>
      </c>
      <c r="Y26" s="29">
        <f t="shared" si="27"/>
        <v>0</v>
      </c>
      <c r="Z26" s="29">
        <f t="shared" si="17"/>
        <v>1638</v>
      </c>
    </row>
    <row r="27" spans="1:26" x14ac:dyDescent="0.3">
      <c r="A27" s="5" t="s">
        <v>2096</v>
      </c>
      <c r="B27" s="5" t="s">
        <v>2097</v>
      </c>
      <c r="C27" s="5">
        <v>16</v>
      </c>
      <c r="D27" s="6">
        <v>2921</v>
      </c>
      <c r="E27" s="17">
        <f>VLOOKUP(A27,'forecast data dump'!$A$1:$H$3450,4,FALSE)</f>
        <v>44679</v>
      </c>
      <c r="F27" s="17">
        <f>VLOOKUP(A27,'forecast data dump'!$A$1:$H$3450,5,FALSE)</f>
        <v>44679</v>
      </c>
      <c r="G27" s="42">
        <f>VLOOKUP(A27,'forecast data dump'!$A$1:$H$3450,8,FALSE)</f>
        <v>0</v>
      </c>
      <c r="H27" s="5" t="s">
        <v>3754</v>
      </c>
      <c r="I27" s="39">
        <f t="shared" si="22"/>
        <v>16</v>
      </c>
      <c r="J27" s="5"/>
      <c r="K27" s="5"/>
      <c r="L27" s="33">
        <f t="shared" si="23"/>
        <v>2921</v>
      </c>
      <c r="M27" s="33">
        <f t="shared" si="24"/>
        <v>2921</v>
      </c>
      <c r="N27" s="33">
        <f t="shared" si="25"/>
        <v>0</v>
      </c>
      <c r="T27">
        <v>1</v>
      </c>
      <c r="U27" s="29">
        <f t="shared" si="12"/>
        <v>0</v>
      </c>
      <c r="V27" s="29">
        <f t="shared" si="26"/>
        <v>0</v>
      </c>
      <c r="W27" s="29">
        <f t="shared" si="14"/>
        <v>0</v>
      </c>
      <c r="X27" s="29">
        <f t="shared" si="15"/>
        <v>0</v>
      </c>
      <c r="Y27" s="29">
        <f t="shared" si="27"/>
        <v>0</v>
      </c>
      <c r="Z27" s="29">
        <f t="shared" si="17"/>
        <v>2921</v>
      </c>
    </row>
    <row r="28" spans="1:26" x14ac:dyDescent="0.3">
      <c r="A28" s="5" t="s">
        <v>2096</v>
      </c>
      <c r="B28" s="5" t="s">
        <v>2097</v>
      </c>
      <c r="C28" s="5">
        <v>8</v>
      </c>
      <c r="D28" s="6">
        <v>1250</v>
      </c>
      <c r="E28" s="17">
        <f>VLOOKUP(A28,'forecast data dump'!$A$1:$H$3450,4,FALSE)</f>
        <v>44679</v>
      </c>
      <c r="F28" s="17">
        <f>VLOOKUP(A28,'forecast data dump'!$A$1:$H$3450,5,FALSE)</f>
        <v>44679</v>
      </c>
      <c r="G28" s="42">
        <f>VLOOKUP(A28,'forecast data dump'!$A$1:$H$3450,8,FALSE)</f>
        <v>0</v>
      </c>
      <c r="H28" s="5" t="s">
        <v>3743</v>
      </c>
      <c r="I28" s="39">
        <f t="shared" si="22"/>
        <v>8</v>
      </c>
      <c r="J28" s="5"/>
      <c r="K28" s="5"/>
      <c r="L28" s="33">
        <f t="shared" si="23"/>
        <v>1250</v>
      </c>
      <c r="M28" s="33">
        <f t="shared" si="24"/>
        <v>1250</v>
      </c>
      <c r="N28" s="33">
        <f t="shared" si="25"/>
        <v>0</v>
      </c>
      <c r="T28">
        <v>1</v>
      </c>
      <c r="U28" s="29">
        <f t="shared" si="12"/>
        <v>0</v>
      </c>
      <c r="V28" s="29">
        <f t="shared" si="26"/>
        <v>0</v>
      </c>
      <c r="W28" s="29">
        <f t="shared" si="14"/>
        <v>0</v>
      </c>
      <c r="X28" s="29">
        <f t="shared" si="15"/>
        <v>0</v>
      </c>
      <c r="Y28" s="29">
        <f t="shared" si="27"/>
        <v>0</v>
      </c>
      <c r="Z28" s="29">
        <f t="shared" si="17"/>
        <v>1250</v>
      </c>
    </row>
    <row r="29" spans="1:26" x14ac:dyDescent="0.3">
      <c r="A29" s="5" t="s">
        <v>2096</v>
      </c>
      <c r="B29" s="5" t="s">
        <v>2097</v>
      </c>
      <c r="C29" s="5">
        <v>16</v>
      </c>
      <c r="D29" s="6">
        <v>3276</v>
      </c>
      <c r="E29" s="17">
        <f>VLOOKUP(A29,'forecast data dump'!$A$1:$H$3450,4,FALSE)</f>
        <v>44679</v>
      </c>
      <c r="F29" s="17">
        <f>VLOOKUP(A29,'forecast data dump'!$A$1:$H$3450,5,FALSE)</f>
        <v>44679</v>
      </c>
      <c r="G29" s="42">
        <f>VLOOKUP(A29,'forecast data dump'!$A$1:$H$3450,8,FALSE)</f>
        <v>0</v>
      </c>
      <c r="H29" s="5" t="s">
        <v>3755</v>
      </c>
      <c r="I29" s="39">
        <f t="shared" si="22"/>
        <v>16</v>
      </c>
      <c r="J29" s="5"/>
      <c r="K29" s="5"/>
      <c r="L29" s="33">
        <f t="shared" si="23"/>
        <v>3276</v>
      </c>
      <c r="M29" s="33">
        <f t="shared" si="24"/>
        <v>3276</v>
      </c>
      <c r="N29" s="33">
        <f t="shared" si="25"/>
        <v>0</v>
      </c>
      <c r="T29">
        <v>1</v>
      </c>
      <c r="U29" s="29">
        <f t="shared" si="12"/>
        <v>0</v>
      </c>
      <c r="V29" s="29">
        <f t="shared" si="26"/>
        <v>0</v>
      </c>
      <c r="W29" s="29">
        <f t="shared" si="14"/>
        <v>0</v>
      </c>
      <c r="X29" s="29">
        <f t="shared" si="15"/>
        <v>0</v>
      </c>
      <c r="Y29" s="29">
        <f t="shared" si="27"/>
        <v>0</v>
      </c>
      <c r="Z29" s="29">
        <f t="shared" si="17"/>
        <v>3276</v>
      </c>
    </row>
    <row r="30" spans="1:26" x14ac:dyDescent="0.3">
      <c r="A30" s="5" t="s">
        <v>2098</v>
      </c>
      <c r="B30" s="5" t="s">
        <v>2099</v>
      </c>
      <c r="C30" s="5">
        <v>16</v>
      </c>
      <c r="D30" s="6">
        <v>2921</v>
      </c>
      <c r="E30" s="17">
        <f>VLOOKUP(A30,'forecast data dump'!$A$1:$H$3450,4,FALSE)</f>
        <v>44680</v>
      </c>
      <c r="F30" s="17">
        <f>VLOOKUP(A30,'forecast data dump'!$A$1:$H$3450,5,FALSE)</f>
        <v>44680</v>
      </c>
      <c r="G30" s="42">
        <f>VLOOKUP(A30,'forecast data dump'!$A$1:$H$3450,8,FALSE)</f>
        <v>0</v>
      </c>
      <c r="H30" s="5" t="s">
        <v>3754</v>
      </c>
      <c r="I30" s="39">
        <f t="shared" si="22"/>
        <v>16</v>
      </c>
      <c r="J30" s="5"/>
      <c r="K30" s="5"/>
      <c r="L30" s="33">
        <f t="shared" si="23"/>
        <v>2921</v>
      </c>
      <c r="M30" s="33">
        <f t="shared" si="24"/>
        <v>2921</v>
      </c>
      <c r="N30" s="33">
        <f t="shared" si="25"/>
        <v>0</v>
      </c>
      <c r="T30">
        <v>1</v>
      </c>
      <c r="U30" s="29">
        <f t="shared" si="12"/>
        <v>0</v>
      </c>
      <c r="V30" s="29">
        <f t="shared" si="26"/>
        <v>0</v>
      </c>
      <c r="W30" s="29">
        <f t="shared" si="14"/>
        <v>0</v>
      </c>
      <c r="X30" s="29">
        <f t="shared" si="15"/>
        <v>0</v>
      </c>
      <c r="Y30" s="29">
        <f t="shared" si="27"/>
        <v>0</v>
      </c>
      <c r="Z30" s="29">
        <f t="shared" si="17"/>
        <v>2921</v>
      </c>
    </row>
    <row r="31" spans="1:26" x14ac:dyDescent="0.3">
      <c r="A31" s="5" t="s">
        <v>2098</v>
      </c>
      <c r="B31" s="5" t="s">
        <v>2099</v>
      </c>
      <c r="C31" s="5">
        <v>16</v>
      </c>
      <c r="D31" s="6">
        <v>3276</v>
      </c>
      <c r="E31" s="17">
        <f>VLOOKUP(A31,'forecast data dump'!$A$1:$H$3450,4,FALSE)</f>
        <v>44680</v>
      </c>
      <c r="F31" s="17">
        <f>VLOOKUP(A31,'forecast data dump'!$A$1:$H$3450,5,FALSE)</f>
        <v>44680</v>
      </c>
      <c r="G31" s="42">
        <f>VLOOKUP(A31,'forecast data dump'!$A$1:$H$3450,8,FALSE)</f>
        <v>0</v>
      </c>
      <c r="H31" s="5" t="s">
        <v>3755</v>
      </c>
      <c r="I31" s="39">
        <f t="shared" si="22"/>
        <v>16</v>
      </c>
      <c r="J31" s="5"/>
      <c r="K31" s="5"/>
      <c r="L31" s="33">
        <f t="shared" si="23"/>
        <v>3276</v>
      </c>
      <c r="M31" s="33">
        <f t="shared" si="24"/>
        <v>3276</v>
      </c>
      <c r="N31" s="33">
        <f t="shared" si="25"/>
        <v>0</v>
      </c>
      <c r="T31">
        <v>1</v>
      </c>
      <c r="U31" s="29">
        <f t="shared" si="12"/>
        <v>0</v>
      </c>
      <c r="V31" s="29">
        <f t="shared" si="26"/>
        <v>0</v>
      </c>
      <c r="W31" s="29">
        <f t="shared" si="14"/>
        <v>0</v>
      </c>
      <c r="X31" s="29">
        <f t="shared" si="15"/>
        <v>0</v>
      </c>
      <c r="Y31" s="29">
        <f t="shared" si="27"/>
        <v>0</v>
      </c>
      <c r="Z31" s="29">
        <f t="shared" si="17"/>
        <v>3276</v>
      </c>
    </row>
    <row r="32" spans="1:26" x14ac:dyDescent="0.3">
      <c r="A32" s="3" t="s">
        <v>7847</v>
      </c>
      <c r="B32" s="3"/>
      <c r="C32" s="3"/>
      <c r="D32" s="4"/>
      <c r="E32" s="15"/>
      <c r="F32" s="15"/>
      <c r="G32" s="41"/>
      <c r="H32" s="3"/>
      <c r="I32" s="38"/>
      <c r="J32" s="3"/>
      <c r="K32" s="3"/>
      <c r="L32" s="32"/>
      <c r="M32" s="32"/>
      <c r="N32" s="32"/>
      <c r="U32" s="29"/>
      <c r="V32" s="29"/>
      <c r="W32" s="29"/>
      <c r="X32" s="29"/>
      <c r="Y32" s="29"/>
      <c r="Z32" s="29"/>
    </row>
    <row r="33" spans="1:26" x14ac:dyDescent="0.3">
      <c r="A33" s="5" t="s">
        <v>2100</v>
      </c>
      <c r="B33" s="5" t="s">
        <v>2101</v>
      </c>
      <c r="C33" s="5">
        <v>60</v>
      </c>
      <c r="D33" s="6">
        <v>8053</v>
      </c>
      <c r="E33" s="17">
        <f>VLOOKUP(A33,'forecast data dump'!$A$1:$H$3450,4,FALSE)</f>
        <v>44686</v>
      </c>
      <c r="F33" s="17">
        <f>VLOOKUP(A33,'forecast data dump'!$A$1:$H$3450,5,FALSE)</f>
        <v>44706</v>
      </c>
      <c r="G33" s="42">
        <f>VLOOKUP(A33,'forecast data dump'!$A$1:$H$3450,8,FALSE)</f>
        <v>0</v>
      </c>
      <c r="H33" s="5" t="s">
        <v>3758</v>
      </c>
      <c r="I33" s="39">
        <f t="shared" ref="I33:I46" si="28">C33*(1-G33)</f>
        <v>60</v>
      </c>
      <c r="J33" s="5"/>
      <c r="K33" s="5"/>
      <c r="L33" s="33">
        <f t="shared" ref="L33:L46" si="29">D33*(1-G33)</f>
        <v>8053</v>
      </c>
      <c r="M33" s="33">
        <f t="shared" ref="M33:M46" si="30">IF(J33="",L33,(D33/C33)*J33)</f>
        <v>8053</v>
      </c>
      <c r="N33" s="33">
        <f t="shared" ref="N33:N46" si="31">L33-M33</f>
        <v>0</v>
      </c>
      <c r="T33">
        <v>1</v>
      </c>
      <c r="U33" s="29">
        <f t="shared" si="12"/>
        <v>0</v>
      </c>
      <c r="V33" s="29">
        <f t="shared" si="26"/>
        <v>0</v>
      </c>
      <c r="W33" s="29">
        <f t="shared" si="14"/>
        <v>0</v>
      </c>
      <c r="X33" s="29">
        <f t="shared" si="15"/>
        <v>0</v>
      </c>
      <c r="Y33" s="29">
        <f t="shared" si="27"/>
        <v>0</v>
      </c>
      <c r="Z33" s="29">
        <f t="shared" si="17"/>
        <v>8053</v>
      </c>
    </row>
    <row r="34" spans="1:26" x14ac:dyDescent="0.3">
      <c r="A34" s="5" t="s">
        <v>2100</v>
      </c>
      <c r="B34" s="5" t="s">
        <v>2101</v>
      </c>
      <c r="C34" s="5">
        <v>60</v>
      </c>
      <c r="D34" s="6">
        <v>7264</v>
      </c>
      <c r="E34" s="17">
        <f>VLOOKUP(A34,'forecast data dump'!$A$1:$H$3450,4,FALSE)</f>
        <v>44686</v>
      </c>
      <c r="F34" s="17">
        <f>VLOOKUP(A34,'forecast data dump'!$A$1:$H$3450,5,FALSE)</f>
        <v>44706</v>
      </c>
      <c r="G34" s="42">
        <f>VLOOKUP(A34,'forecast data dump'!$A$1:$H$3450,8,FALSE)</f>
        <v>0</v>
      </c>
      <c r="H34" s="5" t="s">
        <v>3759</v>
      </c>
      <c r="I34" s="39">
        <f t="shared" si="28"/>
        <v>60</v>
      </c>
      <c r="J34" s="5"/>
      <c r="K34" s="5"/>
      <c r="L34" s="33">
        <f t="shared" si="29"/>
        <v>7264</v>
      </c>
      <c r="M34" s="33">
        <f t="shared" si="30"/>
        <v>7264</v>
      </c>
      <c r="N34" s="33">
        <f t="shared" si="31"/>
        <v>0</v>
      </c>
      <c r="T34">
        <v>1</v>
      </c>
      <c r="U34" s="29">
        <f t="shared" si="12"/>
        <v>0</v>
      </c>
      <c r="V34" s="29">
        <f t="shared" si="26"/>
        <v>0</v>
      </c>
      <c r="W34" s="29">
        <f t="shared" si="14"/>
        <v>0</v>
      </c>
      <c r="X34" s="29">
        <f t="shared" si="15"/>
        <v>0</v>
      </c>
      <c r="Y34" s="29">
        <f t="shared" si="27"/>
        <v>0</v>
      </c>
      <c r="Z34" s="29">
        <f t="shared" si="17"/>
        <v>7264</v>
      </c>
    </row>
    <row r="35" spans="1:26" x14ac:dyDescent="0.3">
      <c r="A35" s="5" t="s">
        <v>2100</v>
      </c>
      <c r="B35" s="5" t="s">
        <v>2101</v>
      </c>
      <c r="C35" s="5">
        <v>60</v>
      </c>
      <c r="D35" s="6">
        <v>12285</v>
      </c>
      <c r="E35" s="17">
        <f>VLOOKUP(A35,'forecast data dump'!$A$1:$H$3450,4,FALSE)</f>
        <v>44686</v>
      </c>
      <c r="F35" s="17">
        <f>VLOOKUP(A35,'forecast data dump'!$A$1:$H$3450,5,FALSE)</f>
        <v>44706</v>
      </c>
      <c r="G35" s="42">
        <f>VLOOKUP(A35,'forecast data dump'!$A$1:$H$3450,8,FALSE)</f>
        <v>0</v>
      </c>
      <c r="H35" s="5" t="s">
        <v>3755</v>
      </c>
      <c r="I35" s="39">
        <f t="shared" si="28"/>
        <v>60</v>
      </c>
      <c r="J35" s="5"/>
      <c r="K35" s="5"/>
      <c r="L35" s="33">
        <f t="shared" si="29"/>
        <v>12285</v>
      </c>
      <c r="M35" s="33">
        <f t="shared" si="30"/>
        <v>12285</v>
      </c>
      <c r="N35" s="33">
        <f t="shared" si="31"/>
        <v>0</v>
      </c>
      <c r="T35">
        <v>1</v>
      </c>
      <c r="U35" s="29">
        <f t="shared" si="12"/>
        <v>0</v>
      </c>
      <c r="V35" s="29">
        <f t="shared" si="26"/>
        <v>0</v>
      </c>
      <c r="W35" s="29">
        <f t="shared" si="14"/>
        <v>0</v>
      </c>
      <c r="X35" s="29">
        <f t="shared" si="15"/>
        <v>0</v>
      </c>
      <c r="Y35" s="29">
        <f t="shared" si="27"/>
        <v>0</v>
      </c>
      <c r="Z35" s="29">
        <f t="shared" si="17"/>
        <v>12285</v>
      </c>
    </row>
    <row r="36" spans="1:26" x14ac:dyDescent="0.3">
      <c r="A36" s="5" t="s">
        <v>2102</v>
      </c>
      <c r="B36" s="5" t="s">
        <v>2103</v>
      </c>
      <c r="C36" s="5">
        <v>8</v>
      </c>
      <c r="D36" s="6">
        <v>1074</v>
      </c>
      <c r="E36" s="17">
        <f>VLOOKUP(A36,'forecast data dump'!$A$1:$H$3450,4,FALSE)</f>
        <v>44707</v>
      </c>
      <c r="F36" s="17">
        <f>VLOOKUP(A36,'forecast data dump'!$A$1:$H$3450,5,FALSE)</f>
        <v>44708</v>
      </c>
      <c r="G36" s="42">
        <f>VLOOKUP(A36,'forecast data dump'!$A$1:$H$3450,8,FALSE)</f>
        <v>0</v>
      </c>
      <c r="H36" s="5" t="s">
        <v>3758</v>
      </c>
      <c r="I36" s="39">
        <f t="shared" si="28"/>
        <v>8</v>
      </c>
      <c r="J36" s="5"/>
      <c r="K36" s="5"/>
      <c r="L36" s="33">
        <f t="shared" si="29"/>
        <v>1074</v>
      </c>
      <c r="M36" s="33">
        <f t="shared" si="30"/>
        <v>1074</v>
      </c>
      <c r="N36" s="33">
        <f t="shared" si="31"/>
        <v>0</v>
      </c>
      <c r="T36">
        <v>1</v>
      </c>
      <c r="U36" s="29">
        <f t="shared" si="12"/>
        <v>0</v>
      </c>
      <c r="V36" s="29">
        <f t="shared" si="26"/>
        <v>0</v>
      </c>
      <c r="W36" s="29">
        <f t="shared" si="14"/>
        <v>0</v>
      </c>
      <c r="X36" s="29">
        <f t="shared" si="15"/>
        <v>0</v>
      </c>
      <c r="Y36" s="29">
        <f t="shared" si="27"/>
        <v>0</v>
      </c>
      <c r="Z36" s="29">
        <f t="shared" si="17"/>
        <v>1074</v>
      </c>
    </row>
    <row r="37" spans="1:26" x14ac:dyDescent="0.3">
      <c r="A37" s="5" t="s">
        <v>2102</v>
      </c>
      <c r="B37" s="5" t="s">
        <v>2103</v>
      </c>
      <c r="C37" s="5">
        <v>8</v>
      </c>
      <c r="D37" s="6">
        <v>969</v>
      </c>
      <c r="E37" s="17">
        <f>VLOOKUP(A37,'forecast data dump'!$A$1:$H$3450,4,FALSE)</f>
        <v>44707</v>
      </c>
      <c r="F37" s="17">
        <f>VLOOKUP(A37,'forecast data dump'!$A$1:$H$3450,5,FALSE)</f>
        <v>44708</v>
      </c>
      <c r="G37" s="42">
        <f>VLOOKUP(A37,'forecast data dump'!$A$1:$H$3450,8,FALSE)</f>
        <v>0</v>
      </c>
      <c r="H37" s="5" t="s">
        <v>3759</v>
      </c>
      <c r="I37" s="39">
        <f t="shared" si="28"/>
        <v>8</v>
      </c>
      <c r="J37" s="5"/>
      <c r="K37" s="5"/>
      <c r="L37" s="33">
        <f t="shared" si="29"/>
        <v>969</v>
      </c>
      <c r="M37" s="33">
        <f t="shared" si="30"/>
        <v>969</v>
      </c>
      <c r="N37" s="33">
        <f t="shared" si="31"/>
        <v>0</v>
      </c>
      <c r="T37">
        <v>1</v>
      </c>
      <c r="U37" s="29">
        <f t="shared" si="12"/>
        <v>0</v>
      </c>
      <c r="V37" s="29">
        <f t="shared" si="26"/>
        <v>0</v>
      </c>
      <c r="W37" s="29">
        <f t="shared" si="14"/>
        <v>0</v>
      </c>
      <c r="X37" s="29">
        <f t="shared" si="15"/>
        <v>0</v>
      </c>
      <c r="Y37" s="29">
        <f t="shared" si="27"/>
        <v>0</v>
      </c>
      <c r="Z37" s="29">
        <f t="shared" si="17"/>
        <v>969</v>
      </c>
    </row>
    <row r="38" spans="1:26" x14ac:dyDescent="0.3">
      <c r="A38" s="5" t="s">
        <v>2102</v>
      </c>
      <c r="B38" s="5" t="s">
        <v>2103</v>
      </c>
      <c r="C38" s="5">
        <v>8</v>
      </c>
      <c r="D38" s="6">
        <v>1638</v>
      </c>
      <c r="E38" s="17">
        <f>VLOOKUP(A38,'forecast data dump'!$A$1:$H$3450,4,FALSE)</f>
        <v>44707</v>
      </c>
      <c r="F38" s="17">
        <f>VLOOKUP(A38,'forecast data dump'!$A$1:$H$3450,5,FALSE)</f>
        <v>44708</v>
      </c>
      <c r="G38" s="42">
        <f>VLOOKUP(A38,'forecast data dump'!$A$1:$H$3450,8,FALSE)</f>
        <v>0</v>
      </c>
      <c r="H38" s="5" t="s">
        <v>3755</v>
      </c>
      <c r="I38" s="39">
        <f t="shared" si="28"/>
        <v>8</v>
      </c>
      <c r="J38" s="5"/>
      <c r="K38" s="5"/>
      <c r="L38" s="33">
        <f t="shared" si="29"/>
        <v>1638</v>
      </c>
      <c r="M38" s="33">
        <f t="shared" si="30"/>
        <v>1638</v>
      </c>
      <c r="N38" s="33">
        <f t="shared" si="31"/>
        <v>0</v>
      </c>
      <c r="T38">
        <v>1</v>
      </c>
      <c r="U38" s="29">
        <f t="shared" si="12"/>
        <v>0</v>
      </c>
      <c r="V38" s="29">
        <f t="shared" si="26"/>
        <v>0</v>
      </c>
      <c r="W38" s="29">
        <f t="shared" si="14"/>
        <v>0</v>
      </c>
      <c r="X38" s="29">
        <f t="shared" si="15"/>
        <v>0</v>
      </c>
      <c r="Y38" s="29">
        <f t="shared" si="27"/>
        <v>0</v>
      </c>
      <c r="Z38" s="29">
        <f t="shared" si="17"/>
        <v>1638</v>
      </c>
    </row>
    <row r="39" spans="1:26" x14ac:dyDescent="0.3">
      <c r="A39" s="5" t="s">
        <v>2104</v>
      </c>
      <c r="B39" s="5" t="s">
        <v>2105</v>
      </c>
      <c r="C39" s="5">
        <v>20</v>
      </c>
      <c r="D39" s="6">
        <v>2684</v>
      </c>
      <c r="E39" s="17">
        <f>VLOOKUP(A39,'forecast data dump'!$A$1:$H$3450,4,FALSE)</f>
        <v>44712</v>
      </c>
      <c r="F39" s="17">
        <f>VLOOKUP(A39,'forecast data dump'!$A$1:$H$3450,5,FALSE)</f>
        <v>44718</v>
      </c>
      <c r="G39" s="42">
        <f>VLOOKUP(A39,'forecast data dump'!$A$1:$H$3450,8,FALSE)</f>
        <v>0</v>
      </c>
      <c r="H39" s="5" t="s">
        <v>3758</v>
      </c>
      <c r="I39" s="39">
        <f t="shared" si="28"/>
        <v>20</v>
      </c>
      <c r="J39" s="5"/>
      <c r="K39" s="5"/>
      <c r="L39" s="33">
        <f t="shared" si="29"/>
        <v>2684</v>
      </c>
      <c r="M39" s="33">
        <f t="shared" si="30"/>
        <v>2684</v>
      </c>
      <c r="N39" s="33">
        <f t="shared" si="31"/>
        <v>0</v>
      </c>
      <c r="T39">
        <v>1</v>
      </c>
      <c r="U39" s="29">
        <f t="shared" si="12"/>
        <v>0</v>
      </c>
      <c r="V39" s="29">
        <f t="shared" si="26"/>
        <v>0</v>
      </c>
      <c r="W39" s="29">
        <f t="shared" si="14"/>
        <v>0</v>
      </c>
      <c r="X39" s="29">
        <f t="shared" si="15"/>
        <v>0</v>
      </c>
      <c r="Y39" s="29">
        <f t="shared" si="27"/>
        <v>0</v>
      </c>
      <c r="Z39" s="29">
        <f t="shared" si="17"/>
        <v>2684</v>
      </c>
    </row>
    <row r="40" spans="1:26" x14ac:dyDescent="0.3">
      <c r="A40" s="5" t="s">
        <v>2104</v>
      </c>
      <c r="B40" s="5" t="s">
        <v>2105</v>
      </c>
      <c r="C40" s="5">
        <v>80</v>
      </c>
      <c r="D40" s="6">
        <v>14607</v>
      </c>
      <c r="E40" s="17">
        <f>VLOOKUP(A40,'forecast data dump'!$A$1:$H$3450,4,FALSE)</f>
        <v>44712</v>
      </c>
      <c r="F40" s="17">
        <f>VLOOKUP(A40,'forecast data dump'!$A$1:$H$3450,5,FALSE)</f>
        <v>44718</v>
      </c>
      <c r="G40" s="42">
        <f>VLOOKUP(A40,'forecast data dump'!$A$1:$H$3450,8,FALSE)</f>
        <v>0</v>
      </c>
      <c r="H40" s="5" t="s">
        <v>3754</v>
      </c>
      <c r="I40" s="39">
        <f t="shared" si="28"/>
        <v>80</v>
      </c>
      <c r="J40" s="5"/>
      <c r="K40" s="5"/>
      <c r="L40" s="33">
        <f t="shared" si="29"/>
        <v>14607</v>
      </c>
      <c r="M40" s="33">
        <f t="shared" si="30"/>
        <v>14607</v>
      </c>
      <c r="N40" s="33">
        <f t="shared" si="31"/>
        <v>0</v>
      </c>
      <c r="T40">
        <v>1</v>
      </c>
      <c r="U40" s="29">
        <f t="shared" si="12"/>
        <v>0</v>
      </c>
      <c r="V40" s="29">
        <f t="shared" si="26"/>
        <v>0</v>
      </c>
      <c r="W40" s="29">
        <f t="shared" si="14"/>
        <v>0</v>
      </c>
      <c r="X40" s="29">
        <f t="shared" si="15"/>
        <v>0</v>
      </c>
      <c r="Y40" s="29">
        <f t="shared" si="27"/>
        <v>0</v>
      </c>
      <c r="Z40" s="29">
        <f t="shared" si="17"/>
        <v>14607</v>
      </c>
    </row>
    <row r="41" spans="1:26" x14ac:dyDescent="0.3">
      <c r="A41" s="5" t="s">
        <v>2104</v>
      </c>
      <c r="B41" s="5" t="s">
        <v>2105</v>
      </c>
      <c r="C41" s="5">
        <v>80</v>
      </c>
      <c r="D41" s="6">
        <v>9686</v>
      </c>
      <c r="E41" s="17">
        <f>VLOOKUP(A41,'forecast data dump'!$A$1:$H$3450,4,FALSE)</f>
        <v>44712</v>
      </c>
      <c r="F41" s="17">
        <f>VLOOKUP(A41,'forecast data dump'!$A$1:$H$3450,5,FALSE)</f>
        <v>44718</v>
      </c>
      <c r="G41" s="42">
        <f>VLOOKUP(A41,'forecast data dump'!$A$1:$H$3450,8,FALSE)</f>
        <v>0</v>
      </c>
      <c r="H41" s="5" t="s">
        <v>3759</v>
      </c>
      <c r="I41" s="39">
        <f t="shared" si="28"/>
        <v>80</v>
      </c>
      <c r="J41" s="5"/>
      <c r="K41" s="5"/>
      <c r="L41" s="33">
        <f t="shared" si="29"/>
        <v>9686</v>
      </c>
      <c r="M41" s="33">
        <f t="shared" si="30"/>
        <v>9686</v>
      </c>
      <c r="N41" s="33">
        <f t="shared" si="31"/>
        <v>0</v>
      </c>
      <c r="T41">
        <v>1</v>
      </c>
      <c r="U41" s="29">
        <f t="shared" si="12"/>
        <v>0</v>
      </c>
      <c r="V41" s="29">
        <f t="shared" si="26"/>
        <v>0</v>
      </c>
      <c r="W41" s="29">
        <f t="shared" si="14"/>
        <v>0</v>
      </c>
      <c r="X41" s="29">
        <f t="shared" si="15"/>
        <v>0</v>
      </c>
      <c r="Y41" s="29">
        <f t="shared" si="27"/>
        <v>0</v>
      </c>
      <c r="Z41" s="29">
        <f t="shared" si="17"/>
        <v>9686</v>
      </c>
    </row>
    <row r="42" spans="1:26" x14ac:dyDescent="0.3">
      <c r="A42" s="5" t="s">
        <v>2104</v>
      </c>
      <c r="B42" s="5" t="s">
        <v>2105</v>
      </c>
      <c r="C42" s="5">
        <v>80</v>
      </c>
      <c r="D42" s="6">
        <v>16380</v>
      </c>
      <c r="E42" s="17">
        <f>VLOOKUP(A42,'forecast data dump'!$A$1:$H$3450,4,FALSE)</f>
        <v>44712</v>
      </c>
      <c r="F42" s="17">
        <f>VLOOKUP(A42,'forecast data dump'!$A$1:$H$3450,5,FALSE)</f>
        <v>44718</v>
      </c>
      <c r="G42" s="42">
        <f>VLOOKUP(A42,'forecast data dump'!$A$1:$H$3450,8,FALSE)</f>
        <v>0</v>
      </c>
      <c r="H42" s="5" t="s">
        <v>3755</v>
      </c>
      <c r="I42" s="39">
        <f t="shared" si="28"/>
        <v>80</v>
      </c>
      <c r="J42" s="5"/>
      <c r="K42" s="5"/>
      <c r="L42" s="33">
        <f t="shared" si="29"/>
        <v>16380</v>
      </c>
      <c r="M42" s="33">
        <f t="shared" si="30"/>
        <v>16380</v>
      </c>
      <c r="N42" s="33">
        <f t="shared" si="31"/>
        <v>0</v>
      </c>
      <c r="T42">
        <v>1</v>
      </c>
      <c r="U42" s="29">
        <f t="shared" si="12"/>
        <v>0</v>
      </c>
      <c r="V42" s="29">
        <f t="shared" si="26"/>
        <v>0</v>
      </c>
      <c r="W42" s="29">
        <f t="shared" si="14"/>
        <v>0</v>
      </c>
      <c r="X42" s="29">
        <f t="shared" si="15"/>
        <v>0</v>
      </c>
      <c r="Y42" s="29">
        <f t="shared" si="27"/>
        <v>0</v>
      </c>
      <c r="Z42" s="29">
        <f t="shared" si="17"/>
        <v>16380</v>
      </c>
    </row>
    <row r="43" spans="1:26" x14ac:dyDescent="0.3">
      <c r="A43" s="5" t="s">
        <v>2106</v>
      </c>
      <c r="B43" s="5" t="s">
        <v>2107</v>
      </c>
      <c r="C43" s="5">
        <v>20</v>
      </c>
      <c r="D43" s="6">
        <v>2684</v>
      </c>
      <c r="E43" s="17">
        <f>VLOOKUP(A43,'forecast data dump'!$A$1:$H$3450,4,FALSE)</f>
        <v>44719</v>
      </c>
      <c r="F43" s="17">
        <f>VLOOKUP(A43,'forecast data dump'!$A$1:$H$3450,5,FALSE)</f>
        <v>44725</v>
      </c>
      <c r="G43" s="42">
        <f>VLOOKUP(A43,'forecast data dump'!$A$1:$H$3450,8,FALSE)</f>
        <v>0</v>
      </c>
      <c r="H43" s="5" t="s">
        <v>3758</v>
      </c>
      <c r="I43" s="39">
        <f t="shared" si="28"/>
        <v>20</v>
      </c>
      <c r="J43" s="5"/>
      <c r="K43" s="5"/>
      <c r="L43" s="33">
        <f t="shared" si="29"/>
        <v>2684</v>
      </c>
      <c r="M43" s="33">
        <f t="shared" si="30"/>
        <v>2684</v>
      </c>
      <c r="N43" s="33">
        <f t="shared" si="31"/>
        <v>0</v>
      </c>
      <c r="T43">
        <v>1</v>
      </c>
      <c r="U43" s="29">
        <f t="shared" si="12"/>
        <v>0</v>
      </c>
      <c r="V43" s="29">
        <f t="shared" si="26"/>
        <v>0</v>
      </c>
      <c r="W43" s="29">
        <f t="shared" si="14"/>
        <v>0</v>
      </c>
      <c r="X43" s="29">
        <f t="shared" si="15"/>
        <v>0</v>
      </c>
      <c r="Y43" s="29">
        <f t="shared" si="27"/>
        <v>0</v>
      </c>
      <c r="Z43" s="29">
        <f t="shared" si="17"/>
        <v>2684</v>
      </c>
    </row>
    <row r="44" spans="1:26" x14ac:dyDescent="0.3">
      <c r="A44" s="5" t="s">
        <v>2106</v>
      </c>
      <c r="B44" s="5" t="s">
        <v>2107</v>
      </c>
      <c r="C44" s="5">
        <v>80</v>
      </c>
      <c r="D44" s="6">
        <v>14607</v>
      </c>
      <c r="E44" s="17">
        <f>VLOOKUP(A44,'forecast data dump'!$A$1:$H$3450,4,FALSE)</f>
        <v>44719</v>
      </c>
      <c r="F44" s="17">
        <f>VLOOKUP(A44,'forecast data dump'!$A$1:$H$3450,5,FALSE)</f>
        <v>44725</v>
      </c>
      <c r="G44" s="42">
        <f>VLOOKUP(A44,'forecast data dump'!$A$1:$H$3450,8,FALSE)</f>
        <v>0</v>
      </c>
      <c r="H44" s="5" t="s">
        <v>3754</v>
      </c>
      <c r="I44" s="39">
        <f t="shared" si="28"/>
        <v>80</v>
      </c>
      <c r="J44" s="5"/>
      <c r="K44" s="5"/>
      <c r="L44" s="33">
        <f t="shared" si="29"/>
        <v>14607</v>
      </c>
      <c r="M44" s="33">
        <f t="shared" si="30"/>
        <v>14607</v>
      </c>
      <c r="N44" s="33">
        <f t="shared" si="31"/>
        <v>0</v>
      </c>
      <c r="T44">
        <v>1</v>
      </c>
      <c r="U44" s="29">
        <f t="shared" si="12"/>
        <v>0</v>
      </c>
      <c r="V44" s="29">
        <f t="shared" si="26"/>
        <v>0</v>
      </c>
      <c r="W44" s="29">
        <f t="shared" si="14"/>
        <v>0</v>
      </c>
      <c r="X44" s="29">
        <f t="shared" si="15"/>
        <v>0</v>
      </c>
      <c r="Y44" s="29">
        <f t="shared" si="27"/>
        <v>0</v>
      </c>
      <c r="Z44" s="29">
        <f t="shared" si="17"/>
        <v>14607</v>
      </c>
    </row>
    <row r="45" spans="1:26" x14ac:dyDescent="0.3">
      <c r="A45" s="5" t="s">
        <v>2106</v>
      </c>
      <c r="B45" s="5" t="s">
        <v>2107</v>
      </c>
      <c r="C45" s="5">
        <v>80</v>
      </c>
      <c r="D45" s="6">
        <v>9686</v>
      </c>
      <c r="E45" s="17">
        <f>VLOOKUP(A45,'forecast data dump'!$A$1:$H$3450,4,FALSE)</f>
        <v>44719</v>
      </c>
      <c r="F45" s="17">
        <f>VLOOKUP(A45,'forecast data dump'!$A$1:$H$3450,5,FALSE)</f>
        <v>44725</v>
      </c>
      <c r="G45" s="42">
        <f>VLOOKUP(A45,'forecast data dump'!$A$1:$H$3450,8,FALSE)</f>
        <v>0</v>
      </c>
      <c r="H45" s="5" t="s">
        <v>3759</v>
      </c>
      <c r="I45" s="39">
        <f t="shared" si="28"/>
        <v>80</v>
      </c>
      <c r="J45" s="5"/>
      <c r="K45" s="5"/>
      <c r="L45" s="33">
        <f t="shared" si="29"/>
        <v>9686</v>
      </c>
      <c r="M45" s="33">
        <f t="shared" si="30"/>
        <v>9686</v>
      </c>
      <c r="N45" s="33">
        <f t="shared" si="31"/>
        <v>0</v>
      </c>
      <c r="T45">
        <v>1</v>
      </c>
      <c r="U45" s="29">
        <f t="shared" si="12"/>
        <v>0</v>
      </c>
      <c r="V45" s="29">
        <f t="shared" si="26"/>
        <v>0</v>
      </c>
      <c r="W45" s="29">
        <f t="shared" si="14"/>
        <v>0</v>
      </c>
      <c r="X45" s="29">
        <f t="shared" si="15"/>
        <v>0</v>
      </c>
      <c r="Y45" s="29">
        <f t="shared" si="27"/>
        <v>0</v>
      </c>
      <c r="Z45" s="29">
        <f t="shared" si="17"/>
        <v>9686</v>
      </c>
    </row>
    <row r="46" spans="1:26" x14ac:dyDescent="0.3">
      <c r="A46" s="5" t="s">
        <v>2106</v>
      </c>
      <c r="B46" s="5" t="s">
        <v>2107</v>
      </c>
      <c r="C46" s="5">
        <v>80</v>
      </c>
      <c r="D46" s="6">
        <v>16380</v>
      </c>
      <c r="E46" s="17">
        <f>VLOOKUP(A46,'forecast data dump'!$A$1:$H$3450,4,FALSE)</f>
        <v>44719</v>
      </c>
      <c r="F46" s="17">
        <f>VLOOKUP(A46,'forecast data dump'!$A$1:$H$3450,5,FALSE)</f>
        <v>44725</v>
      </c>
      <c r="G46" s="42">
        <f>VLOOKUP(A46,'forecast data dump'!$A$1:$H$3450,8,FALSE)</f>
        <v>0</v>
      </c>
      <c r="H46" s="5" t="s">
        <v>3755</v>
      </c>
      <c r="I46" s="39">
        <f t="shared" si="28"/>
        <v>80</v>
      </c>
      <c r="J46" s="5"/>
      <c r="K46" s="5"/>
      <c r="L46" s="33">
        <f t="shared" si="29"/>
        <v>16380</v>
      </c>
      <c r="M46" s="33">
        <f t="shared" si="30"/>
        <v>16380</v>
      </c>
      <c r="N46" s="33">
        <f t="shared" si="31"/>
        <v>0</v>
      </c>
      <c r="T46">
        <v>1</v>
      </c>
      <c r="U46" s="29">
        <f t="shared" si="12"/>
        <v>0</v>
      </c>
      <c r="V46" s="29">
        <f t="shared" si="26"/>
        <v>0</v>
      </c>
      <c r="W46" s="29">
        <f t="shared" si="14"/>
        <v>0</v>
      </c>
      <c r="X46" s="29">
        <f t="shared" si="15"/>
        <v>0</v>
      </c>
      <c r="Y46" s="29">
        <f t="shared" si="27"/>
        <v>0</v>
      </c>
      <c r="Z46" s="29">
        <f t="shared" si="17"/>
        <v>16380</v>
      </c>
    </row>
    <row r="47" spans="1:26" x14ac:dyDescent="0.3">
      <c r="A47" s="3" t="s">
        <v>7848</v>
      </c>
      <c r="B47" s="3"/>
      <c r="C47" s="3"/>
      <c r="D47" s="4"/>
      <c r="E47" s="15"/>
      <c r="F47" s="15"/>
      <c r="G47" s="41"/>
      <c r="H47" s="3"/>
      <c r="I47" s="38"/>
      <c r="J47" s="3"/>
      <c r="K47" s="3"/>
      <c r="L47" s="32"/>
      <c r="M47" s="32"/>
      <c r="N47" s="32"/>
      <c r="U47" s="29"/>
      <c r="V47" s="29"/>
      <c r="W47" s="29"/>
      <c r="X47" s="29"/>
      <c r="Y47" s="29"/>
      <c r="Z47" s="29"/>
    </row>
    <row r="48" spans="1:26" x14ac:dyDescent="0.3">
      <c r="A48" s="5" t="s">
        <v>1988</v>
      </c>
      <c r="B48" s="5" t="s">
        <v>1989</v>
      </c>
      <c r="C48" s="5">
        <v>400</v>
      </c>
      <c r="D48" s="6">
        <v>48260</v>
      </c>
      <c r="E48" s="17">
        <f>VLOOKUP(A48,'forecast data dump'!$A$1:$H$3450,4,FALSE)</f>
        <v>44481</v>
      </c>
      <c r="F48" s="17">
        <f>VLOOKUP(A48,'forecast data dump'!$A$1:$H$3450,5,FALSE)</f>
        <v>44516</v>
      </c>
      <c r="G48" s="42">
        <f>VLOOKUP(A48,'forecast data dump'!$A$1:$H$3450,8,FALSE)</f>
        <v>0</v>
      </c>
      <c r="H48" s="5" t="s">
        <v>3760</v>
      </c>
      <c r="I48" s="39">
        <f t="shared" ref="I48:I51" si="32">C48*(1-G48)</f>
        <v>400</v>
      </c>
      <c r="J48" s="5"/>
      <c r="K48" s="5"/>
      <c r="L48" s="33">
        <f t="shared" ref="L48:L51" si="33">D48*(1-G48)</f>
        <v>48260</v>
      </c>
      <c r="M48" s="33">
        <f t="shared" ref="M48:M51" si="34">IF(J48="",L48,(D48/C48)*J48)</f>
        <v>48260</v>
      </c>
      <c r="N48" s="33">
        <f t="shared" ref="N48:N51" si="35">L48-M48</f>
        <v>0</v>
      </c>
      <c r="T48">
        <v>1</v>
      </c>
      <c r="U48" s="29">
        <f t="shared" si="12"/>
        <v>0</v>
      </c>
      <c r="V48" s="29">
        <f t="shared" si="26"/>
        <v>0</v>
      </c>
      <c r="W48" s="29">
        <f t="shared" si="14"/>
        <v>0</v>
      </c>
      <c r="X48" s="29">
        <f t="shared" si="15"/>
        <v>0</v>
      </c>
      <c r="Y48" s="29">
        <f t="shared" si="27"/>
        <v>0</v>
      </c>
      <c r="Z48" s="29">
        <f t="shared" si="17"/>
        <v>48260</v>
      </c>
    </row>
    <row r="49" spans="1:27" x14ac:dyDescent="0.3">
      <c r="A49" s="5" t="s">
        <v>1988</v>
      </c>
      <c r="B49" s="5" t="s">
        <v>1989</v>
      </c>
      <c r="C49" s="5">
        <v>40</v>
      </c>
      <c r="D49" s="6">
        <v>6227</v>
      </c>
      <c r="E49" s="17">
        <f>VLOOKUP(A49,'forecast data dump'!$A$1:$H$3450,4,FALSE)</f>
        <v>44481</v>
      </c>
      <c r="F49" s="17">
        <f>VLOOKUP(A49,'forecast data dump'!$A$1:$H$3450,5,FALSE)</f>
        <v>44516</v>
      </c>
      <c r="G49" s="42">
        <f>VLOOKUP(A49,'forecast data dump'!$A$1:$H$3450,8,FALSE)</f>
        <v>0</v>
      </c>
      <c r="H49" s="5" t="s">
        <v>3743</v>
      </c>
      <c r="I49" s="39">
        <f t="shared" si="32"/>
        <v>40</v>
      </c>
      <c r="J49" s="5"/>
      <c r="K49" s="5"/>
      <c r="L49" s="33">
        <f t="shared" si="33"/>
        <v>6227</v>
      </c>
      <c r="M49" s="33">
        <f t="shared" si="34"/>
        <v>6227</v>
      </c>
      <c r="N49" s="33">
        <f t="shared" si="35"/>
        <v>0</v>
      </c>
      <c r="T49">
        <v>1</v>
      </c>
      <c r="U49" s="29">
        <f t="shared" si="12"/>
        <v>0</v>
      </c>
      <c r="V49" s="29">
        <f t="shared" si="26"/>
        <v>0</v>
      </c>
      <c r="W49" s="29">
        <f t="shared" si="14"/>
        <v>0</v>
      </c>
      <c r="X49" s="29">
        <f t="shared" si="15"/>
        <v>0</v>
      </c>
      <c r="Y49" s="29">
        <f t="shared" si="27"/>
        <v>0</v>
      </c>
      <c r="Z49" s="29">
        <f t="shared" si="17"/>
        <v>6227</v>
      </c>
    </row>
    <row r="50" spans="1:27" x14ac:dyDescent="0.3">
      <c r="A50" s="5" t="s">
        <v>1990</v>
      </c>
      <c r="B50" s="5" t="s">
        <v>1991</v>
      </c>
      <c r="C50" s="5">
        <v>160</v>
      </c>
      <c r="D50" s="6">
        <v>19372</v>
      </c>
      <c r="E50" s="17">
        <f>VLOOKUP(A50,'forecast data dump'!$A$1:$H$3450,4,FALSE)</f>
        <v>44517</v>
      </c>
      <c r="F50" s="17">
        <f>VLOOKUP(A50,'forecast data dump'!$A$1:$H$3450,5,FALSE)</f>
        <v>44532</v>
      </c>
      <c r="G50" s="42">
        <f>VLOOKUP(A50,'forecast data dump'!$A$1:$H$3450,8,FALSE)</f>
        <v>0</v>
      </c>
      <c r="H50" s="5" t="s">
        <v>3760</v>
      </c>
      <c r="I50" s="39">
        <f t="shared" si="32"/>
        <v>160</v>
      </c>
      <c r="J50" s="5"/>
      <c r="K50" s="5"/>
      <c r="L50" s="33">
        <f t="shared" si="33"/>
        <v>19372</v>
      </c>
      <c r="M50" s="33">
        <f t="shared" si="34"/>
        <v>19372</v>
      </c>
      <c r="N50" s="33">
        <f t="shared" si="35"/>
        <v>0</v>
      </c>
      <c r="T50">
        <v>1</v>
      </c>
      <c r="U50" s="29">
        <f t="shared" si="12"/>
        <v>0</v>
      </c>
      <c r="V50" s="29">
        <f t="shared" si="26"/>
        <v>0</v>
      </c>
      <c r="W50" s="29">
        <f t="shared" si="14"/>
        <v>0</v>
      </c>
      <c r="X50" s="29">
        <f t="shared" si="15"/>
        <v>0</v>
      </c>
      <c r="Y50" s="29">
        <f t="shared" si="27"/>
        <v>0</v>
      </c>
      <c r="Z50" s="29">
        <f t="shared" si="17"/>
        <v>19372</v>
      </c>
    </row>
    <row r="51" spans="1:27" x14ac:dyDescent="0.3">
      <c r="A51" s="5" t="s">
        <v>1990</v>
      </c>
      <c r="B51" s="5" t="s">
        <v>1991</v>
      </c>
      <c r="C51" s="5">
        <v>16</v>
      </c>
      <c r="D51" s="6">
        <v>2500</v>
      </c>
      <c r="E51" s="17">
        <f>VLOOKUP(A51,'forecast data dump'!$A$1:$H$3450,4,FALSE)</f>
        <v>44517</v>
      </c>
      <c r="F51" s="17">
        <f>VLOOKUP(A51,'forecast data dump'!$A$1:$H$3450,5,FALSE)</f>
        <v>44532</v>
      </c>
      <c r="G51" s="42">
        <f>VLOOKUP(A51,'forecast data dump'!$A$1:$H$3450,8,FALSE)</f>
        <v>0</v>
      </c>
      <c r="H51" s="5" t="s">
        <v>3743</v>
      </c>
      <c r="I51" s="39">
        <f t="shared" si="32"/>
        <v>16</v>
      </c>
      <c r="J51" s="5"/>
      <c r="K51" s="5"/>
      <c r="L51" s="33">
        <f t="shared" si="33"/>
        <v>2500</v>
      </c>
      <c r="M51" s="33">
        <f t="shared" si="34"/>
        <v>2500</v>
      </c>
      <c r="N51" s="33">
        <f t="shared" si="35"/>
        <v>0</v>
      </c>
      <c r="T51">
        <v>1</v>
      </c>
      <c r="U51" s="29">
        <f t="shared" si="12"/>
        <v>0</v>
      </c>
      <c r="V51" s="29">
        <f t="shared" si="26"/>
        <v>0</v>
      </c>
      <c r="W51" s="29">
        <f t="shared" si="14"/>
        <v>0</v>
      </c>
      <c r="X51" s="29">
        <f t="shared" si="15"/>
        <v>0</v>
      </c>
      <c r="Y51" s="29">
        <f t="shared" si="27"/>
        <v>0</v>
      </c>
      <c r="Z51" s="29">
        <f t="shared" si="17"/>
        <v>2500</v>
      </c>
    </row>
    <row r="52" spans="1:27" x14ac:dyDescent="0.3">
      <c r="A52" s="3" t="s">
        <v>7849</v>
      </c>
      <c r="B52" s="3"/>
      <c r="C52" s="3"/>
      <c r="D52" s="4"/>
      <c r="E52" s="15"/>
      <c r="F52" s="15"/>
      <c r="G52" s="41"/>
      <c r="H52" s="3"/>
      <c r="I52" s="38"/>
      <c r="J52" s="3"/>
      <c r="K52" s="3"/>
      <c r="L52" s="32"/>
      <c r="M52" s="32"/>
      <c r="N52" s="32"/>
      <c r="U52" s="29"/>
      <c r="V52" s="29"/>
      <c r="W52" s="29"/>
      <c r="X52" s="29"/>
      <c r="Y52" s="29"/>
      <c r="Z52" s="29"/>
      <c r="AA52" s="109">
        <f>SUM(U53:U65)</f>
        <v>852300</v>
      </c>
    </row>
    <row r="53" spans="1:27" x14ac:dyDescent="0.3">
      <c r="A53" s="5" t="s">
        <v>1787</v>
      </c>
      <c r="B53" s="5" t="s">
        <v>1772</v>
      </c>
      <c r="C53" s="5">
        <v>31313</v>
      </c>
      <c r="D53" s="6">
        <v>34933</v>
      </c>
      <c r="E53" s="17">
        <f>VLOOKUP(A53,'forecast data dump'!$A$1:$H$3450,4,FALSE)</f>
        <v>44393</v>
      </c>
      <c r="F53" s="17">
        <f>VLOOKUP(A53,'forecast data dump'!$A$1:$H$3450,5,FALSE)</f>
        <v>44406</v>
      </c>
      <c r="G53" s="42">
        <f>VLOOKUP(A53,'forecast data dump'!$A$1:$H$3450,8,FALSE)</f>
        <v>0</v>
      </c>
      <c r="H53" s="5" t="s">
        <v>3761</v>
      </c>
      <c r="I53" s="39">
        <f t="shared" ref="I53:I55" si="36">C53*(1-G53)</f>
        <v>31313</v>
      </c>
      <c r="J53" s="5"/>
      <c r="K53" s="5"/>
      <c r="L53" s="33">
        <f t="shared" ref="L53:L55" si="37">D53*(1-G53)</f>
        <v>34933</v>
      </c>
      <c r="M53" s="33">
        <f t="shared" ref="M53:M55" si="38">IF(J53="",L53,(D53/C53)*J53)</f>
        <v>34933</v>
      </c>
      <c r="N53" s="33">
        <f t="shared" ref="N53:N55" si="39">L53-M53</f>
        <v>0</v>
      </c>
      <c r="O53">
        <v>1</v>
      </c>
      <c r="U53" s="29">
        <f t="shared" si="12"/>
        <v>34933</v>
      </c>
      <c r="V53" s="29">
        <f t="shared" si="26"/>
        <v>0</v>
      </c>
      <c r="W53" s="29">
        <f t="shared" si="14"/>
        <v>0</v>
      </c>
      <c r="X53" s="29">
        <f t="shared" si="15"/>
        <v>0</v>
      </c>
      <c r="Y53" s="29">
        <f t="shared" si="27"/>
        <v>0</v>
      </c>
      <c r="Z53" s="29">
        <f t="shared" si="17"/>
        <v>0</v>
      </c>
      <c r="AA53" s="103" t="s">
        <v>8351</v>
      </c>
    </row>
    <row r="54" spans="1:27" x14ac:dyDescent="0.3">
      <c r="A54" s="5" t="s">
        <v>1788</v>
      </c>
      <c r="B54" s="5" t="s">
        <v>1774</v>
      </c>
      <c r="C54" s="5">
        <v>125253</v>
      </c>
      <c r="D54" s="6">
        <v>139734</v>
      </c>
      <c r="E54" s="17">
        <f>VLOOKUP(A54,'forecast data dump'!$A$1:$H$3450,4,FALSE)</f>
        <v>44428</v>
      </c>
      <c r="F54" s="17">
        <f>VLOOKUP(A54,'forecast data dump'!$A$1:$H$3450,5,FALSE)</f>
        <v>44456</v>
      </c>
      <c r="G54" s="42">
        <f>VLOOKUP(A54,'forecast data dump'!$A$1:$H$3450,8,FALSE)</f>
        <v>0</v>
      </c>
      <c r="H54" s="5" t="s">
        <v>3761</v>
      </c>
      <c r="I54" s="39">
        <f t="shared" si="36"/>
        <v>125253</v>
      </c>
      <c r="J54" s="5"/>
      <c r="K54" s="5"/>
      <c r="L54" s="33">
        <f t="shared" si="37"/>
        <v>139734</v>
      </c>
      <c r="M54" s="33">
        <f t="shared" si="38"/>
        <v>139734</v>
      </c>
      <c r="N54" s="33">
        <f t="shared" si="39"/>
        <v>0</v>
      </c>
      <c r="O54">
        <v>1</v>
      </c>
      <c r="U54" s="29">
        <f t="shared" si="12"/>
        <v>139734</v>
      </c>
      <c r="V54" s="29">
        <f t="shared" si="26"/>
        <v>0</v>
      </c>
      <c r="W54" s="29">
        <f t="shared" si="14"/>
        <v>0</v>
      </c>
      <c r="X54" s="29">
        <f t="shared" si="15"/>
        <v>0</v>
      </c>
      <c r="Y54" s="29">
        <f t="shared" si="27"/>
        <v>0</v>
      </c>
      <c r="Z54" s="29">
        <f t="shared" si="17"/>
        <v>0</v>
      </c>
    </row>
    <row r="55" spans="1:27" x14ac:dyDescent="0.3">
      <c r="A55" s="5" t="s">
        <v>1789</v>
      </c>
      <c r="B55" s="5" t="s">
        <v>1776</v>
      </c>
      <c r="C55" s="5">
        <v>31313</v>
      </c>
      <c r="D55" s="6">
        <v>34933</v>
      </c>
      <c r="E55" s="17">
        <f>VLOOKUP(A55,'forecast data dump'!$A$1:$H$3450,4,FALSE)</f>
        <v>44421</v>
      </c>
      <c r="F55" s="17">
        <f>VLOOKUP(A55,'forecast data dump'!$A$1:$H$3450,5,FALSE)</f>
        <v>44427</v>
      </c>
      <c r="G55" s="42">
        <f>VLOOKUP(A55,'forecast data dump'!$A$1:$H$3450,8,FALSE)</f>
        <v>0</v>
      </c>
      <c r="H55" s="5" t="s">
        <v>3761</v>
      </c>
      <c r="I55" s="39">
        <f t="shared" si="36"/>
        <v>31313</v>
      </c>
      <c r="J55" s="5"/>
      <c r="K55" s="5"/>
      <c r="L55" s="33">
        <f t="shared" si="37"/>
        <v>34933</v>
      </c>
      <c r="M55" s="33">
        <f t="shared" si="38"/>
        <v>34933</v>
      </c>
      <c r="N55" s="33">
        <f t="shared" si="39"/>
        <v>0</v>
      </c>
      <c r="O55">
        <v>1</v>
      </c>
      <c r="U55" s="29">
        <f t="shared" si="12"/>
        <v>34933</v>
      </c>
      <c r="V55" s="29">
        <f t="shared" si="26"/>
        <v>0</v>
      </c>
      <c r="W55" s="29">
        <f t="shared" si="14"/>
        <v>0</v>
      </c>
      <c r="X55" s="29">
        <f t="shared" si="15"/>
        <v>0</v>
      </c>
      <c r="Y55" s="29">
        <f t="shared" si="27"/>
        <v>0</v>
      </c>
      <c r="Z55" s="29">
        <f t="shared" si="17"/>
        <v>0</v>
      </c>
    </row>
    <row r="56" spans="1:27" x14ac:dyDescent="0.3">
      <c r="A56" s="3" t="s">
        <v>7850</v>
      </c>
      <c r="B56" s="3"/>
      <c r="C56" s="3"/>
      <c r="D56" s="4"/>
      <c r="E56" s="15"/>
      <c r="F56" s="15"/>
      <c r="G56" s="41"/>
      <c r="H56" s="3"/>
      <c r="I56" s="38"/>
      <c r="J56" s="3"/>
      <c r="K56" s="3"/>
      <c r="L56" s="32"/>
      <c r="M56" s="32"/>
      <c r="N56" s="32"/>
      <c r="U56" s="29"/>
      <c r="V56" s="29"/>
      <c r="W56" s="29"/>
      <c r="X56" s="29"/>
      <c r="Y56" s="29"/>
      <c r="Z56" s="29"/>
    </row>
    <row r="57" spans="1:27" x14ac:dyDescent="0.3">
      <c r="A57" s="5" t="s">
        <v>1790</v>
      </c>
      <c r="B57" s="5" t="s">
        <v>1772</v>
      </c>
      <c r="C57" s="5">
        <v>23485</v>
      </c>
      <c r="D57" s="6">
        <v>26200</v>
      </c>
      <c r="E57" s="17">
        <f>VLOOKUP(A57,'forecast data dump'!$A$1:$H$3450,4,FALSE)</f>
        <v>44407</v>
      </c>
      <c r="F57" s="17">
        <f>VLOOKUP(A57,'forecast data dump'!$A$1:$H$3450,5,FALSE)</f>
        <v>44413</v>
      </c>
      <c r="G57" s="42">
        <f>VLOOKUP(A57,'forecast data dump'!$A$1:$H$3450,8,FALSE)</f>
        <v>0</v>
      </c>
      <c r="H57" s="5" t="s">
        <v>3761</v>
      </c>
      <c r="I57" s="39">
        <f t="shared" ref="I57:I59" si="40">C57*(1-G57)</f>
        <v>23485</v>
      </c>
      <c r="J57" s="5"/>
      <c r="K57" s="5"/>
      <c r="L57" s="33">
        <f t="shared" ref="L57:L59" si="41">D57*(1-G57)</f>
        <v>26200</v>
      </c>
      <c r="M57" s="33">
        <f t="shared" ref="M57:M59" si="42">IF(J57="",L57,(D57/C57)*J57)</f>
        <v>26200</v>
      </c>
      <c r="N57" s="33">
        <f t="shared" ref="N57:N59" si="43">L57-M57</f>
        <v>0</v>
      </c>
      <c r="O57">
        <v>1</v>
      </c>
      <c r="U57" s="29">
        <f t="shared" si="12"/>
        <v>26200</v>
      </c>
      <c r="V57" s="29">
        <f t="shared" si="26"/>
        <v>0</v>
      </c>
      <c r="W57" s="29">
        <f t="shared" si="14"/>
        <v>0</v>
      </c>
      <c r="X57" s="29">
        <f t="shared" si="15"/>
        <v>0</v>
      </c>
      <c r="Y57" s="29">
        <f t="shared" si="27"/>
        <v>0</v>
      </c>
      <c r="Z57" s="29">
        <f t="shared" si="17"/>
        <v>0</v>
      </c>
    </row>
    <row r="58" spans="1:27" x14ac:dyDescent="0.3">
      <c r="A58" s="5" t="s">
        <v>1791</v>
      </c>
      <c r="B58" s="5" t="s">
        <v>1774</v>
      </c>
      <c r="C58" s="5">
        <v>93940</v>
      </c>
      <c r="D58" s="6">
        <v>104800</v>
      </c>
      <c r="E58" s="17">
        <f>VLOOKUP(A58,'forecast data dump'!$A$1:$H$3450,4,FALSE)</f>
        <v>44428</v>
      </c>
      <c r="F58" s="17">
        <f>VLOOKUP(A58,'forecast data dump'!$A$1:$H$3450,5,FALSE)</f>
        <v>44441</v>
      </c>
      <c r="G58" s="42">
        <f>VLOOKUP(A58,'forecast data dump'!$A$1:$H$3450,8,FALSE)</f>
        <v>0</v>
      </c>
      <c r="H58" s="5" t="s">
        <v>3761</v>
      </c>
      <c r="I58" s="39">
        <f t="shared" si="40"/>
        <v>93940</v>
      </c>
      <c r="J58" s="5"/>
      <c r="K58" s="5"/>
      <c r="L58" s="33">
        <f t="shared" si="41"/>
        <v>104800</v>
      </c>
      <c r="M58" s="33">
        <f t="shared" si="42"/>
        <v>104800</v>
      </c>
      <c r="N58" s="33">
        <f t="shared" si="43"/>
        <v>0</v>
      </c>
      <c r="O58">
        <v>1</v>
      </c>
      <c r="U58" s="29">
        <f t="shared" si="12"/>
        <v>104800</v>
      </c>
      <c r="V58" s="29">
        <f t="shared" si="26"/>
        <v>0</v>
      </c>
      <c r="W58" s="29">
        <f t="shared" si="14"/>
        <v>0</v>
      </c>
      <c r="X58" s="29">
        <f t="shared" si="15"/>
        <v>0</v>
      </c>
      <c r="Y58" s="29">
        <f t="shared" si="27"/>
        <v>0</v>
      </c>
      <c r="Z58" s="29">
        <f t="shared" si="17"/>
        <v>0</v>
      </c>
    </row>
    <row r="59" spans="1:27" x14ac:dyDescent="0.3">
      <c r="A59" s="5" t="s">
        <v>1792</v>
      </c>
      <c r="B59" s="5" t="s">
        <v>1776</v>
      </c>
      <c r="C59" s="5">
        <v>23485</v>
      </c>
      <c r="D59" s="6">
        <v>26200</v>
      </c>
      <c r="E59" s="17">
        <f>VLOOKUP(A59,'forecast data dump'!$A$1:$H$3450,4,FALSE)</f>
        <v>44421</v>
      </c>
      <c r="F59" s="17">
        <f>VLOOKUP(A59,'forecast data dump'!$A$1:$H$3450,5,FALSE)</f>
        <v>44427</v>
      </c>
      <c r="G59" s="42">
        <f>VLOOKUP(A59,'forecast data dump'!$A$1:$H$3450,8,FALSE)</f>
        <v>0</v>
      </c>
      <c r="H59" s="5" t="s">
        <v>3761</v>
      </c>
      <c r="I59" s="39">
        <f t="shared" si="40"/>
        <v>23485</v>
      </c>
      <c r="J59" s="5"/>
      <c r="K59" s="5"/>
      <c r="L59" s="33">
        <f t="shared" si="41"/>
        <v>26200</v>
      </c>
      <c r="M59" s="33">
        <f t="shared" si="42"/>
        <v>26200</v>
      </c>
      <c r="N59" s="33">
        <f t="shared" si="43"/>
        <v>0</v>
      </c>
      <c r="O59">
        <v>1</v>
      </c>
      <c r="U59" s="29">
        <f t="shared" si="12"/>
        <v>26200</v>
      </c>
      <c r="V59" s="29">
        <f t="shared" si="26"/>
        <v>0</v>
      </c>
      <c r="W59" s="29">
        <f t="shared" si="14"/>
        <v>0</v>
      </c>
      <c r="X59" s="29">
        <f t="shared" si="15"/>
        <v>0</v>
      </c>
      <c r="Y59" s="29">
        <f t="shared" si="27"/>
        <v>0</v>
      </c>
      <c r="Z59" s="29">
        <f t="shared" si="17"/>
        <v>0</v>
      </c>
    </row>
    <row r="60" spans="1:27" x14ac:dyDescent="0.3">
      <c r="A60" s="3" t="s">
        <v>7851</v>
      </c>
      <c r="B60" s="3"/>
      <c r="C60" s="3"/>
      <c r="D60" s="4"/>
      <c r="E60" s="15"/>
      <c r="F60" s="15"/>
      <c r="G60" s="41"/>
      <c r="H60" s="3"/>
      <c r="I60" s="38"/>
      <c r="J60" s="3"/>
      <c r="K60" s="3"/>
      <c r="L60" s="32"/>
      <c r="M60" s="32"/>
      <c r="N60" s="32"/>
      <c r="U60" s="29"/>
      <c r="V60" s="29"/>
      <c r="W60" s="29"/>
      <c r="X60" s="29"/>
      <c r="Y60" s="29"/>
      <c r="Z60" s="29"/>
    </row>
    <row r="61" spans="1:27" x14ac:dyDescent="0.3">
      <c r="A61" s="5" t="s">
        <v>1793</v>
      </c>
      <c r="B61" s="5" t="s">
        <v>1772</v>
      </c>
      <c r="C61" s="5">
        <v>23485</v>
      </c>
      <c r="D61" s="6">
        <v>26200</v>
      </c>
      <c r="E61" s="17">
        <f>VLOOKUP(A61,'forecast data dump'!$A$1:$H$3450,4,FALSE)</f>
        <v>44524</v>
      </c>
      <c r="F61" s="17">
        <f>VLOOKUP(A61,'forecast data dump'!$A$1:$H$3450,5,FALSE)</f>
        <v>44532</v>
      </c>
      <c r="G61" s="42">
        <f>VLOOKUP(A61,'forecast data dump'!$A$1:$H$3450,8,FALSE)</f>
        <v>0</v>
      </c>
      <c r="H61" s="5" t="s">
        <v>3761</v>
      </c>
      <c r="I61" s="39">
        <f t="shared" ref="I61:I65" si="44">C61*(1-G61)</f>
        <v>23485</v>
      </c>
      <c r="J61" s="5"/>
      <c r="K61" s="5"/>
      <c r="L61" s="33">
        <f t="shared" ref="L61:L65" si="45">D61*(1-G61)</f>
        <v>26200</v>
      </c>
      <c r="M61" s="33">
        <f t="shared" ref="M61:M65" si="46">IF(J61="",L61,(D61/C61)*J61)</f>
        <v>26200</v>
      </c>
      <c r="N61" s="33">
        <f t="shared" ref="N61:N65" si="47">L61-M61</f>
        <v>0</v>
      </c>
      <c r="O61">
        <v>1</v>
      </c>
      <c r="U61" s="29">
        <f t="shared" si="12"/>
        <v>26200</v>
      </c>
      <c r="V61" s="29">
        <f t="shared" si="26"/>
        <v>0</v>
      </c>
      <c r="W61" s="29">
        <f t="shared" si="14"/>
        <v>0</v>
      </c>
      <c r="X61" s="29">
        <f t="shared" si="15"/>
        <v>0</v>
      </c>
      <c r="Y61" s="29">
        <f t="shared" si="27"/>
        <v>0</v>
      </c>
      <c r="Z61" s="29">
        <f t="shared" si="17"/>
        <v>0</v>
      </c>
    </row>
    <row r="62" spans="1:27" x14ac:dyDescent="0.3">
      <c r="A62" s="5" t="s">
        <v>1794</v>
      </c>
      <c r="B62" s="5" t="s">
        <v>1774</v>
      </c>
      <c r="C62" s="5">
        <v>93940</v>
      </c>
      <c r="D62" s="6">
        <v>104800</v>
      </c>
      <c r="E62" s="17">
        <f>VLOOKUP(A62,'forecast data dump'!$A$1:$H$3450,4,FALSE)</f>
        <v>44547</v>
      </c>
      <c r="F62" s="17">
        <f>VLOOKUP(A62,'forecast data dump'!$A$1:$H$3450,5,FALSE)</f>
        <v>44553</v>
      </c>
      <c r="G62" s="42">
        <f>VLOOKUP(A62,'forecast data dump'!$A$1:$H$3450,8,FALSE)</f>
        <v>0</v>
      </c>
      <c r="H62" s="5" t="s">
        <v>3761</v>
      </c>
      <c r="I62" s="39">
        <f t="shared" si="44"/>
        <v>93940</v>
      </c>
      <c r="J62" s="5"/>
      <c r="K62" s="5"/>
      <c r="L62" s="33">
        <f t="shared" si="45"/>
        <v>104800</v>
      </c>
      <c r="M62" s="33">
        <f t="shared" si="46"/>
        <v>104800</v>
      </c>
      <c r="N62" s="33">
        <f t="shared" si="47"/>
        <v>0</v>
      </c>
      <c r="O62">
        <v>1</v>
      </c>
      <c r="U62" s="29">
        <f t="shared" si="12"/>
        <v>104800</v>
      </c>
      <c r="V62" s="29">
        <f t="shared" si="26"/>
        <v>0</v>
      </c>
      <c r="W62" s="29">
        <f t="shared" si="14"/>
        <v>0</v>
      </c>
      <c r="X62" s="29">
        <f t="shared" si="15"/>
        <v>0</v>
      </c>
      <c r="Y62" s="29">
        <f t="shared" si="27"/>
        <v>0</v>
      </c>
      <c r="Z62" s="29">
        <f t="shared" si="17"/>
        <v>0</v>
      </c>
    </row>
    <row r="63" spans="1:27" x14ac:dyDescent="0.3">
      <c r="A63" s="5" t="s">
        <v>1795</v>
      </c>
      <c r="B63" s="5" t="s">
        <v>1776</v>
      </c>
      <c r="C63" s="5">
        <v>23485</v>
      </c>
      <c r="D63" s="6">
        <v>26200</v>
      </c>
      <c r="E63" s="17">
        <f>VLOOKUP(A63,'forecast data dump'!$A$1:$H$3450,4,FALSE)</f>
        <v>44540</v>
      </c>
      <c r="F63" s="17">
        <f>VLOOKUP(A63,'forecast data dump'!$A$1:$H$3450,5,FALSE)</f>
        <v>44546</v>
      </c>
      <c r="G63" s="42">
        <f>VLOOKUP(A63,'forecast data dump'!$A$1:$H$3450,8,FALSE)</f>
        <v>0</v>
      </c>
      <c r="H63" s="5" t="s">
        <v>3761</v>
      </c>
      <c r="I63" s="39">
        <f t="shared" si="44"/>
        <v>23485</v>
      </c>
      <c r="J63" s="5"/>
      <c r="K63" s="5"/>
      <c r="L63" s="33">
        <f t="shared" si="45"/>
        <v>26200</v>
      </c>
      <c r="M63" s="33">
        <f t="shared" si="46"/>
        <v>26200</v>
      </c>
      <c r="N63" s="33">
        <f t="shared" si="47"/>
        <v>0</v>
      </c>
      <c r="O63">
        <v>1</v>
      </c>
      <c r="U63" s="29">
        <f t="shared" si="12"/>
        <v>26200</v>
      </c>
      <c r="V63" s="29">
        <f t="shared" si="26"/>
        <v>0</v>
      </c>
      <c r="W63" s="29">
        <f t="shared" si="14"/>
        <v>0</v>
      </c>
      <c r="X63" s="29">
        <f t="shared" si="15"/>
        <v>0</v>
      </c>
      <c r="Y63" s="29">
        <f t="shared" si="27"/>
        <v>0</v>
      </c>
      <c r="Z63" s="29">
        <f t="shared" si="17"/>
        <v>0</v>
      </c>
    </row>
    <row r="64" spans="1:27" x14ac:dyDescent="0.3">
      <c r="A64" s="5" t="s">
        <v>1796</v>
      </c>
      <c r="B64" s="5" t="s">
        <v>1797</v>
      </c>
      <c r="C64" s="5">
        <v>203536</v>
      </c>
      <c r="D64" s="6">
        <v>240966</v>
      </c>
      <c r="E64" s="17">
        <f>VLOOKUP(A64,'forecast data dump'!$A$1:$H$3450,4,FALSE)</f>
        <v>44594</v>
      </c>
      <c r="F64" s="17">
        <f>VLOOKUP(A64,'forecast data dump'!$A$1:$H$3450,5,FALSE)</f>
        <v>44600</v>
      </c>
      <c r="G64" s="42">
        <f>VLOOKUP(A64,'forecast data dump'!$A$1:$H$3450,8,FALSE)</f>
        <v>0</v>
      </c>
      <c r="H64" s="5" t="s">
        <v>3762</v>
      </c>
      <c r="I64" s="39">
        <f t="shared" si="44"/>
        <v>203536</v>
      </c>
      <c r="J64" s="5"/>
      <c r="K64" s="5"/>
      <c r="L64" s="33">
        <f t="shared" si="45"/>
        <v>240966</v>
      </c>
      <c r="M64" s="33">
        <f t="shared" si="46"/>
        <v>240966</v>
      </c>
      <c r="N64" s="33">
        <f t="shared" si="47"/>
        <v>0</v>
      </c>
      <c r="O64">
        <v>1</v>
      </c>
      <c r="U64" s="29">
        <f t="shared" si="12"/>
        <v>240966</v>
      </c>
      <c r="V64" s="29">
        <f t="shared" si="26"/>
        <v>0</v>
      </c>
      <c r="W64" s="29">
        <f t="shared" si="14"/>
        <v>0</v>
      </c>
      <c r="X64" s="29">
        <f t="shared" si="15"/>
        <v>0</v>
      </c>
      <c r="Y64" s="29">
        <f t="shared" si="27"/>
        <v>0</v>
      </c>
      <c r="Z64" s="29">
        <f t="shared" si="17"/>
        <v>0</v>
      </c>
    </row>
    <row r="65" spans="1:26" x14ac:dyDescent="0.3">
      <c r="A65" s="5" t="s">
        <v>1798</v>
      </c>
      <c r="B65" s="5" t="s">
        <v>1799</v>
      </c>
      <c r="C65" s="5">
        <v>78283</v>
      </c>
      <c r="D65" s="6">
        <v>87334</v>
      </c>
      <c r="E65" s="17">
        <f>VLOOKUP(A65,'forecast data dump'!$A$1:$H$3450,4,FALSE)</f>
        <v>44601</v>
      </c>
      <c r="F65" s="17">
        <f>VLOOKUP(A65,'forecast data dump'!$A$1:$H$3450,5,FALSE)</f>
        <v>44607</v>
      </c>
      <c r="G65" s="42">
        <f>VLOOKUP(A65,'forecast data dump'!$A$1:$H$3450,8,FALSE)</f>
        <v>0</v>
      </c>
      <c r="H65" s="5" t="s">
        <v>3761</v>
      </c>
      <c r="I65" s="39">
        <f t="shared" si="44"/>
        <v>78283</v>
      </c>
      <c r="J65" s="5"/>
      <c r="K65" s="5"/>
      <c r="L65" s="33">
        <f t="shared" si="45"/>
        <v>87334</v>
      </c>
      <c r="M65" s="33">
        <f t="shared" si="46"/>
        <v>87334</v>
      </c>
      <c r="N65" s="33">
        <f t="shared" si="47"/>
        <v>0</v>
      </c>
      <c r="O65">
        <v>1</v>
      </c>
      <c r="U65" s="29">
        <f t="shared" si="12"/>
        <v>87334</v>
      </c>
      <c r="V65" s="29">
        <f t="shared" si="26"/>
        <v>0</v>
      </c>
      <c r="W65" s="29">
        <f t="shared" si="14"/>
        <v>0</v>
      </c>
      <c r="X65" s="29">
        <f t="shared" si="15"/>
        <v>0</v>
      </c>
      <c r="Y65" s="29">
        <f t="shared" si="27"/>
        <v>0</v>
      </c>
      <c r="Z65" s="29">
        <f t="shared" si="17"/>
        <v>0</v>
      </c>
    </row>
    <row r="66" spans="1:26" x14ac:dyDescent="0.3">
      <c r="A66" s="3" t="s">
        <v>7852</v>
      </c>
      <c r="B66" s="3"/>
      <c r="C66" s="3"/>
      <c r="D66" s="4"/>
      <c r="E66" s="15"/>
      <c r="F66" s="15"/>
      <c r="G66" s="41"/>
      <c r="H66" s="3"/>
      <c r="I66" s="38"/>
      <c r="J66" s="3"/>
      <c r="K66" s="3"/>
      <c r="L66" s="32"/>
      <c r="M66" s="32"/>
      <c r="N66" s="32"/>
      <c r="U66" s="29"/>
      <c r="V66" s="29"/>
      <c r="W66" s="29"/>
      <c r="X66" s="29"/>
      <c r="Y66" s="29"/>
      <c r="Z66" s="29"/>
    </row>
    <row r="67" spans="1:26" x14ac:dyDescent="0.3">
      <c r="A67" s="5" t="s">
        <v>1767</v>
      </c>
      <c r="B67" s="5" t="s">
        <v>1768</v>
      </c>
      <c r="C67" s="5">
        <v>240</v>
      </c>
      <c r="D67" s="6">
        <v>30692</v>
      </c>
      <c r="E67" s="17" t="str">
        <f>VLOOKUP(A67,'forecast data dump'!$A$1:$H$3450,4,FALSE)</f>
        <v>02-Dec-19 A</v>
      </c>
      <c r="F67" s="17">
        <f>VLOOKUP(A67,'forecast data dump'!$A$1:$H$3450,5,FALSE)</f>
        <v>44530</v>
      </c>
      <c r="G67" s="42">
        <v>0.77</v>
      </c>
      <c r="H67" s="5" t="s">
        <v>3758</v>
      </c>
      <c r="I67" s="39">
        <f t="shared" ref="I67:I69" si="48">C67*(1-G67)</f>
        <v>55.199999999999996</v>
      </c>
      <c r="J67" s="5"/>
      <c r="K67" s="5"/>
      <c r="L67" s="33">
        <f t="shared" ref="L67:L69" si="49">D67*(1-G67)</f>
        <v>7059.16</v>
      </c>
      <c r="M67" s="33">
        <f t="shared" ref="M67:M69" si="50">IF(J67="",L67,(D67/C67)*J67)</f>
        <v>7059.16</v>
      </c>
      <c r="N67" s="33">
        <f t="shared" ref="N67:N69" si="51">L67-M67</f>
        <v>0</v>
      </c>
      <c r="R67">
        <v>1</v>
      </c>
      <c r="U67" s="29">
        <f t="shared" si="12"/>
        <v>0</v>
      </c>
      <c r="V67" s="29">
        <f t="shared" si="26"/>
        <v>0</v>
      </c>
      <c r="W67" s="29">
        <f t="shared" si="14"/>
        <v>0</v>
      </c>
      <c r="X67" s="29">
        <f t="shared" si="15"/>
        <v>7059.16</v>
      </c>
      <c r="Y67" s="29">
        <f t="shared" si="27"/>
        <v>0</v>
      </c>
      <c r="Z67" s="29">
        <f t="shared" si="17"/>
        <v>0</v>
      </c>
    </row>
    <row r="68" spans="1:26" x14ac:dyDescent="0.3">
      <c r="A68" s="5" t="s">
        <v>1767</v>
      </c>
      <c r="B68" s="5" t="s">
        <v>1768</v>
      </c>
      <c r="C68" s="5">
        <v>54</v>
      </c>
      <c r="D68" s="6">
        <v>6230</v>
      </c>
      <c r="E68" s="17" t="str">
        <f>VLOOKUP(A68,'forecast data dump'!$A$1:$H$3450,4,FALSE)</f>
        <v>02-Dec-19 A</v>
      </c>
      <c r="F68" s="17">
        <f>VLOOKUP(A68,'forecast data dump'!$A$1:$H$3450,5,FALSE)</f>
        <v>44530</v>
      </c>
      <c r="G68" s="42">
        <v>0.77</v>
      </c>
      <c r="H68" s="5" t="s">
        <v>3759</v>
      </c>
      <c r="I68" s="39">
        <f t="shared" si="48"/>
        <v>12.419999999999998</v>
      </c>
      <c r="J68" s="5"/>
      <c r="K68" s="5"/>
      <c r="L68" s="33">
        <f t="shared" si="49"/>
        <v>1432.8999999999999</v>
      </c>
      <c r="M68" s="33">
        <f t="shared" si="50"/>
        <v>1432.8999999999999</v>
      </c>
      <c r="N68" s="33">
        <f t="shared" si="51"/>
        <v>0</v>
      </c>
      <c r="R68">
        <v>1</v>
      </c>
      <c r="U68" s="29">
        <f t="shared" si="12"/>
        <v>0</v>
      </c>
      <c r="V68" s="29">
        <f t="shared" si="26"/>
        <v>0</v>
      </c>
      <c r="W68" s="29">
        <f t="shared" si="14"/>
        <v>0</v>
      </c>
      <c r="X68" s="29">
        <f t="shared" si="15"/>
        <v>1432.8999999999999</v>
      </c>
      <c r="Y68" s="29">
        <f t="shared" si="27"/>
        <v>0</v>
      </c>
      <c r="Z68" s="29">
        <f t="shared" si="17"/>
        <v>0</v>
      </c>
    </row>
    <row r="69" spans="1:26" x14ac:dyDescent="0.3">
      <c r="A69" s="5" t="s">
        <v>1767</v>
      </c>
      <c r="B69" s="5" t="s">
        <v>1768</v>
      </c>
      <c r="C69" s="5">
        <v>207</v>
      </c>
      <c r="D69" s="6">
        <v>40384</v>
      </c>
      <c r="E69" s="17" t="str">
        <f>VLOOKUP(A69,'forecast data dump'!$A$1:$H$3450,4,FALSE)</f>
        <v>02-Dec-19 A</v>
      </c>
      <c r="F69" s="17">
        <f>VLOOKUP(A69,'forecast data dump'!$A$1:$H$3450,5,FALSE)</f>
        <v>44530</v>
      </c>
      <c r="G69" s="42">
        <v>0.77</v>
      </c>
      <c r="H69" s="5" t="s">
        <v>3755</v>
      </c>
      <c r="I69" s="39">
        <f t="shared" si="48"/>
        <v>47.61</v>
      </c>
      <c r="J69" s="5"/>
      <c r="K69" s="5"/>
      <c r="L69" s="33">
        <f t="shared" si="49"/>
        <v>9288.32</v>
      </c>
      <c r="M69" s="33">
        <f t="shared" si="50"/>
        <v>9288.32</v>
      </c>
      <c r="N69" s="33">
        <f t="shared" si="51"/>
        <v>0</v>
      </c>
      <c r="R69">
        <v>1</v>
      </c>
      <c r="U69" s="29">
        <f t="shared" si="12"/>
        <v>0</v>
      </c>
      <c r="V69" s="29">
        <f t="shared" si="26"/>
        <v>0</v>
      </c>
      <c r="W69" s="29">
        <f t="shared" si="14"/>
        <v>0</v>
      </c>
      <c r="X69" s="29">
        <f t="shared" si="15"/>
        <v>9288.32</v>
      </c>
      <c r="Y69" s="29">
        <f t="shared" si="27"/>
        <v>0</v>
      </c>
      <c r="Z69" s="29">
        <f t="shared" si="17"/>
        <v>0</v>
      </c>
    </row>
    <row r="70" spans="1:26" x14ac:dyDescent="0.3">
      <c r="A70" s="3" t="s">
        <v>7853</v>
      </c>
      <c r="B70" s="3"/>
      <c r="C70" s="3"/>
      <c r="D70" s="4"/>
      <c r="E70" s="15"/>
      <c r="F70" s="15"/>
      <c r="G70" s="41"/>
      <c r="H70" s="3"/>
      <c r="I70" s="38"/>
      <c r="J70" s="3"/>
      <c r="K70" s="3"/>
      <c r="L70" s="32"/>
      <c r="M70" s="32"/>
      <c r="N70" s="32"/>
      <c r="U70" s="29"/>
      <c r="V70" s="29"/>
      <c r="W70" s="29"/>
      <c r="X70" s="29"/>
      <c r="Y70" s="29"/>
      <c r="Z70" s="29"/>
    </row>
    <row r="71" spans="1:26" x14ac:dyDescent="0.3">
      <c r="A71" s="5" t="s">
        <v>1802</v>
      </c>
      <c r="B71" s="5" t="s">
        <v>1803</v>
      </c>
      <c r="C71" s="5">
        <v>20</v>
      </c>
      <c r="D71" s="6">
        <v>2606</v>
      </c>
      <c r="E71" s="17">
        <f>VLOOKUP(A71,'forecast data dump'!$A$1:$H$3450,4,FALSE)</f>
        <v>44378</v>
      </c>
      <c r="F71" s="17">
        <f>VLOOKUP(A71,'forecast data dump'!$A$1:$H$3450,5,FALSE)</f>
        <v>44385</v>
      </c>
      <c r="G71" s="42">
        <v>0.3</v>
      </c>
      <c r="H71" s="5" t="s">
        <v>3758</v>
      </c>
      <c r="I71" s="39">
        <f t="shared" ref="I71:I88" si="52">C71*(1-G71)</f>
        <v>14</v>
      </c>
      <c r="J71" s="5"/>
      <c r="K71" s="5"/>
      <c r="L71" s="33">
        <f t="shared" ref="L71:L88" si="53">D71*(1-G71)</f>
        <v>1824.1999999999998</v>
      </c>
      <c r="M71" s="33">
        <f t="shared" ref="M71:M88" si="54">IF(J71="",L71,(D71/C71)*J71)</f>
        <v>1824.1999999999998</v>
      </c>
      <c r="N71" s="33">
        <f t="shared" ref="N71:N88" si="55">L71-M71</f>
        <v>0</v>
      </c>
      <c r="T71">
        <v>1</v>
      </c>
      <c r="U71" s="29">
        <f t="shared" si="12"/>
        <v>0</v>
      </c>
      <c r="V71" s="29">
        <f t="shared" si="26"/>
        <v>0</v>
      </c>
      <c r="W71" s="29">
        <f t="shared" si="14"/>
        <v>0</v>
      </c>
      <c r="X71" s="29">
        <f t="shared" si="15"/>
        <v>0</v>
      </c>
      <c r="Y71" s="29">
        <f t="shared" si="27"/>
        <v>0</v>
      </c>
      <c r="Z71" s="29">
        <f t="shared" si="17"/>
        <v>1824.1999999999998</v>
      </c>
    </row>
    <row r="72" spans="1:26" x14ac:dyDescent="0.3">
      <c r="A72" s="5" t="s">
        <v>1802</v>
      </c>
      <c r="B72" s="5" t="s">
        <v>1803</v>
      </c>
      <c r="C72" s="5">
        <v>20</v>
      </c>
      <c r="D72" s="6">
        <v>2351</v>
      </c>
      <c r="E72" s="17">
        <f>VLOOKUP(A72,'forecast data dump'!$A$1:$H$3450,4,FALSE)</f>
        <v>44378</v>
      </c>
      <c r="F72" s="17">
        <f>VLOOKUP(A72,'forecast data dump'!$A$1:$H$3450,5,FALSE)</f>
        <v>44385</v>
      </c>
      <c r="G72" s="42">
        <v>0.3</v>
      </c>
      <c r="H72" s="5" t="s">
        <v>3759</v>
      </c>
      <c r="I72" s="39">
        <f t="shared" si="52"/>
        <v>14</v>
      </c>
      <c r="J72" s="5"/>
      <c r="K72" s="5"/>
      <c r="L72" s="33">
        <f t="shared" si="53"/>
        <v>1645.6999999999998</v>
      </c>
      <c r="M72" s="33">
        <f t="shared" si="54"/>
        <v>1645.6999999999998</v>
      </c>
      <c r="N72" s="33">
        <f t="shared" si="55"/>
        <v>0</v>
      </c>
      <c r="T72">
        <v>1</v>
      </c>
      <c r="U72" s="29">
        <f t="shared" si="12"/>
        <v>0</v>
      </c>
      <c r="V72" s="29">
        <f t="shared" si="26"/>
        <v>0</v>
      </c>
      <c r="W72" s="29">
        <f t="shared" si="14"/>
        <v>0</v>
      </c>
      <c r="X72" s="29">
        <f t="shared" si="15"/>
        <v>0</v>
      </c>
      <c r="Y72" s="29">
        <f t="shared" si="27"/>
        <v>0</v>
      </c>
      <c r="Z72" s="29">
        <f t="shared" si="17"/>
        <v>1645.6999999999998</v>
      </c>
    </row>
    <row r="73" spans="1:26" x14ac:dyDescent="0.3">
      <c r="A73" s="5" t="s">
        <v>1802</v>
      </c>
      <c r="B73" s="5" t="s">
        <v>1803</v>
      </c>
      <c r="C73" s="5">
        <v>40</v>
      </c>
      <c r="D73" s="6">
        <v>5153</v>
      </c>
      <c r="E73" s="17">
        <f>VLOOKUP(A73,'forecast data dump'!$A$1:$H$3450,4,FALSE)</f>
        <v>44378</v>
      </c>
      <c r="F73" s="17">
        <f>VLOOKUP(A73,'forecast data dump'!$A$1:$H$3450,5,FALSE)</f>
        <v>44385</v>
      </c>
      <c r="G73" s="42">
        <v>0.3</v>
      </c>
      <c r="H73" s="5" t="s">
        <v>3752</v>
      </c>
      <c r="I73" s="39">
        <f t="shared" si="52"/>
        <v>28</v>
      </c>
      <c r="J73" s="5"/>
      <c r="K73" s="5"/>
      <c r="L73" s="33">
        <f t="shared" si="53"/>
        <v>3607.1</v>
      </c>
      <c r="M73" s="33">
        <f t="shared" si="54"/>
        <v>3607.1</v>
      </c>
      <c r="N73" s="33">
        <f t="shared" si="55"/>
        <v>0</v>
      </c>
      <c r="T73">
        <v>1</v>
      </c>
      <c r="U73" s="29">
        <f t="shared" ref="U73:U129" si="56">O73*M73</f>
        <v>0</v>
      </c>
      <c r="V73" s="29">
        <f t="shared" ref="V73:V129" si="57">P73*M73</f>
        <v>0</v>
      </c>
      <c r="W73" s="29">
        <f t="shared" ref="W73:W129" si="58">Q73*M73</f>
        <v>0</v>
      </c>
      <c r="X73" s="29">
        <f t="shared" ref="X73:X129" si="59">R73*M73</f>
        <v>0</v>
      </c>
      <c r="Y73" s="29">
        <f t="shared" ref="Y73:Y129" si="60">S73*M73</f>
        <v>0</v>
      </c>
      <c r="Z73" s="29">
        <f t="shared" ref="Z73:Z129" si="61">T73*M73</f>
        <v>3607.1</v>
      </c>
    </row>
    <row r="74" spans="1:26" x14ac:dyDescent="0.3">
      <c r="A74" s="5" t="s">
        <v>1802</v>
      </c>
      <c r="B74" s="5" t="s">
        <v>1803</v>
      </c>
      <c r="C74" s="5">
        <v>8</v>
      </c>
      <c r="D74" s="6">
        <v>1590</v>
      </c>
      <c r="E74" s="17">
        <f>VLOOKUP(A74,'forecast data dump'!$A$1:$H$3450,4,FALSE)</f>
        <v>44378</v>
      </c>
      <c r="F74" s="17">
        <f>VLOOKUP(A74,'forecast data dump'!$A$1:$H$3450,5,FALSE)</f>
        <v>44385</v>
      </c>
      <c r="G74" s="42">
        <v>0.3</v>
      </c>
      <c r="H74" s="5" t="s">
        <v>3755</v>
      </c>
      <c r="I74" s="39">
        <f t="shared" si="52"/>
        <v>5.6</v>
      </c>
      <c r="J74" s="5"/>
      <c r="K74" s="5"/>
      <c r="L74" s="33">
        <f t="shared" si="53"/>
        <v>1113</v>
      </c>
      <c r="M74" s="33">
        <f t="shared" si="54"/>
        <v>1113</v>
      </c>
      <c r="N74" s="33">
        <f t="shared" si="55"/>
        <v>0</v>
      </c>
      <c r="T74">
        <v>1</v>
      </c>
      <c r="U74" s="29">
        <f t="shared" si="56"/>
        <v>0</v>
      </c>
      <c r="V74" s="29">
        <f t="shared" si="57"/>
        <v>0</v>
      </c>
      <c r="W74" s="29">
        <f t="shared" si="58"/>
        <v>0</v>
      </c>
      <c r="X74" s="29">
        <f t="shared" si="59"/>
        <v>0</v>
      </c>
      <c r="Y74" s="29">
        <f t="shared" si="60"/>
        <v>0</v>
      </c>
      <c r="Z74" s="29">
        <f t="shared" si="61"/>
        <v>1113</v>
      </c>
    </row>
    <row r="75" spans="1:26" x14ac:dyDescent="0.3">
      <c r="A75" s="5" t="s">
        <v>1804</v>
      </c>
      <c r="B75" s="5" t="s">
        <v>1805</v>
      </c>
      <c r="C75" s="5">
        <v>24</v>
      </c>
      <c r="D75" s="6">
        <v>3127</v>
      </c>
      <c r="E75" s="17">
        <f>VLOOKUP(A75,'forecast data dump'!$A$1:$H$3450,4,FALSE)</f>
        <v>44386</v>
      </c>
      <c r="F75" s="17">
        <f>VLOOKUP(A75,'forecast data dump'!$A$1:$H$3450,5,FALSE)</f>
        <v>44427</v>
      </c>
      <c r="G75" s="42">
        <f>VLOOKUP(A75,'forecast data dump'!$A$1:$H$3450,8,FALSE)</f>
        <v>0</v>
      </c>
      <c r="H75" s="5" t="s">
        <v>3758</v>
      </c>
      <c r="I75" s="39">
        <f t="shared" si="52"/>
        <v>24</v>
      </c>
      <c r="J75" s="5"/>
      <c r="K75" s="5"/>
      <c r="L75" s="33">
        <f t="shared" si="53"/>
        <v>3127</v>
      </c>
      <c r="M75" s="33">
        <f t="shared" si="54"/>
        <v>3127</v>
      </c>
      <c r="N75" s="33">
        <f t="shared" si="55"/>
        <v>0</v>
      </c>
      <c r="T75">
        <v>1</v>
      </c>
      <c r="U75" s="29">
        <f t="shared" si="56"/>
        <v>0</v>
      </c>
      <c r="V75" s="29">
        <f t="shared" si="57"/>
        <v>0</v>
      </c>
      <c r="W75" s="29">
        <f t="shared" si="58"/>
        <v>0</v>
      </c>
      <c r="X75" s="29">
        <f t="shared" si="59"/>
        <v>0</v>
      </c>
      <c r="Y75" s="29">
        <f t="shared" si="60"/>
        <v>0</v>
      </c>
      <c r="Z75" s="29">
        <f t="shared" si="61"/>
        <v>3127</v>
      </c>
    </row>
    <row r="76" spans="1:26" x14ac:dyDescent="0.3">
      <c r="A76" s="5" t="s">
        <v>1804</v>
      </c>
      <c r="B76" s="5" t="s">
        <v>1805</v>
      </c>
      <c r="C76" s="5">
        <v>360</v>
      </c>
      <c r="D76" s="6">
        <v>42316</v>
      </c>
      <c r="E76" s="17">
        <f>VLOOKUP(A76,'forecast data dump'!$A$1:$H$3450,4,FALSE)</f>
        <v>44386</v>
      </c>
      <c r="F76" s="17">
        <f>VLOOKUP(A76,'forecast data dump'!$A$1:$H$3450,5,FALSE)</f>
        <v>44427</v>
      </c>
      <c r="G76" s="42">
        <f>VLOOKUP(A76,'forecast data dump'!$A$1:$H$3450,8,FALSE)</f>
        <v>0</v>
      </c>
      <c r="H76" s="5" t="s">
        <v>3759</v>
      </c>
      <c r="I76" s="39">
        <f t="shared" si="52"/>
        <v>360</v>
      </c>
      <c r="J76" s="5"/>
      <c r="K76" s="5"/>
      <c r="L76" s="33">
        <f t="shared" si="53"/>
        <v>42316</v>
      </c>
      <c r="M76" s="33">
        <f t="shared" si="54"/>
        <v>42316</v>
      </c>
      <c r="N76" s="33">
        <f t="shared" si="55"/>
        <v>0</v>
      </c>
      <c r="T76">
        <v>1</v>
      </c>
      <c r="U76" s="29">
        <f t="shared" si="56"/>
        <v>0</v>
      </c>
      <c r="V76" s="29">
        <f t="shared" si="57"/>
        <v>0</v>
      </c>
      <c r="W76" s="29">
        <f t="shared" si="58"/>
        <v>0</v>
      </c>
      <c r="X76" s="29">
        <f t="shared" si="59"/>
        <v>0</v>
      </c>
      <c r="Y76" s="29">
        <f t="shared" si="60"/>
        <v>0</v>
      </c>
      <c r="Z76" s="29">
        <f t="shared" si="61"/>
        <v>42316</v>
      </c>
    </row>
    <row r="77" spans="1:26" x14ac:dyDescent="0.3">
      <c r="A77" s="5" t="s">
        <v>1804</v>
      </c>
      <c r="B77" s="5" t="s">
        <v>1805</v>
      </c>
      <c r="C77" s="5">
        <v>180</v>
      </c>
      <c r="D77" s="6">
        <v>23188</v>
      </c>
      <c r="E77" s="17">
        <f>VLOOKUP(A77,'forecast data dump'!$A$1:$H$3450,4,FALSE)</f>
        <v>44386</v>
      </c>
      <c r="F77" s="17">
        <f>VLOOKUP(A77,'forecast data dump'!$A$1:$H$3450,5,FALSE)</f>
        <v>44427</v>
      </c>
      <c r="G77" s="42">
        <f>VLOOKUP(A77,'forecast data dump'!$A$1:$H$3450,8,FALSE)</f>
        <v>0</v>
      </c>
      <c r="H77" s="5" t="s">
        <v>3752</v>
      </c>
      <c r="I77" s="39">
        <f t="shared" si="52"/>
        <v>180</v>
      </c>
      <c r="J77" s="5"/>
      <c r="K77" s="5"/>
      <c r="L77" s="33">
        <f t="shared" si="53"/>
        <v>23188</v>
      </c>
      <c r="M77" s="33">
        <f t="shared" si="54"/>
        <v>23188</v>
      </c>
      <c r="N77" s="33">
        <f t="shared" si="55"/>
        <v>0</v>
      </c>
      <c r="T77">
        <v>1</v>
      </c>
      <c r="U77" s="29">
        <f t="shared" si="56"/>
        <v>0</v>
      </c>
      <c r="V77" s="29">
        <f t="shared" si="57"/>
        <v>0</v>
      </c>
      <c r="W77" s="29">
        <f t="shared" si="58"/>
        <v>0</v>
      </c>
      <c r="X77" s="29">
        <f t="shared" si="59"/>
        <v>0</v>
      </c>
      <c r="Y77" s="29">
        <f t="shared" si="60"/>
        <v>0</v>
      </c>
      <c r="Z77" s="29">
        <f t="shared" si="61"/>
        <v>23188</v>
      </c>
    </row>
    <row r="78" spans="1:26" x14ac:dyDescent="0.3">
      <c r="A78" s="5" t="s">
        <v>1804</v>
      </c>
      <c r="B78" s="5" t="s">
        <v>1805</v>
      </c>
      <c r="C78" s="5">
        <v>40</v>
      </c>
      <c r="D78" s="6">
        <v>4702</v>
      </c>
      <c r="E78" s="17">
        <f>VLOOKUP(A78,'forecast data dump'!$A$1:$H$3450,4,FALSE)</f>
        <v>44386</v>
      </c>
      <c r="F78" s="17">
        <f>VLOOKUP(A78,'forecast data dump'!$A$1:$H$3450,5,FALSE)</f>
        <v>44427</v>
      </c>
      <c r="G78" s="42">
        <f>VLOOKUP(A78,'forecast data dump'!$A$1:$H$3450,8,FALSE)</f>
        <v>0</v>
      </c>
      <c r="H78" s="5" t="s">
        <v>3759</v>
      </c>
      <c r="I78" s="39">
        <f t="shared" si="52"/>
        <v>40</v>
      </c>
      <c r="J78" s="5"/>
      <c r="K78" s="5"/>
      <c r="L78" s="33">
        <f t="shared" si="53"/>
        <v>4702</v>
      </c>
      <c r="M78" s="33">
        <f t="shared" si="54"/>
        <v>4702</v>
      </c>
      <c r="N78" s="33">
        <f t="shared" si="55"/>
        <v>0</v>
      </c>
      <c r="T78">
        <v>1</v>
      </c>
      <c r="U78" s="29">
        <f t="shared" si="56"/>
        <v>0</v>
      </c>
      <c r="V78" s="29">
        <f t="shared" si="57"/>
        <v>0</v>
      </c>
      <c r="W78" s="29">
        <f t="shared" si="58"/>
        <v>0</v>
      </c>
      <c r="X78" s="29">
        <f t="shared" si="59"/>
        <v>0</v>
      </c>
      <c r="Y78" s="29">
        <f t="shared" si="60"/>
        <v>0</v>
      </c>
      <c r="Z78" s="29">
        <f t="shared" si="61"/>
        <v>4702</v>
      </c>
    </row>
    <row r="79" spans="1:26" x14ac:dyDescent="0.3">
      <c r="A79" s="5" t="s">
        <v>1804</v>
      </c>
      <c r="B79" s="5" t="s">
        <v>1805</v>
      </c>
      <c r="C79" s="5">
        <v>24</v>
      </c>
      <c r="D79" s="6">
        <v>4771</v>
      </c>
      <c r="E79" s="17">
        <f>VLOOKUP(A79,'forecast data dump'!$A$1:$H$3450,4,FALSE)</f>
        <v>44386</v>
      </c>
      <c r="F79" s="17">
        <f>VLOOKUP(A79,'forecast data dump'!$A$1:$H$3450,5,FALSE)</f>
        <v>44427</v>
      </c>
      <c r="G79" s="42">
        <f>VLOOKUP(A79,'forecast data dump'!$A$1:$H$3450,8,FALSE)</f>
        <v>0</v>
      </c>
      <c r="H79" s="5" t="s">
        <v>3755</v>
      </c>
      <c r="I79" s="39">
        <f t="shared" si="52"/>
        <v>24</v>
      </c>
      <c r="J79" s="5"/>
      <c r="K79" s="5"/>
      <c r="L79" s="33">
        <f t="shared" si="53"/>
        <v>4771</v>
      </c>
      <c r="M79" s="33">
        <f t="shared" si="54"/>
        <v>4771</v>
      </c>
      <c r="N79" s="33">
        <f t="shared" si="55"/>
        <v>0</v>
      </c>
      <c r="T79">
        <v>1</v>
      </c>
      <c r="U79" s="29">
        <f t="shared" si="56"/>
        <v>0</v>
      </c>
      <c r="V79" s="29">
        <f t="shared" si="57"/>
        <v>0</v>
      </c>
      <c r="W79" s="29">
        <f t="shared" si="58"/>
        <v>0</v>
      </c>
      <c r="X79" s="29">
        <f t="shared" si="59"/>
        <v>0</v>
      </c>
      <c r="Y79" s="29">
        <f t="shared" si="60"/>
        <v>0</v>
      </c>
      <c r="Z79" s="29">
        <f t="shared" si="61"/>
        <v>4771</v>
      </c>
    </row>
    <row r="80" spans="1:26" x14ac:dyDescent="0.3">
      <c r="A80" s="5" t="s">
        <v>1806</v>
      </c>
      <c r="B80" s="5" t="s">
        <v>1807</v>
      </c>
      <c r="C80" s="5">
        <v>12</v>
      </c>
      <c r="D80" s="6">
        <v>1611</v>
      </c>
      <c r="E80" s="17">
        <f>VLOOKUP(A80,'forecast data dump'!$A$1:$H$3450,4,FALSE)</f>
        <v>44572</v>
      </c>
      <c r="F80" s="17">
        <f>VLOOKUP(A80,'forecast data dump'!$A$1:$H$3450,5,FALSE)</f>
        <v>44600</v>
      </c>
      <c r="G80" s="42">
        <f>VLOOKUP(A80,'forecast data dump'!$A$1:$H$3450,8,FALSE)</f>
        <v>0</v>
      </c>
      <c r="H80" s="5" t="s">
        <v>3758</v>
      </c>
      <c r="I80" s="39">
        <f t="shared" si="52"/>
        <v>12</v>
      </c>
      <c r="J80" s="5"/>
      <c r="K80" s="5"/>
      <c r="L80" s="33">
        <f t="shared" si="53"/>
        <v>1611</v>
      </c>
      <c r="M80" s="33">
        <f t="shared" si="54"/>
        <v>1611</v>
      </c>
      <c r="N80" s="33">
        <f t="shared" si="55"/>
        <v>0</v>
      </c>
      <c r="T80">
        <v>1</v>
      </c>
      <c r="U80" s="29">
        <f t="shared" si="56"/>
        <v>0</v>
      </c>
      <c r="V80" s="29">
        <f t="shared" si="57"/>
        <v>0</v>
      </c>
      <c r="W80" s="29">
        <f t="shared" si="58"/>
        <v>0</v>
      </c>
      <c r="X80" s="29">
        <f t="shared" si="59"/>
        <v>0</v>
      </c>
      <c r="Y80" s="29">
        <f t="shared" si="60"/>
        <v>0</v>
      </c>
      <c r="Z80" s="29">
        <f t="shared" si="61"/>
        <v>1611</v>
      </c>
    </row>
    <row r="81" spans="1:27" x14ac:dyDescent="0.3">
      <c r="A81" s="5" t="s">
        <v>1806</v>
      </c>
      <c r="B81" s="5" t="s">
        <v>1807</v>
      </c>
      <c r="C81" s="5">
        <v>40</v>
      </c>
      <c r="D81" s="6">
        <v>4843</v>
      </c>
      <c r="E81" s="17">
        <f>VLOOKUP(A81,'forecast data dump'!$A$1:$H$3450,4,FALSE)</f>
        <v>44572</v>
      </c>
      <c r="F81" s="17">
        <f>VLOOKUP(A81,'forecast data dump'!$A$1:$H$3450,5,FALSE)</f>
        <v>44600</v>
      </c>
      <c r="G81" s="42">
        <f>VLOOKUP(A81,'forecast data dump'!$A$1:$H$3450,8,FALSE)</f>
        <v>0</v>
      </c>
      <c r="H81" s="5" t="s">
        <v>3759</v>
      </c>
      <c r="I81" s="39">
        <f t="shared" si="52"/>
        <v>40</v>
      </c>
      <c r="J81" s="5"/>
      <c r="K81" s="5"/>
      <c r="L81" s="33">
        <f t="shared" si="53"/>
        <v>4843</v>
      </c>
      <c r="M81" s="33">
        <f t="shared" si="54"/>
        <v>4843</v>
      </c>
      <c r="N81" s="33">
        <f t="shared" si="55"/>
        <v>0</v>
      </c>
      <c r="T81">
        <v>1</v>
      </c>
      <c r="U81" s="29">
        <f t="shared" si="56"/>
        <v>0</v>
      </c>
      <c r="V81" s="29">
        <f t="shared" si="57"/>
        <v>0</v>
      </c>
      <c r="W81" s="29">
        <f t="shared" si="58"/>
        <v>0</v>
      </c>
      <c r="X81" s="29">
        <f t="shared" si="59"/>
        <v>0</v>
      </c>
      <c r="Y81" s="29">
        <f t="shared" si="60"/>
        <v>0</v>
      </c>
      <c r="Z81" s="29">
        <f t="shared" si="61"/>
        <v>4843</v>
      </c>
    </row>
    <row r="82" spans="1:27" x14ac:dyDescent="0.3">
      <c r="A82" s="5" t="s">
        <v>1806</v>
      </c>
      <c r="B82" s="5" t="s">
        <v>1807</v>
      </c>
      <c r="C82" s="5">
        <v>12</v>
      </c>
      <c r="D82" s="6">
        <v>2457</v>
      </c>
      <c r="E82" s="17">
        <f>VLOOKUP(A82,'forecast data dump'!$A$1:$H$3450,4,FALSE)</f>
        <v>44572</v>
      </c>
      <c r="F82" s="17">
        <f>VLOOKUP(A82,'forecast data dump'!$A$1:$H$3450,5,FALSE)</f>
        <v>44600</v>
      </c>
      <c r="G82" s="42">
        <f>VLOOKUP(A82,'forecast data dump'!$A$1:$H$3450,8,FALSE)</f>
        <v>0</v>
      </c>
      <c r="H82" s="5" t="s">
        <v>3755</v>
      </c>
      <c r="I82" s="39">
        <f t="shared" si="52"/>
        <v>12</v>
      </c>
      <c r="J82" s="5"/>
      <c r="K82" s="5"/>
      <c r="L82" s="33">
        <f t="shared" si="53"/>
        <v>2457</v>
      </c>
      <c r="M82" s="33">
        <f t="shared" si="54"/>
        <v>2457</v>
      </c>
      <c r="N82" s="33">
        <f t="shared" si="55"/>
        <v>0</v>
      </c>
      <c r="T82">
        <v>1</v>
      </c>
      <c r="U82" s="29">
        <f t="shared" si="56"/>
        <v>0</v>
      </c>
      <c r="V82" s="29">
        <f t="shared" si="57"/>
        <v>0</v>
      </c>
      <c r="W82" s="29">
        <f t="shared" si="58"/>
        <v>0</v>
      </c>
      <c r="X82" s="29">
        <f t="shared" si="59"/>
        <v>0</v>
      </c>
      <c r="Y82" s="29">
        <f t="shared" si="60"/>
        <v>0</v>
      </c>
      <c r="Z82" s="29">
        <f t="shared" si="61"/>
        <v>2457</v>
      </c>
    </row>
    <row r="83" spans="1:27" x14ac:dyDescent="0.3">
      <c r="A83" s="5" t="s">
        <v>1808</v>
      </c>
      <c r="B83" s="5" t="s">
        <v>1809</v>
      </c>
      <c r="C83" s="5">
        <v>80</v>
      </c>
      <c r="D83" s="6">
        <v>10737</v>
      </c>
      <c r="E83" s="17">
        <f>VLOOKUP(A83,'forecast data dump'!$A$1:$H$3450,4,FALSE)</f>
        <v>44650</v>
      </c>
      <c r="F83" s="17">
        <f>VLOOKUP(A83,'forecast data dump'!$A$1:$H$3450,5,FALSE)</f>
        <v>44663</v>
      </c>
      <c r="G83" s="42">
        <f>VLOOKUP(A83,'forecast data dump'!$A$1:$H$3450,8,FALSE)</f>
        <v>0</v>
      </c>
      <c r="H83" s="5" t="s">
        <v>3758</v>
      </c>
      <c r="I83" s="39">
        <f t="shared" si="52"/>
        <v>80</v>
      </c>
      <c r="J83" s="5"/>
      <c r="K83" s="5"/>
      <c r="L83" s="33">
        <f t="shared" si="53"/>
        <v>10737</v>
      </c>
      <c r="M83" s="33">
        <f t="shared" si="54"/>
        <v>10737</v>
      </c>
      <c r="N83" s="33">
        <f t="shared" si="55"/>
        <v>0</v>
      </c>
      <c r="T83">
        <v>1</v>
      </c>
      <c r="U83" s="29">
        <f t="shared" si="56"/>
        <v>0</v>
      </c>
      <c r="V83" s="29">
        <f t="shared" si="57"/>
        <v>0</v>
      </c>
      <c r="W83" s="29">
        <f t="shared" si="58"/>
        <v>0</v>
      </c>
      <c r="X83" s="29">
        <f t="shared" si="59"/>
        <v>0</v>
      </c>
      <c r="Y83" s="29">
        <f t="shared" si="60"/>
        <v>0</v>
      </c>
      <c r="Z83" s="29">
        <f t="shared" si="61"/>
        <v>10737</v>
      </c>
    </row>
    <row r="84" spans="1:27" x14ac:dyDescent="0.3">
      <c r="A84" s="5" t="s">
        <v>1808</v>
      </c>
      <c r="B84" s="5" t="s">
        <v>1809</v>
      </c>
      <c r="C84" s="5">
        <v>120</v>
      </c>
      <c r="D84" s="6">
        <v>14529</v>
      </c>
      <c r="E84" s="17">
        <f>VLOOKUP(A84,'forecast data dump'!$A$1:$H$3450,4,FALSE)</f>
        <v>44650</v>
      </c>
      <c r="F84" s="17">
        <f>VLOOKUP(A84,'forecast data dump'!$A$1:$H$3450,5,FALSE)</f>
        <v>44663</v>
      </c>
      <c r="G84" s="42">
        <f>VLOOKUP(A84,'forecast data dump'!$A$1:$H$3450,8,FALSE)</f>
        <v>0</v>
      </c>
      <c r="H84" s="5" t="s">
        <v>3759</v>
      </c>
      <c r="I84" s="39">
        <f t="shared" si="52"/>
        <v>120</v>
      </c>
      <c r="J84" s="5"/>
      <c r="K84" s="5"/>
      <c r="L84" s="33">
        <f t="shared" si="53"/>
        <v>14529</v>
      </c>
      <c r="M84" s="33">
        <f t="shared" si="54"/>
        <v>14529</v>
      </c>
      <c r="N84" s="33">
        <f t="shared" si="55"/>
        <v>0</v>
      </c>
      <c r="T84">
        <v>1</v>
      </c>
      <c r="U84" s="29">
        <f t="shared" si="56"/>
        <v>0</v>
      </c>
      <c r="V84" s="29">
        <f t="shared" si="57"/>
        <v>0</v>
      </c>
      <c r="W84" s="29">
        <f t="shared" si="58"/>
        <v>0</v>
      </c>
      <c r="X84" s="29">
        <f t="shared" si="59"/>
        <v>0</v>
      </c>
      <c r="Y84" s="29">
        <f t="shared" si="60"/>
        <v>0</v>
      </c>
      <c r="Z84" s="29">
        <f t="shared" si="61"/>
        <v>14529</v>
      </c>
    </row>
    <row r="85" spans="1:27" x14ac:dyDescent="0.3">
      <c r="A85" s="5" t="s">
        <v>1808</v>
      </c>
      <c r="B85" s="5" t="s">
        <v>1809</v>
      </c>
      <c r="C85" s="5">
        <v>80</v>
      </c>
      <c r="D85" s="6">
        <v>16380</v>
      </c>
      <c r="E85" s="17">
        <f>VLOOKUP(A85,'forecast data dump'!$A$1:$H$3450,4,FALSE)</f>
        <v>44650</v>
      </c>
      <c r="F85" s="17">
        <f>VLOOKUP(A85,'forecast data dump'!$A$1:$H$3450,5,FALSE)</f>
        <v>44663</v>
      </c>
      <c r="G85" s="42">
        <f>VLOOKUP(A85,'forecast data dump'!$A$1:$H$3450,8,FALSE)</f>
        <v>0</v>
      </c>
      <c r="H85" s="5" t="s">
        <v>3755</v>
      </c>
      <c r="I85" s="39">
        <f t="shared" si="52"/>
        <v>80</v>
      </c>
      <c r="J85" s="5"/>
      <c r="K85" s="5"/>
      <c r="L85" s="33">
        <f t="shared" si="53"/>
        <v>16380</v>
      </c>
      <c r="M85" s="33">
        <f t="shared" si="54"/>
        <v>16380</v>
      </c>
      <c r="N85" s="33">
        <f t="shared" si="55"/>
        <v>0</v>
      </c>
      <c r="T85">
        <v>1</v>
      </c>
      <c r="U85" s="29">
        <f t="shared" si="56"/>
        <v>0</v>
      </c>
      <c r="V85" s="29">
        <f t="shared" si="57"/>
        <v>0</v>
      </c>
      <c r="W85" s="29">
        <f t="shared" si="58"/>
        <v>0</v>
      </c>
      <c r="X85" s="29">
        <f t="shared" si="59"/>
        <v>0</v>
      </c>
      <c r="Y85" s="29">
        <f t="shared" si="60"/>
        <v>0</v>
      </c>
      <c r="Z85" s="29">
        <f t="shared" si="61"/>
        <v>16380</v>
      </c>
    </row>
    <row r="86" spans="1:27" x14ac:dyDescent="0.3">
      <c r="A86" s="5" t="s">
        <v>1810</v>
      </c>
      <c r="B86" s="5" t="s">
        <v>1811</v>
      </c>
      <c r="C86" s="5">
        <v>24</v>
      </c>
      <c r="D86" s="6">
        <v>3221</v>
      </c>
      <c r="E86" s="17">
        <f>VLOOKUP(A86,'forecast data dump'!$A$1:$H$3450,4,FALSE)</f>
        <v>44664</v>
      </c>
      <c r="F86" s="17">
        <f>VLOOKUP(A86,'forecast data dump'!$A$1:$H$3450,5,FALSE)</f>
        <v>44677</v>
      </c>
      <c r="G86" s="42">
        <f>VLOOKUP(A86,'forecast data dump'!$A$1:$H$3450,8,FALSE)</f>
        <v>0</v>
      </c>
      <c r="H86" s="5" t="s">
        <v>3758</v>
      </c>
      <c r="I86" s="39">
        <f t="shared" si="52"/>
        <v>24</v>
      </c>
      <c r="J86" s="5"/>
      <c r="K86" s="5"/>
      <c r="L86" s="33">
        <f t="shared" si="53"/>
        <v>3221</v>
      </c>
      <c r="M86" s="33">
        <f t="shared" si="54"/>
        <v>3221</v>
      </c>
      <c r="N86" s="33">
        <f t="shared" si="55"/>
        <v>0</v>
      </c>
      <c r="T86">
        <v>1</v>
      </c>
      <c r="U86" s="29">
        <f t="shared" si="56"/>
        <v>0</v>
      </c>
      <c r="V86" s="29">
        <f t="shared" si="57"/>
        <v>0</v>
      </c>
      <c r="W86" s="29">
        <f t="shared" si="58"/>
        <v>0</v>
      </c>
      <c r="X86" s="29">
        <f t="shared" si="59"/>
        <v>0</v>
      </c>
      <c r="Y86" s="29">
        <f t="shared" si="60"/>
        <v>0</v>
      </c>
      <c r="Z86" s="29">
        <f t="shared" si="61"/>
        <v>3221</v>
      </c>
    </row>
    <row r="87" spans="1:27" x14ac:dyDescent="0.3">
      <c r="A87" s="5" t="s">
        <v>1810</v>
      </c>
      <c r="B87" s="5" t="s">
        <v>1811</v>
      </c>
      <c r="C87" s="5">
        <v>120</v>
      </c>
      <c r="D87" s="6">
        <v>14529</v>
      </c>
      <c r="E87" s="17">
        <f>VLOOKUP(A87,'forecast data dump'!$A$1:$H$3450,4,FALSE)</f>
        <v>44664</v>
      </c>
      <c r="F87" s="17">
        <f>VLOOKUP(A87,'forecast data dump'!$A$1:$H$3450,5,FALSE)</f>
        <v>44677</v>
      </c>
      <c r="G87" s="42">
        <f>VLOOKUP(A87,'forecast data dump'!$A$1:$H$3450,8,FALSE)</f>
        <v>0</v>
      </c>
      <c r="H87" s="5" t="s">
        <v>3759</v>
      </c>
      <c r="I87" s="39">
        <f t="shared" si="52"/>
        <v>120</v>
      </c>
      <c r="J87" s="5"/>
      <c r="K87" s="5"/>
      <c r="L87" s="33">
        <f t="shared" si="53"/>
        <v>14529</v>
      </c>
      <c r="M87" s="33">
        <f t="shared" si="54"/>
        <v>14529</v>
      </c>
      <c r="N87" s="33">
        <f t="shared" si="55"/>
        <v>0</v>
      </c>
      <c r="T87">
        <v>1</v>
      </c>
      <c r="U87" s="29">
        <f t="shared" si="56"/>
        <v>0</v>
      </c>
      <c r="V87" s="29">
        <f t="shared" si="57"/>
        <v>0</v>
      </c>
      <c r="W87" s="29">
        <f t="shared" si="58"/>
        <v>0</v>
      </c>
      <c r="X87" s="29">
        <f t="shared" si="59"/>
        <v>0</v>
      </c>
      <c r="Y87" s="29">
        <f t="shared" si="60"/>
        <v>0</v>
      </c>
      <c r="Z87" s="29">
        <f t="shared" si="61"/>
        <v>14529</v>
      </c>
    </row>
    <row r="88" spans="1:27" x14ac:dyDescent="0.3">
      <c r="A88" s="5" t="s">
        <v>1810</v>
      </c>
      <c r="B88" s="5" t="s">
        <v>1811</v>
      </c>
      <c r="C88" s="5">
        <v>4</v>
      </c>
      <c r="D88" s="6">
        <v>819</v>
      </c>
      <c r="E88" s="17">
        <f>VLOOKUP(A88,'forecast data dump'!$A$1:$H$3450,4,FALSE)</f>
        <v>44664</v>
      </c>
      <c r="F88" s="17">
        <f>VLOOKUP(A88,'forecast data dump'!$A$1:$H$3450,5,FALSE)</f>
        <v>44677</v>
      </c>
      <c r="G88" s="42">
        <f>VLOOKUP(A88,'forecast data dump'!$A$1:$H$3450,8,FALSE)</f>
        <v>0</v>
      </c>
      <c r="H88" s="5" t="s">
        <v>3755</v>
      </c>
      <c r="I88" s="39">
        <f t="shared" si="52"/>
        <v>4</v>
      </c>
      <c r="J88" s="5"/>
      <c r="K88" s="5"/>
      <c r="L88" s="33">
        <f t="shared" si="53"/>
        <v>819</v>
      </c>
      <c r="M88" s="33">
        <f t="shared" si="54"/>
        <v>819</v>
      </c>
      <c r="N88" s="33">
        <f t="shared" si="55"/>
        <v>0</v>
      </c>
      <c r="T88">
        <v>1</v>
      </c>
      <c r="U88" s="29">
        <f t="shared" si="56"/>
        <v>0</v>
      </c>
      <c r="V88" s="29">
        <f t="shared" si="57"/>
        <v>0</v>
      </c>
      <c r="W88" s="29">
        <f t="shared" si="58"/>
        <v>0</v>
      </c>
      <c r="X88" s="29">
        <f t="shared" si="59"/>
        <v>0</v>
      </c>
      <c r="Y88" s="29">
        <f t="shared" si="60"/>
        <v>0</v>
      </c>
      <c r="Z88" s="29">
        <f t="shared" si="61"/>
        <v>819</v>
      </c>
    </row>
    <row r="89" spans="1:27" x14ac:dyDescent="0.3">
      <c r="A89" s="3" t="s">
        <v>7854</v>
      </c>
      <c r="B89" s="3"/>
      <c r="C89" s="3"/>
      <c r="D89" s="4"/>
      <c r="E89" s="15"/>
      <c r="F89" s="15"/>
      <c r="G89" s="41"/>
      <c r="H89" s="3"/>
      <c r="I89" s="38"/>
      <c r="J89" s="3"/>
      <c r="K89" s="3"/>
      <c r="L89" s="32"/>
      <c r="M89" s="32"/>
      <c r="N89" s="32"/>
      <c r="U89" s="29"/>
      <c r="V89" s="29"/>
      <c r="W89" s="29"/>
      <c r="X89" s="29"/>
      <c r="Y89" s="29"/>
      <c r="Z89" s="29"/>
    </row>
    <row r="90" spans="1:27" x14ac:dyDescent="0.3">
      <c r="A90" s="5" t="s">
        <v>1822</v>
      </c>
      <c r="B90" s="5" t="s">
        <v>1823</v>
      </c>
      <c r="C90" s="5">
        <v>36</v>
      </c>
      <c r="D90" s="6">
        <v>6948</v>
      </c>
      <c r="E90" s="17" t="str">
        <f>VLOOKUP(A90,'forecast data dump'!$A$1:$H$3450,4,FALSE)</f>
        <v>02-Dec-20 A</v>
      </c>
      <c r="F90" s="17">
        <f>VLOOKUP(A90,'forecast data dump'!$A$1:$H$3450,5,FALSE)</f>
        <v>44424</v>
      </c>
      <c r="G90" s="42">
        <v>0.89</v>
      </c>
      <c r="H90" s="5" t="s">
        <v>3755</v>
      </c>
      <c r="I90" s="39">
        <f t="shared" ref="I90" si="62">C90*(1-G90)</f>
        <v>3.9599999999999995</v>
      </c>
      <c r="J90" s="5"/>
      <c r="K90" s="5"/>
      <c r="L90" s="33">
        <f t="shared" ref="L90" si="63">D90*(1-G90)</f>
        <v>764.27999999999986</v>
      </c>
      <c r="M90" s="33">
        <f t="shared" ref="M90" si="64">IF(J90="",L90,(D90/C90)*J90)</f>
        <v>764.27999999999986</v>
      </c>
      <c r="N90" s="33">
        <f t="shared" ref="N90" si="65">L90-M90</f>
        <v>0</v>
      </c>
      <c r="R90">
        <v>1</v>
      </c>
      <c r="U90" s="29">
        <f t="shared" si="56"/>
        <v>0</v>
      </c>
      <c r="V90" s="29">
        <f t="shared" si="57"/>
        <v>0</v>
      </c>
      <c r="W90" s="29">
        <f t="shared" si="58"/>
        <v>0</v>
      </c>
      <c r="X90" s="29">
        <f t="shared" si="59"/>
        <v>764.27999999999986</v>
      </c>
      <c r="Y90" s="29">
        <f t="shared" si="60"/>
        <v>0</v>
      </c>
      <c r="Z90" s="29">
        <f t="shared" si="61"/>
        <v>0</v>
      </c>
    </row>
    <row r="91" spans="1:27" x14ac:dyDescent="0.3">
      <c r="A91" s="3" t="s">
        <v>7855</v>
      </c>
      <c r="B91" s="3"/>
      <c r="C91" s="3"/>
      <c r="D91" s="4"/>
      <c r="E91" s="15"/>
      <c r="F91" s="15"/>
      <c r="G91" s="41"/>
      <c r="H91" s="3"/>
      <c r="I91" s="38"/>
      <c r="J91" s="3"/>
      <c r="K91" s="3"/>
      <c r="L91" s="32"/>
      <c r="M91" s="32"/>
      <c r="N91" s="32"/>
      <c r="U91" s="29"/>
      <c r="V91" s="29"/>
      <c r="W91" s="29"/>
      <c r="X91" s="29"/>
      <c r="Y91" s="29"/>
      <c r="Z91" s="29"/>
      <c r="AA91" s="109">
        <f>SUM(U92:U95)</f>
        <v>59831</v>
      </c>
    </row>
    <row r="92" spans="1:27" x14ac:dyDescent="0.3">
      <c r="A92" s="5" t="s">
        <v>1844</v>
      </c>
      <c r="B92" s="5" t="s">
        <v>1845</v>
      </c>
      <c r="C92" s="5">
        <v>0</v>
      </c>
      <c r="D92" s="6">
        <v>0</v>
      </c>
      <c r="E92" s="17">
        <f>VLOOKUP(A92,'forecast data dump'!$A$1:$H$3450,4,FALSE)</f>
        <v>44425</v>
      </c>
      <c r="F92" s="17">
        <f>VLOOKUP(A92,'forecast data dump'!$A$1:$H$3450,5,FALSE)</f>
        <v>44467</v>
      </c>
      <c r="G92" s="42">
        <v>0.3</v>
      </c>
      <c r="H92" s="5" t="s">
        <v>3755</v>
      </c>
      <c r="I92" s="39">
        <f t="shared" ref="I92:I95" si="66">C92*(1-G92)</f>
        <v>0</v>
      </c>
      <c r="J92" s="5"/>
      <c r="K92" s="5"/>
      <c r="L92" s="33">
        <f t="shared" ref="L92:L95" si="67">D92*(1-G92)</f>
        <v>0</v>
      </c>
      <c r="M92" s="33">
        <f t="shared" ref="M92:M95" si="68">IF(J92="",L92,(D92/C92)*J92)</f>
        <v>0</v>
      </c>
      <c r="N92" s="33">
        <f t="shared" ref="N92:N95" si="69">L92-M92</f>
        <v>0</v>
      </c>
      <c r="O92">
        <v>1</v>
      </c>
      <c r="U92" s="29">
        <f t="shared" si="56"/>
        <v>0</v>
      </c>
      <c r="V92" s="29">
        <f t="shared" si="57"/>
        <v>0</v>
      </c>
      <c r="W92" s="29">
        <f t="shared" si="58"/>
        <v>0</v>
      </c>
      <c r="X92" s="29">
        <f t="shared" si="59"/>
        <v>0</v>
      </c>
      <c r="Y92" s="29">
        <f t="shared" si="60"/>
        <v>0</v>
      </c>
      <c r="Z92" s="29">
        <f t="shared" si="61"/>
        <v>0</v>
      </c>
      <c r="AA92" s="103" t="s">
        <v>8352</v>
      </c>
    </row>
    <row r="93" spans="1:27" x14ac:dyDescent="0.3">
      <c r="A93" s="5" t="s">
        <v>1846</v>
      </c>
      <c r="B93" s="5" t="s">
        <v>1847</v>
      </c>
      <c r="C93" s="5">
        <v>0</v>
      </c>
      <c r="D93" s="6">
        <v>0</v>
      </c>
      <c r="E93" s="17">
        <f>VLOOKUP(A93,'forecast data dump'!$A$1:$H$3450,4,FALSE)</f>
        <v>44468</v>
      </c>
      <c r="F93" s="17">
        <f>VLOOKUP(A93,'forecast data dump'!$A$1:$H$3450,5,FALSE)</f>
        <v>44468</v>
      </c>
      <c r="G93" s="42">
        <v>0.3</v>
      </c>
      <c r="H93" s="5" t="s">
        <v>3755</v>
      </c>
      <c r="I93" s="39">
        <f t="shared" si="66"/>
        <v>0</v>
      </c>
      <c r="J93" s="5"/>
      <c r="K93" s="5"/>
      <c r="L93" s="33">
        <f t="shared" si="67"/>
        <v>0</v>
      </c>
      <c r="M93" s="33">
        <f t="shared" si="68"/>
        <v>0</v>
      </c>
      <c r="N93" s="33">
        <f t="shared" si="69"/>
        <v>0</v>
      </c>
      <c r="O93">
        <v>1</v>
      </c>
      <c r="U93" s="29">
        <f t="shared" si="56"/>
        <v>0</v>
      </c>
      <c r="V93" s="29">
        <f t="shared" si="57"/>
        <v>0</v>
      </c>
      <c r="W93" s="29">
        <f t="shared" si="58"/>
        <v>0</v>
      </c>
      <c r="X93" s="29">
        <f t="shared" si="59"/>
        <v>0</v>
      </c>
      <c r="Y93" s="29">
        <f t="shared" si="60"/>
        <v>0</v>
      </c>
      <c r="Z93" s="29">
        <f t="shared" si="61"/>
        <v>0</v>
      </c>
    </row>
    <row r="94" spans="1:27" x14ac:dyDescent="0.3">
      <c r="A94" s="5" t="s">
        <v>1848</v>
      </c>
      <c r="B94" s="5" t="s">
        <v>1849</v>
      </c>
      <c r="C94" s="5">
        <v>0</v>
      </c>
      <c r="D94" s="6">
        <v>0</v>
      </c>
      <c r="E94" s="17">
        <f>VLOOKUP(A94,'forecast data dump'!$A$1:$H$3450,4,FALSE)</f>
        <v>44469</v>
      </c>
      <c r="F94" s="17">
        <f>VLOOKUP(A94,'forecast data dump'!$A$1:$H$3450,5,FALSE)</f>
        <v>44488</v>
      </c>
      <c r="G94" s="42">
        <v>0.3</v>
      </c>
      <c r="H94" s="5" t="s">
        <v>3755</v>
      </c>
      <c r="I94" s="39">
        <f t="shared" si="66"/>
        <v>0</v>
      </c>
      <c r="J94" s="5"/>
      <c r="K94" s="5"/>
      <c r="L94" s="33">
        <f t="shared" si="67"/>
        <v>0</v>
      </c>
      <c r="M94" s="33">
        <f t="shared" si="68"/>
        <v>0</v>
      </c>
      <c r="N94" s="33">
        <f t="shared" si="69"/>
        <v>0</v>
      </c>
      <c r="O94">
        <v>1</v>
      </c>
      <c r="U94" s="29">
        <f t="shared" si="56"/>
        <v>0</v>
      </c>
      <c r="V94" s="29">
        <f t="shared" si="57"/>
        <v>0</v>
      </c>
      <c r="W94" s="29">
        <f t="shared" si="58"/>
        <v>0</v>
      </c>
      <c r="X94" s="29">
        <f t="shared" si="59"/>
        <v>0</v>
      </c>
      <c r="Y94" s="29">
        <f t="shared" si="60"/>
        <v>0</v>
      </c>
      <c r="Z94" s="29">
        <f t="shared" si="61"/>
        <v>0</v>
      </c>
    </row>
    <row r="95" spans="1:27" x14ac:dyDescent="0.3">
      <c r="A95" s="5" t="s">
        <v>1852</v>
      </c>
      <c r="B95" s="5" t="s">
        <v>1853</v>
      </c>
      <c r="C95" s="5">
        <v>107261</v>
      </c>
      <c r="D95" s="6">
        <v>119662</v>
      </c>
      <c r="E95" s="17" t="str">
        <f>VLOOKUP(A95,'forecast data dump'!$A$1:$H$3450,4,FALSE)</f>
        <v>20-Oct-21*</v>
      </c>
      <c r="F95" s="17">
        <f>VLOOKUP(A95,'forecast data dump'!$A$1:$H$3450,5,FALSE)</f>
        <v>44489</v>
      </c>
      <c r="G95" s="42">
        <v>0.5</v>
      </c>
      <c r="H95" s="5" t="s">
        <v>3761</v>
      </c>
      <c r="I95" s="39">
        <f t="shared" si="66"/>
        <v>53630.5</v>
      </c>
      <c r="J95" s="5"/>
      <c r="K95" s="5"/>
      <c r="L95" s="33">
        <f t="shared" si="67"/>
        <v>59831</v>
      </c>
      <c r="M95" s="33">
        <f t="shared" si="68"/>
        <v>59831</v>
      </c>
      <c r="N95" s="33">
        <f t="shared" si="69"/>
        <v>0</v>
      </c>
      <c r="O95">
        <v>1</v>
      </c>
      <c r="U95" s="29">
        <f t="shared" si="56"/>
        <v>59831</v>
      </c>
      <c r="V95" s="29">
        <f t="shared" si="57"/>
        <v>0</v>
      </c>
      <c r="W95" s="29">
        <f t="shared" si="58"/>
        <v>0</v>
      </c>
      <c r="X95" s="29">
        <f t="shared" si="59"/>
        <v>0</v>
      </c>
      <c r="Y95" s="29">
        <f t="shared" si="60"/>
        <v>0</v>
      </c>
      <c r="Z95" s="29">
        <f t="shared" si="61"/>
        <v>0</v>
      </c>
    </row>
    <row r="96" spans="1:27" x14ac:dyDescent="0.3">
      <c r="A96" s="3" t="s">
        <v>7856</v>
      </c>
      <c r="B96" s="3"/>
      <c r="C96" s="3"/>
      <c r="D96" s="4"/>
      <c r="E96" s="15"/>
      <c r="F96" s="15"/>
      <c r="G96" s="41"/>
      <c r="H96" s="3"/>
      <c r="I96" s="38"/>
      <c r="J96" s="3"/>
      <c r="K96" s="3"/>
      <c r="L96" s="32"/>
      <c r="M96" s="32"/>
      <c r="N96" s="32"/>
      <c r="U96" s="29"/>
      <c r="V96" s="29"/>
      <c r="W96" s="29"/>
      <c r="X96" s="29"/>
      <c r="Y96" s="29"/>
      <c r="Z96" s="29"/>
    </row>
    <row r="97" spans="1:27" x14ac:dyDescent="0.3">
      <c r="A97" s="5" t="s">
        <v>1856</v>
      </c>
      <c r="B97" s="5" t="s">
        <v>1857</v>
      </c>
      <c r="C97" s="5">
        <v>5</v>
      </c>
      <c r="D97" s="6">
        <v>652</v>
      </c>
      <c r="E97" s="17">
        <f>VLOOKUP(A97,'forecast data dump'!$A$1:$H$3450,4,FALSE)</f>
        <v>44489</v>
      </c>
      <c r="F97" s="17">
        <f>VLOOKUP(A97,'forecast data dump'!$A$1:$H$3450,5,FALSE)</f>
        <v>44489</v>
      </c>
      <c r="G97" s="42">
        <v>0.3</v>
      </c>
      <c r="H97" s="5" t="s">
        <v>3758</v>
      </c>
      <c r="I97" s="39">
        <f t="shared" ref="I97:I99" si="70">C97*(1-G97)</f>
        <v>3.5</v>
      </c>
      <c r="J97" s="5"/>
      <c r="K97" s="5"/>
      <c r="L97" s="33">
        <f t="shared" ref="L97:L99" si="71">D97*(1-G97)</f>
        <v>456.4</v>
      </c>
      <c r="M97" s="33">
        <f t="shared" ref="M97:M99" si="72">IF(J97="",L97,(D97/C97)*J97)</f>
        <v>456.4</v>
      </c>
      <c r="N97" s="33">
        <f t="shared" ref="N97:N99" si="73">L97-M97</f>
        <v>0</v>
      </c>
      <c r="T97">
        <v>1</v>
      </c>
      <c r="U97" s="29">
        <f t="shared" si="56"/>
        <v>0</v>
      </c>
      <c r="V97" s="29">
        <f t="shared" si="57"/>
        <v>0</v>
      </c>
      <c r="W97" s="29">
        <f t="shared" si="58"/>
        <v>0</v>
      </c>
      <c r="X97" s="29">
        <f t="shared" si="59"/>
        <v>0</v>
      </c>
      <c r="Y97" s="29">
        <f t="shared" si="60"/>
        <v>0</v>
      </c>
      <c r="Z97" s="29">
        <f t="shared" si="61"/>
        <v>456.4</v>
      </c>
    </row>
    <row r="98" spans="1:27" x14ac:dyDescent="0.3">
      <c r="A98" s="5" t="s">
        <v>1856</v>
      </c>
      <c r="B98" s="5" t="s">
        <v>1857</v>
      </c>
      <c r="C98" s="5">
        <v>16</v>
      </c>
      <c r="D98" s="6">
        <v>2061</v>
      </c>
      <c r="E98" s="17">
        <f>VLOOKUP(A98,'forecast data dump'!$A$1:$H$3450,4,FALSE)</f>
        <v>44489</v>
      </c>
      <c r="F98" s="17">
        <f>VLOOKUP(A98,'forecast data dump'!$A$1:$H$3450,5,FALSE)</f>
        <v>44489</v>
      </c>
      <c r="G98" s="42">
        <v>0.3</v>
      </c>
      <c r="H98" s="5" t="s">
        <v>3752</v>
      </c>
      <c r="I98" s="39">
        <f t="shared" si="70"/>
        <v>11.2</v>
      </c>
      <c r="J98" s="5"/>
      <c r="K98" s="5"/>
      <c r="L98" s="33">
        <f t="shared" si="71"/>
        <v>1442.6999999999998</v>
      </c>
      <c r="M98" s="33">
        <f t="shared" si="72"/>
        <v>1442.6999999999998</v>
      </c>
      <c r="N98" s="33">
        <f t="shared" si="73"/>
        <v>0</v>
      </c>
      <c r="T98">
        <v>1</v>
      </c>
      <c r="U98" s="29">
        <f t="shared" si="56"/>
        <v>0</v>
      </c>
      <c r="V98" s="29">
        <f t="shared" si="57"/>
        <v>0</v>
      </c>
      <c r="W98" s="29">
        <f t="shared" si="58"/>
        <v>0</v>
      </c>
      <c r="X98" s="29">
        <f t="shared" si="59"/>
        <v>0</v>
      </c>
      <c r="Y98" s="29">
        <f t="shared" si="60"/>
        <v>0</v>
      </c>
      <c r="Z98" s="29">
        <f t="shared" si="61"/>
        <v>1442.6999999999998</v>
      </c>
    </row>
    <row r="99" spans="1:27" x14ac:dyDescent="0.3">
      <c r="A99" s="5" t="s">
        <v>1858</v>
      </c>
      <c r="B99" s="5" t="s">
        <v>1859</v>
      </c>
      <c r="C99" s="5">
        <v>1</v>
      </c>
      <c r="D99" s="6">
        <v>199</v>
      </c>
      <c r="E99" s="17">
        <f>VLOOKUP(A99,'forecast data dump'!$A$1:$H$3450,4,FALSE)</f>
        <v>44490</v>
      </c>
      <c r="F99" s="17">
        <f>VLOOKUP(A99,'forecast data dump'!$A$1:$H$3450,5,FALSE)</f>
        <v>44490</v>
      </c>
      <c r="G99" s="42">
        <v>0.3</v>
      </c>
      <c r="H99" s="5" t="s">
        <v>3755</v>
      </c>
      <c r="I99" s="39">
        <f t="shared" si="70"/>
        <v>0.7</v>
      </c>
      <c r="J99" s="5"/>
      <c r="K99" s="5"/>
      <c r="L99" s="33">
        <f t="shared" si="71"/>
        <v>139.29999999999998</v>
      </c>
      <c r="M99" s="33">
        <f t="shared" si="72"/>
        <v>139.29999999999998</v>
      </c>
      <c r="N99" s="33">
        <f t="shared" si="73"/>
        <v>0</v>
      </c>
      <c r="T99">
        <v>1</v>
      </c>
      <c r="U99" s="29">
        <f t="shared" si="56"/>
        <v>0</v>
      </c>
      <c r="V99" s="29">
        <f t="shared" si="57"/>
        <v>0</v>
      </c>
      <c r="W99" s="29">
        <f t="shared" si="58"/>
        <v>0</v>
      </c>
      <c r="X99" s="29">
        <f t="shared" si="59"/>
        <v>0</v>
      </c>
      <c r="Y99" s="29">
        <f t="shared" si="60"/>
        <v>0</v>
      </c>
      <c r="Z99" s="29">
        <f t="shared" si="61"/>
        <v>139.29999999999998</v>
      </c>
    </row>
    <row r="100" spans="1:27" x14ac:dyDescent="0.3">
      <c r="A100" s="3" t="s">
        <v>7857</v>
      </c>
      <c r="B100" s="3"/>
      <c r="C100" s="3"/>
      <c r="D100" s="4"/>
      <c r="E100" s="15"/>
      <c r="F100" s="15"/>
      <c r="G100" s="41"/>
      <c r="H100" s="3"/>
      <c r="I100" s="38"/>
      <c r="J100" s="3"/>
      <c r="K100" s="3"/>
      <c r="L100" s="32"/>
      <c r="M100" s="32"/>
      <c r="N100" s="32"/>
      <c r="U100" s="29"/>
      <c r="V100" s="29"/>
      <c r="W100" s="29"/>
      <c r="X100" s="29"/>
      <c r="Y100" s="29"/>
      <c r="Z100" s="29"/>
    </row>
    <row r="101" spans="1:27" x14ac:dyDescent="0.3">
      <c r="A101" s="5" t="s">
        <v>1872</v>
      </c>
      <c r="B101" s="5" t="s">
        <v>1873</v>
      </c>
      <c r="C101" s="5">
        <v>48</v>
      </c>
      <c r="D101" s="6">
        <v>6072</v>
      </c>
      <c r="E101" s="17" t="str">
        <f>VLOOKUP(A101,'forecast data dump'!$A$1:$H$3450,4,FALSE)</f>
        <v>17-May-21 A</v>
      </c>
      <c r="F101" s="17">
        <f>VLOOKUP(A101,'forecast data dump'!$A$1:$H$3450,5,FALSE)</f>
        <v>44397</v>
      </c>
      <c r="G101" s="42">
        <v>0.1</v>
      </c>
      <c r="H101" s="5" t="s">
        <v>3758</v>
      </c>
      <c r="I101" s="39">
        <f t="shared" ref="I101:I110" si="74">C101*(1-G101)</f>
        <v>43.2</v>
      </c>
      <c r="J101" s="5"/>
      <c r="K101" s="5"/>
      <c r="L101" s="33">
        <f t="shared" ref="L101:L110" si="75">D101*(1-G101)</f>
        <v>5464.8</v>
      </c>
      <c r="M101" s="33">
        <f t="shared" ref="M101:M110" si="76">IF(J101="",L101,(D101/C101)*J101)</f>
        <v>5464.8</v>
      </c>
      <c r="N101" s="33">
        <f t="shared" ref="N101:N110" si="77">L101-M101</f>
        <v>0</v>
      </c>
      <c r="T101">
        <v>1</v>
      </c>
      <c r="U101" s="29">
        <f t="shared" si="56"/>
        <v>0</v>
      </c>
      <c r="V101" s="29">
        <f t="shared" si="57"/>
        <v>0</v>
      </c>
      <c r="W101" s="29">
        <f t="shared" si="58"/>
        <v>0</v>
      </c>
      <c r="X101" s="29">
        <f t="shared" si="59"/>
        <v>0</v>
      </c>
      <c r="Y101" s="29">
        <f t="shared" si="60"/>
        <v>0</v>
      </c>
      <c r="Z101" s="29">
        <f t="shared" si="61"/>
        <v>5464.8</v>
      </c>
    </row>
    <row r="102" spans="1:27" x14ac:dyDescent="0.3">
      <c r="A102" s="5" t="s">
        <v>1872</v>
      </c>
      <c r="B102" s="5" t="s">
        <v>1873</v>
      </c>
      <c r="C102" s="5">
        <v>40</v>
      </c>
      <c r="D102" s="6">
        <v>4565</v>
      </c>
      <c r="E102" s="17" t="str">
        <f>VLOOKUP(A102,'forecast data dump'!$A$1:$H$3450,4,FALSE)</f>
        <v>17-May-21 A</v>
      </c>
      <c r="F102" s="17">
        <f>VLOOKUP(A102,'forecast data dump'!$A$1:$H$3450,5,FALSE)</f>
        <v>44397</v>
      </c>
      <c r="G102" s="42">
        <v>0.1</v>
      </c>
      <c r="H102" s="5" t="s">
        <v>3759</v>
      </c>
      <c r="I102" s="39">
        <f t="shared" si="74"/>
        <v>36</v>
      </c>
      <c r="J102" s="5"/>
      <c r="K102" s="5"/>
      <c r="L102" s="33">
        <f t="shared" si="75"/>
        <v>4108.5</v>
      </c>
      <c r="M102" s="33">
        <f t="shared" si="76"/>
        <v>4108.5</v>
      </c>
      <c r="N102" s="33">
        <f t="shared" si="77"/>
        <v>0</v>
      </c>
      <c r="T102">
        <v>1</v>
      </c>
      <c r="U102" s="29">
        <f t="shared" si="56"/>
        <v>0</v>
      </c>
      <c r="V102" s="29">
        <f t="shared" si="57"/>
        <v>0</v>
      </c>
      <c r="W102" s="29">
        <f t="shared" si="58"/>
        <v>0</v>
      </c>
      <c r="X102" s="29">
        <f t="shared" si="59"/>
        <v>0</v>
      </c>
      <c r="Y102" s="29">
        <f t="shared" si="60"/>
        <v>0</v>
      </c>
      <c r="Z102" s="29">
        <f t="shared" si="61"/>
        <v>4108.5</v>
      </c>
    </row>
    <row r="103" spans="1:27" x14ac:dyDescent="0.3">
      <c r="A103" s="5" t="s">
        <v>1874</v>
      </c>
      <c r="B103" s="5" t="s">
        <v>1875</v>
      </c>
      <c r="C103" s="5">
        <v>16</v>
      </c>
      <c r="D103" s="6">
        <v>2085</v>
      </c>
      <c r="E103" s="17">
        <f>VLOOKUP(A103,'forecast data dump'!$A$1:$H$3450,4,FALSE)</f>
        <v>44491</v>
      </c>
      <c r="F103" s="17">
        <f>VLOOKUP(A103,'forecast data dump'!$A$1:$H$3450,5,FALSE)</f>
        <v>44504</v>
      </c>
      <c r="G103" s="42">
        <v>0.2</v>
      </c>
      <c r="H103" s="5" t="s">
        <v>3758</v>
      </c>
      <c r="I103" s="39">
        <f t="shared" si="74"/>
        <v>12.8</v>
      </c>
      <c r="J103" s="5"/>
      <c r="K103" s="5"/>
      <c r="L103" s="33">
        <f t="shared" si="75"/>
        <v>1668</v>
      </c>
      <c r="M103" s="33">
        <f t="shared" si="76"/>
        <v>1668</v>
      </c>
      <c r="N103" s="33">
        <f t="shared" si="77"/>
        <v>0</v>
      </c>
      <c r="T103">
        <v>1</v>
      </c>
      <c r="U103" s="29">
        <f t="shared" si="56"/>
        <v>0</v>
      </c>
      <c r="V103" s="29">
        <f t="shared" si="57"/>
        <v>0</v>
      </c>
      <c r="W103" s="29">
        <f t="shared" si="58"/>
        <v>0</v>
      </c>
      <c r="X103" s="29">
        <f t="shared" si="59"/>
        <v>0</v>
      </c>
      <c r="Y103" s="29">
        <f t="shared" si="60"/>
        <v>0</v>
      </c>
      <c r="Z103" s="29">
        <f t="shared" si="61"/>
        <v>1668</v>
      </c>
    </row>
    <row r="104" spans="1:27" x14ac:dyDescent="0.3">
      <c r="A104" s="5" t="s">
        <v>1874</v>
      </c>
      <c r="B104" s="5" t="s">
        <v>1875</v>
      </c>
      <c r="C104" s="5">
        <v>240</v>
      </c>
      <c r="D104" s="6">
        <v>28211</v>
      </c>
      <c r="E104" s="17">
        <f>VLOOKUP(A104,'forecast data dump'!$A$1:$H$3450,4,FALSE)</f>
        <v>44491</v>
      </c>
      <c r="F104" s="17">
        <f>VLOOKUP(A104,'forecast data dump'!$A$1:$H$3450,5,FALSE)</f>
        <v>44504</v>
      </c>
      <c r="G104" s="42">
        <v>0.2</v>
      </c>
      <c r="H104" s="5" t="s">
        <v>3759</v>
      </c>
      <c r="I104" s="39">
        <f t="shared" si="74"/>
        <v>192</v>
      </c>
      <c r="J104" s="5"/>
      <c r="K104" s="5"/>
      <c r="L104" s="33">
        <f t="shared" si="75"/>
        <v>22568.800000000003</v>
      </c>
      <c r="M104" s="33">
        <f t="shared" si="76"/>
        <v>22568.800000000003</v>
      </c>
      <c r="N104" s="33">
        <f t="shared" si="77"/>
        <v>0</v>
      </c>
      <c r="T104">
        <v>1</v>
      </c>
      <c r="U104" s="29">
        <f t="shared" si="56"/>
        <v>0</v>
      </c>
      <c r="V104" s="29">
        <f t="shared" si="57"/>
        <v>0</v>
      </c>
      <c r="W104" s="29">
        <f t="shared" si="58"/>
        <v>0</v>
      </c>
      <c r="X104" s="29">
        <f t="shared" si="59"/>
        <v>0</v>
      </c>
      <c r="Y104" s="29">
        <f t="shared" si="60"/>
        <v>0</v>
      </c>
      <c r="Z104" s="29">
        <f t="shared" si="61"/>
        <v>22568.800000000003</v>
      </c>
    </row>
    <row r="105" spans="1:27" x14ac:dyDescent="0.3">
      <c r="A105" s="5" t="s">
        <v>1874</v>
      </c>
      <c r="B105" s="5" t="s">
        <v>1875</v>
      </c>
      <c r="C105" s="5">
        <v>16</v>
      </c>
      <c r="D105" s="6">
        <v>2061</v>
      </c>
      <c r="E105" s="17">
        <f>VLOOKUP(A105,'forecast data dump'!$A$1:$H$3450,4,FALSE)</f>
        <v>44491</v>
      </c>
      <c r="F105" s="17">
        <f>VLOOKUP(A105,'forecast data dump'!$A$1:$H$3450,5,FALSE)</f>
        <v>44504</v>
      </c>
      <c r="G105" s="42">
        <v>0.2</v>
      </c>
      <c r="H105" s="5" t="s">
        <v>3752</v>
      </c>
      <c r="I105" s="39">
        <f t="shared" si="74"/>
        <v>12.8</v>
      </c>
      <c r="J105" s="5"/>
      <c r="K105" s="5"/>
      <c r="L105" s="33">
        <f t="shared" si="75"/>
        <v>1648.8000000000002</v>
      </c>
      <c r="M105" s="33">
        <f t="shared" si="76"/>
        <v>1648.8000000000002</v>
      </c>
      <c r="N105" s="33">
        <f t="shared" si="77"/>
        <v>0</v>
      </c>
      <c r="T105">
        <v>1</v>
      </c>
      <c r="U105" s="29">
        <f t="shared" si="56"/>
        <v>0</v>
      </c>
      <c r="V105" s="29">
        <f t="shared" si="57"/>
        <v>0</v>
      </c>
      <c r="W105" s="29">
        <f t="shared" si="58"/>
        <v>0</v>
      </c>
      <c r="X105" s="29">
        <f t="shared" si="59"/>
        <v>0</v>
      </c>
      <c r="Y105" s="29">
        <f t="shared" si="60"/>
        <v>0</v>
      </c>
      <c r="Z105" s="29">
        <f t="shared" si="61"/>
        <v>1648.8000000000002</v>
      </c>
    </row>
    <row r="106" spans="1:27" x14ac:dyDescent="0.3">
      <c r="A106" s="5" t="s">
        <v>1876</v>
      </c>
      <c r="B106" s="5" t="s">
        <v>1877</v>
      </c>
      <c r="C106" s="5">
        <v>24</v>
      </c>
      <c r="D106" s="6">
        <v>3127</v>
      </c>
      <c r="E106" s="17">
        <f>VLOOKUP(A106,'forecast data dump'!$A$1:$H$3450,4,FALSE)</f>
        <v>44505</v>
      </c>
      <c r="F106" s="17">
        <f>VLOOKUP(A106,'forecast data dump'!$A$1:$H$3450,5,FALSE)</f>
        <v>44530</v>
      </c>
      <c r="G106" s="42">
        <v>0.3</v>
      </c>
      <c r="H106" s="5" t="s">
        <v>3758</v>
      </c>
      <c r="I106" s="39">
        <f t="shared" si="74"/>
        <v>16.799999999999997</v>
      </c>
      <c r="J106" s="5"/>
      <c r="K106" s="5"/>
      <c r="L106" s="33">
        <f t="shared" si="75"/>
        <v>2188.8999999999996</v>
      </c>
      <c r="M106" s="33">
        <f t="shared" si="76"/>
        <v>2188.8999999999996</v>
      </c>
      <c r="N106" s="33">
        <f t="shared" si="77"/>
        <v>0</v>
      </c>
      <c r="T106">
        <v>1</v>
      </c>
      <c r="U106" s="29">
        <f t="shared" si="56"/>
        <v>0</v>
      </c>
      <c r="V106" s="29">
        <f t="shared" si="57"/>
        <v>0</v>
      </c>
      <c r="W106" s="29">
        <f t="shared" si="58"/>
        <v>0</v>
      </c>
      <c r="X106" s="29">
        <f t="shared" si="59"/>
        <v>0</v>
      </c>
      <c r="Y106" s="29">
        <f t="shared" si="60"/>
        <v>0</v>
      </c>
      <c r="Z106" s="29">
        <f t="shared" si="61"/>
        <v>2188.8999999999996</v>
      </c>
    </row>
    <row r="107" spans="1:27" x14ac:dyDescent="0.3">
      <c r="A107" s="5" t="s">
        <v>1876</v>
      </c>
      <c r="B107" s="5" t="s">
        <v>1877</v>
      </c>
      <c r="C107" s="5">
        <v>96</v>
      </c>
      <c r="D107" s="6">
        <v>11284</v>
      </c>
      <c r="E107" s="17">
        <f>VLOOKUP(A107,'forecast data dump'!$A$1:$H$3450,4,FALSE)</f>
        <v>44505</v>
      </c>
      <c r="F107" s="17">
        <f>VLOOKUP(A107,'forecast data dump'!$A$1:$H$3450,5,FALSE)</f>
        <v>44530</v>
      </c>
      <c r="G107" s="42">
        <v>0.3</v>
      </c>
      <c r="H107" s="5" t="s">
        <v>3759</v>
      </c>
      <c r="I107" s="39">
        <f t="shared" si="74"/>
        <v>67.199999999999989</v>
      </c>
      <c r="J107" s="5"/>
      <c r="K107" s="5"/>
      <c r="L107" s="33">
        <f t="shared" si="75"/>
        <v>7898.7999999999993</v>
      </c>
      <c r="M107" s="33">
        <f t="shared" si="76"/>
        <v>7898.7999999999993</v>
      </c>
      <c r="N107" s="33">
        <f t="shared" si="77"/>
        <v>0</v>
      </c>
      <c r="T107">
        <v>1</v>
      </c>
      <c r="U107" s="29">
        <f t="shared" si="56"/>
        <v>0</v>
      </c>
      <c r="V107" s="29">
        <f t="shared" si="57"/>
        <v>0</v>
      </c>
      <c r="W107" s="29">
        <f t="shared" si="58"/>
        <v>0</v>
      </c>
      <c r="X107" s="29">
        <f t="shared" si="59"/>
        <v>0</v>
      </c>
      <c r="Y107" s="29">
        <f t="shared" si="60"/>
        <v>0</v>
      </c>
      <c r="Z107" s="29">
        <f t="shared" si="61"/>
        <v>7898.7999999999993</v>
      </c>
    </row>
    <row r="108" spans="1:27" x14ac:dyDescent="0.3">
      <c r="A108" s="5" t="s">
        <v>1878</v>
      </c>
      <c r="B108" s="5" t="s">
        <v>1879</v>
      </c>
      <c r="C108" s="5">
        <v>20</v>
      </c>
      <c r="D108" s="6">
        <v>2606</v>
      </c>
      <c r="E108" s="17">
        <f>VLOOKUP(A108,'forecast data dump'!$A$1:$H$3450,4,FALSE)</f>
        <v>44531</v>
      </c>
      <c r="F108" s="17">
        <f>VLOOKUP(A108,'forecast data dump'!$A$1:$H$3450,5,FALSE)</f>
        <v>44544</v>
      </c>
      <c r="G108" s="42">
        <f>VLOOKUP(A108,'forecast data dump'!$A$1:$H$3450,8,FALSE)</f>
        <v>0</v>
      </c>
      <c r="H108" s="5" t="s">
        <v>3758</v>
      </c>
      <c r="I108" s="39">
        <f t="shared" si="74"/>
        <v>20</v>
      </c>
      <c r="J108" s="5"/>
      <c r="K108" s="5"/>
      <c r="L108" s="33">
        <f t="shared" si="75"/>
        <v>2606</v>
      </c>
      <c r="M108" s="33">
        <f t="shared" si="76"/>
        <v>2606</v>
      </c>
      <c r="N108" s="33">
        <f t="shared" si="77"/>
        <v>0</v>
      </c>
      <c r="T108">
        <v>1</v>
      </c>
      <c r="U108" s="29">
        <f t="shared" si="56"/>
        <v>0</v>
      </c>
      <c r="V108" s="29">
        <f t="shared" si="57"/>
        <v>0</v>
      </c>
      <c r="W108" s="29">
        <f t="shared" si="58"/>
        <v>0</v>
      </c>
      <c r="X108" s="29">
        <f t="shared" si="59"/>
        <v>0</v>
      </c>
      <c r="Y108" s="29">
        <f t="shared" si="60"/>
        <v>0</v>
      </c>
      <c r="Z108" s="29">
        <f t="shared" si="61"/>
        <v>2606</v>
      </c>
    </row>
    <row r="109" spans="1:27" x14ac:dyDescent="0.3">
      <c r="A109" s="5" t="s">
        <v>1878</v>
      </c>
      <c r="B109" s="5" t="s">
        <v>1879</v>
      </c>
      <c r="C109" s="5">
        <v>64</v>
      </c>
      <c r="D109" s="6">
        <v>7523</v>
      </c>
      <c r="E109" s="17">
        <f>VLOOKUP(A109,'forecast data dump'!$A$1:$H$3450,4,FALSE)</f>
        <v>44531</v>
      </c>
      <c r="F109" s="17">
        <f>VLOOKUP(A109,'forecast data dump'!$A$1:$H$3450,5,FALSE)</f>
        <v>44544</v>
      </c>
      <c r="G109" s="42">
        <f>VLOOKUP(A109,'forecast data dump'!$A$1:$H$3450,8,FALSE)</f>
        <v>0</v>
      </c>
      <c r="H109" s="5" t="s">
        <v>3759</v>
      </c>
      <c r="I109" s="39">
        <f t="shared" si="74"/>
        <v>64</v>
      </c>
      <c r="J109" s="5"/>
      <c r="K109" s="5"/>
      <c r="L109" s="33">
        <f t="shared" si="75"/>
        <v>7523</v>
      </c>
      <c r="M109" s="33">
        <f t="shared" si="76"/>
        <v>7523</v>
      </c>
      <c r="N109" s="33">
        <f t="shared" si="77"/>
        <v>0</v>
      </c>
      <c r="T109">
        <v>1</v>
      </c>
      <c r="U109" s="29">
        <f t="shared" si="56"/>
        <v>0</v>
      </c>
      <c r="V109" s="29">
        <f t="shared" si="57"/>
        <v>0</v>
      </c>
      <c r="W109" s="29">
        <f t="shared" si="58"/>
        <v>0</v>
      </c>
      <c r="X109" s="29">
        <f t="shared" si="59"/>
        <v>0</v>
      </c>
      <c r="Y109" s="29">
        <f t="shared" si="60"/>
        <v>0</v>
      </c>
      <c r="Z109" s="29">
        <f t="shared" si="61"/>
        <v>7523</v>
      </c>
    </row>
    <row r="110" spans="1:27" x14ac:dyDescent="0.3">
      <c r="A110" s="5" t="s">
        <v>1882</v>
      </c>
      <c r="B110" s="5" t="s">
        <v>1883</v>
      </c>
      <c r="C110" s="5">
        <v>80</v>
      </c>
      <c r="D110" s="6">
        <v>10306</v>
      </c>
      <c r="E110" s="17">
        <f>VLOOKUP(A110,'forecast data dump'!$A$1:$H$3450,4,FALSE)</f>
        <v>44505</v>
      </c>
      <c r="F110" s="17">
        <f>VLOOKUP(A110,'forecast data dump'!$A$1:$H$3450,5,FALSE)</f>
        <v>44519</v>
      </c>
      <c r="G110" s="42">
        <f>VLOOKUP(A110,'forecast data dump'!$A$1:$H$3450,8,FALSE)</f>
        <v>0</v>
      </c>
      <c r="H110" s="5" t="s">
        <v>3752</v>
      </c>
      <c r="I110" s="39">
        <f t="shared" si="74"/>
        <v>80</v>
      </c>
      <c r="J110" s="5"/>
      <c r="K110" s="5"/>
      <c r="L110" s="33">
        <f t="shared" si="75"/>
        <v>10306</v>
      </c>
      <c r="M110" s="33">
        <f t="shared" si="76"/>
        <v>10306</v>
      </c>
      <c r="N110" s="33">
        <f t="shared" si="77"/>
        <v>0</v>
      </c>
      <c r="T110">
        <v>1</v>
      </c>
      <c r="U110" s="29">
        <f t="shared" si="56"/>
        <v>0</v>
      </c>
      <c r="V110" s="29">
        <f t="shared" si="57"/>
        <v>0</v>
      </c>
      <c r="W110" s="29">
        <f t="shared" si="58"/>
        <v>0</v>
      </c>
      <c r="X110" s="29">
        <f t="shared" si="59"/>
        <v>0</v>
      </c>
      <c r="Y110" s="29">
        <f t="shared" si="60"/>
        <v>0</v>
      </c>
      <c r="Z110" s="29">
        <f t="shared" si="61"/>
        <v>10306</v>
      </c>
    </row>
    <row r="111" spans="1:27" x14ac:dyDescent="0.3">
      <c r="A111" s="3" t="s">
        <v>7858</v>
      </c>
      <c r="B111" s="3"/>
      <c r="C111" s="3"/>
      <c r="D111" s="4"/>
      <c r="E111" s="15"/>
      <c r="F111" s="15"/>
      <c r="G111" s="41"/>
      <c r="H111" s="3"/>
      <c r="I111" s="38"/>
      <c r="J111" s="3"/>
      <c r="K111" s="3"/>
      <c r="L111" s="32"/>
      <c r="M111" s="32"/>
      <c r="N111" s="32"/>
      <c r="U111" s="29"/>
      <c r="V111" s="29"/>
      <c r="W111" s="29"/>
      <c r="X111" s="29"/>
      <c r="Y111" s="29"/>
      <c r="Z111" s="29"/>
      <c r="AA111" s="109">
        <f>SUM(U112:U137)</f>
        <v>0</v>
      </c>
    </row>
    <row r="112" spans="1:27" x14ac:dyDescent="0.3">
      <c r="A112" s="5" t="s">
        <v>1711</v>
      </c>
      <c r="B112" s="5" t="s">
        <v>1712</v>
      </c>
      <c r="C112" s="5">
        <v>19</v>
      </c>
      <c r="D112" s="6">
        <v>2404</v>
      </c>
      <c r="E112" s="17" t="str">
        <f>VLOOKUP(A112,'forecast data dump'!$A$1:$H$3450,4,FALSE)</f>
        <v>02-Dec-19 A</v>
      </c>
      <c r="F112" s="17">
        <f>VLOOKUP(A112,'forecast data dump'!$A$1:$H$3450,5,FALSE)</f>
        <v>44438</v>
      </c>
      <c r="G112" s="42">
        <v>0.86</v>
      </c>
      <c r="H112" s="5" t="s">
        <v>3758</v>
      </c>
      <c r="I112" s="39">
        <f t="shared" ref="I112:I113" si="78">C112*(1-G112)</f>
        <v>2.66</v>
      </c>
      <c r="J112" s="5"/>
      <c r="K112" s="5"/>
      <c r="L112" s="33">
        <f t="shared" ref="L112:L113" si="79">D112*(1-G112)</f>
        <v>336.56000000000006</v>
      </c>
      <c r="M112" s="33">
        <f t="shared" ref="M112:M113" si="80">IF(J112="",L112,(D112/C112)*J112)</f>
        <v>336.56000000000006</v>
      </c>
      <c r="N112" s="33">
        <f t="shared" ref="N112:N113" si="81">L112-M112</f>
        <v>0</v>
      </c>
      <c r="R112">
        <v>1</v>
      </c>
      <c r="U112" s="29">
        <f t="shared" si="56"/>
        <v>0</v>
      </c>
      <c r="V112" s="29">
        <f t="shared" si="57"/>
        <v>0</v>
      </c>
      <c r="W112" s="29">
        <f t="shared" si="58"/>
        <v>0</v>
      </c>
      <c r="X112" s="29">
        <f t="shared" si="59"/>
        <v>336.56000000000006</v>
      </c>
      <c r="Y112" s="29">
        <f t="shared" si="60"/>
        <v>0</v>
      </c>
      <c r="Z112" s="29">
        <f t="shared" si="61"/>
        <v>0</v>
      </c>
      <c r="AA112" s="103" t="s">
        <v>8355</v>
      </c>
    </row>
    <row r="113" spans="1:27" x14ac:dyDescent="0.3">
      <c r="A113" s="5" t="s">
        <v>1711</v>
      </c>
      <c r="B113" s="5" t="s">
        <v>1712</v>
      </c>
      <c r="C113" s="5">
        <v>38</v>
      </c>
      <c r="D113" s="6">
        <v>7334</v>
      </c>
      <c r="E113" s="17" t="str">
        <f>VLOOKUP(A113,'forecast data dump'!$A$1:$H$3450,4,FALSE)</f>
        <v>02-Dec-19 A</v>
      </c>
      <c r="F113" s="17">
        <f>VLOOKUP(A113,'forecast data dump'!$A$1:$H$3450,5,FALSE)</f>
        <v>44438</v>
      </c>
      <c r="G113" s="42">
        <v>0.86</v>
      </c>
      <c r="H113" s="5" t="s">
        <v>3755</v>
      </c>
      <c r="I113" s="39">
        <f t="shared" si="78"/>
        <v>5.32</v>
      </c>
      <c r="J113" s="5"/>
      <c r="K113" s="5"/>
      <c r="L113" s="33">
        <f t="shared" si="79"/>
        <v>1026.76</v>
      </c>
      <c r="M113" s="33">
        <f t="shared" si="80"/>
        <v>1026.76</v>
      </c>
      <c r="N113" s="33">
        <f t="shared" si="81"/>
        <v>0</v>
      </c>
      <c r="R113">
        <v>1</v>
      </c>
      <c r="U113" s="29">
        <f t="shared" si="56"/>
        <v>0</v>
      </c>
      <c r="V113" s="29">
        <f t="shared" si="57"/>
        <v>0</v>
      </c>
      <c r="W113" s="29">
        <f t="shared" si="58"/>
        <v>0</v>
      </c>
      <c r="X113" s="29">
        <f t="shared" si="59"/>
        <v>1026.76</v>
      </c>
      <c r="Y113" s="29">
        <f t="shared" si="60"/>
        <v>0</v>
      </c>
      <c r="Z113" s="29">
        <f t="shared" si="61"/>
        <v>0</v>
      </c>
      <c r="AA113" s="103" t="s">
        <v>8354</v>
      </c>
    </row>
    <row r="114" spans="1:27" x14ac:dyDescent="0.3">
      <c r="A114" s="3" t="s">
        <v>7859</v>
      </c>
      <c r="B114" s="3"/>
      <c r="C114" s="3"/>
      <c r="D114" s="4"/>
      <c r="E114" s="15"/>
      <c r="F114" s="15"/>
      <c r="G114" s="41"/>
      <c r="H114" s="3"/>
      <c r="I114" s="38"/>
      <c r="J114" s="3"/>
      <c r="K114" s="3"/>
      <c r="L114" s="32"/>
      <c r="M114" s="32"/>
      <c r="N114" s="32"/>
      <c r="U114" s="29"/>
      <c r="V114" s="29"/>
      <c r="W114" s="29"/>
      <c r="X114" s="29"/>
      <c r="Y114" s="29"/>
      <c r="Z114" s="29"/>
    </row>
    <row r="115" spans="1:27" x14ac:dyDescent="0.3">
      <c r="A115" s="3" t="s">
        <v>7860</v>
      </c>
      <c r="B115" s="3"/>
      <c r="C115" s="3"/>
      <c r="D115" s="4"/>
      <c r="E115" s="15"/>
      <c r="F115" s="15"/>
      <c r="G115" s="41"/>
      <c r="H115" s="3"/>
      <c r="I115" s="38"/>
      <c r="J115" s="3"/>
      <c r="K115" s="3"/>
      <c r="L115" s="32"/>
      <c r="M115" s="32"/>
      <c r="N115" s="32"/>
      <c r="U115" s="29"/>
      <c r="V115" s="29"/>
      <c r="W115" s="29"/>
      <c r="X115" s="29"/>
      <c r="Y115" s="29"/>
      <c r="Z115" s="29"/>
    </row>
    <row r="116" spans="1:27" x14ac:dyDescent="0.3">
      <c r="A116" s="3" t="s">
        <v>7861</v>
      </c>
      <c r="B116" s="3"/>
      <c r="C116" s="3"/>
      <c r="D116" s="4"/>
      <c r="E116" s="15"/>
      <c r="F116" s="15"/>
      <c r="G116" s="41"/>
      <c r="H116" s="3"/>
      <c r="I116" s="38"/>
      <c r="J116" s="3"/>
      <c r="K116" s="3"/>
      <c r="L116" s="32"/>
      <c r="M116" s="32"/>
      <c r="N116" s="32"/>
      <c r="U116" s="29"/>
      <c r="V116" s="29"/>
      <c r="W116" s="29"/>
      <c r="X116" s="29"/>
      <c r="Y116" s="29"/>
      <c r="Z116" s="29"/>
    </row>
    <row r="117" spans="1:27" x14ac:dyDescent="0.3">
      <c r="A117" s="3" t="s">
        <v>7862</v>
      </c>
      <c r="B117" s="3"/>
      <c r="C117" s="3"/>
      <c r="D117" s="4"/>
      <c r="E117" s="15"/>
      <c r="F117" s="15"/>
      <c r="G117" s="41"/>
      <c r="H117" s="3"/>
      <c r="I117" s="38"/>
      <c r="J117" s="3"/>
      <c r="K117" s="3"/>
      <c r="L117" s="32"/>
      <c r="M117" s="32"/>
      <c r="N117" s="32"/>
      <c r="U117" s="29"/>
      <c r="V117" s="29"/>
      <c r="W117" s="29"/>
      <c r="X117" s="29"/>
      <c r="Y117" s="29"/>
      <c r="Z117" s="29"/>
    </row>
    <row r="118" spans="1:27" x14ac:dyDescent="0.3">
      <c r="A118" s="5" t="s">
        <v>1741</v>
      </c>
      <c r="B118" s="5" t="s">
        <v>1742</v>
      </c>
      <c r="C118" s="5">
        <v>144</v>
      </c>
      <c r="D118" s="6">
        <v>18764</v>
      </c>
      <c r="E118" s="17">
        <f>VLOOKUP(A118,'forecast data dump'!$A$1:$H$3450,4,FALSE)</f>
        <v>44439</v>
      </c>
      <c r="F118" s="17">
        <f>VLOOKUP(A118,'forecast data dump'!$A$1:$H$3450,5,FALSE)</f>
        <v>44573</v>
      </c>
      <c r="G118" s="42">
        <v>0.05</v>
      </c>
      <c r="H118" s="5" t="s">
        <v>3758</v>
      </c>
      <c r="I118" s="39">
        <f t="shared" ref="I118:I137" si="82">C118*(1-G118)</f>
        <v>136.79999999999998</v>
      </c>
      <c r="J118" s="5"/>
      <c r="K118" s="5"/>
      <c r="L118" s="33">
        <f t="shared" ref="L118:L137" si="83">D118*(1-G118)</f>
        <v>17825.8</v>
      </c>
      <c r="M118" s="33">
        <f t="shared" ref="M118:M137" si="84">IF(J118="",L118,(D118/C118)*J118)</f>
        <v>17825.8</v>
      </c>
      <c r="N118" s="33">
        <f t="shared" ref="N118:N137" si="85">L118-M118</f>
        <v>0</v>
      </c>
      <c r="T118">
        <v>1</v>
      </c>
      <c r="U118" s="29">
        <f t="shared" si="56"/>
        <v>0</v>
      </c>
      <c r="V118" s="29">
        <f t="shared" si="57"/>
        <v>0</v>
      </c>
      <c r="W118" s="29">
        <f t="shared" si="58"/>
        <v>0</v>
      </c>
      <c r="X118" s="29">
        <f t="shared" si="59"/>
        <v>0</v>
      </c>
      <c r="Y118" s="29">
        <f t="shared" si="60"/>
        <v>0</v>
      </c>
      <c r="Z118" s="29">
        <f t="shared" si="61"/>
        <v>17825.8</v>
      </c>
    </row>
    <row r="119" spans="1:27" x14ac:dyDescent="0.3">
      <c r="A119" s="5" t="s">
        <v>1741</v>
      </c>
      <c r="B119" s="5" t="s">
        <v>1742</v>
      </c>
      <c r="C119" s="5">
        <v>360</v>
      </c>
      <c r="D119" s="6">
        <v>42316</v>
      </c>
      <c r="E119" s="17">
        <f>VLOOKUP(A119,'forecast data dump'!$A$1:$H$3450,4,FALSE)</f>
        <v>44439</v>
      </c>
      <c r="F119" s="17">
        <f>VLOOKUP(A119,'forecast data dump'!$A$1:$H$3450,5,FALSE)</f>
        <v>44573</v>
      </c>
      <c r="G119" s="42">
        <v>0.05</v>
      </c>
      <c r="H119" s="5" t="s">
        <v>3759</v>
      </c>
      <c r="I119" s="39">
        <f t="shared" si="82"/>
        <v>342</v>
      </c>
      <c r="J119" s="5"/>
      <c r="K119" s="5"/>
      <c r="L119" s="33">
        <f t="shared" si="83"/>
        <v>40200.199999999997</v>
      </c>
      <c r="M119" s="33">
        <f t="shared" si="84"/>
        <v>40200.199999999997</v>
      </c>
      <c r="N119" s="33">
        <f t="shared" si="85"/>
        <v>0</v>
      </c>
      <c r="T119">
        <v>1</v>
      </c>
      <c r="U119" s="29">
        <f t="shared" si="56"/>
        <v>0</v>
      </c>
      <c r="V119" s="29">
        <f t="shared" si="57"/>
        <v>0</v>
      </c>
      <c r="W119" s="29">
        <f t="shared" si="58"/>
        <v>0</v>
      </c>
      <c r="X119" s="29">
        <f t="shared" si="59"/>
        <v>0</v>
      </c>
      <c r="Y119" s="29">
        <f t="shared" si="60"/>
        <v>0</v>
      </c>
      <c r="Z119" s="29">
        <f t="shared" si="61"/>
        <v>40200.199999999997</v>
      </c>
    </row>
    <row r="120" spans="1:27" x14ac:dyDescent="0.3">
      <c r="A120" s="5" t="s">
        <v>1741</v>
      </c>
      <c r="B120" s="5" t="s">
        <v>1742</v>
      </c>
      <c r="C120" s="5">
        <v>240</v>
      </c>
      <c r="D120" s="6">
        <v>30918</v>
      </c>
      <c r="E120" s="17">
        <f>VLOOKUP(A120,'forecast data dump'!$A$1:$H$3450,4,FALSE)</f>
        <v>44439</v>
      </c>
      <c r="F120" s="17">
        <f>VLOOKUP(A120,'forecast data dump'!$A$1:$H$3450,5,FALSE)</f>
        <v>44573</v>
      </c>
      <c r="G120" s="42">
        <v>0.05</v>
      </c>
      <c r="H120" s="5" t="s">
        <v>3752</v>
      </c>
      <c r="I120" s="39">
        <f t="shared" si="82"/>
        <v>228</v>
      </c>
      <c r="J120" s="5"/>
      <c r="K120" s="5"/>
      <c r="L120" s="33">
        <f t="shared" si="83"/>
        <v>29372.1</v>
      </c>
      <c r="M120" s="33">
        <f t="shared" si="84"/>
        <v>29372.1</v>
      </c>
      <c r="N120" s="33">
        <f t="shared" si="85"/>
        <v>0</v>
      </c>
      <c r="T120">
        <v>1</v>
      </c>
      <c r="U120" s="29">
        <f t="shared" si="56"/>
        <v>0</v>
      </c>
      <c r="V120" s="29">
        <f t="shared" si="57"/>
        <v>0</v>
      </c>
      <c r="W120" s="29">
        <f t="shared" si="58"/>
        <v>0</v>
      </c>
      <c r="X120" s="29">
        <f t="shared" si="59"/>
        <v>0</v>
      </c>
      <c r="Y120" s="29">
        <f t="shared" si="60"/>
        <v>0</v>
      </c>
      <c r="Z120" s="29">
        <f t="shared" si="61"/>
        <v>29372.1</v>
      </c>
    </row>
    <row r="121" spans="1:27" x14ac:dyDescent="0.3">
      <c r="A121" s="5" t="s">
        <v>1743</v>
      </c>
      <c r="B121" s="5" t="s">
        <v>1744</v>
      </c>
      <c r="C121" s="5">
        <v>36</v>
      </c>
      <c r="D121" s="6">
        <v>4691</v>
      </c>
      <c r="E121" s="17">
        <f>VLOOKUP(A121,'forecast data dump'!$A$1:$H$3450,4,FALSE)</f>
        <v>44386</v>
      </c>
      <c r="F121" s="17">
        <f>VLOOKUP(A121,'forecast data dump'!$A$1:$H$3450,5,FALSE)</f>
        <v>44427</v>
      </c>
      <c r="G121" s="42">
        <v>0.05</v>
      </c>
      <c r="H121" s="5" t="s">
        <v>3758</v>
      </c>
      <c r="I121" s="39">
        <f t="shared" si="82"/>
        <v>34.199999999999996</v>
      </c>
      <c r="J121" s="5"/>
      <c r="K121" s="5"/>
      <c r="L121" s="33">
        <f t="shared" si="83"/>
        <v>4456.45</v>
      </c>
      <c r="M121" s="33">
        <f t="shared" si="84"/>
        <v>4456.45</v>
      </c>
      <c r="N121" s="33">
        <f t="shared" si="85"/>
        <v>0</v>
      </c>
      <c r="T121">
        <v>1</v>
      </c>
      <c r="U121" s="29">
        <f t="shared" si="56"/>
        <v>0</v>
      </c>
      <c r="V121" s="29">
        <f t="shared" si="57"/>
        <v>0</v>
      </c>
      <c r="W121" s="29">
        <f t="shared" si="58"/>
        <v>0</v>
      </c>
      <c r="X121" s="29">
        <f t="shared" si="59"/>
        <v>0</v>
      </c>
      <c r="Y121" s="29">
        <f t="shared" si="60"/>
        <v>0</v>
      </c>
      <c r="Z121" s="29">
        <f t="shared" si="61"/>
        <v>4456.45</v>
      </c>
    </row>
    <row r="122" spans="1:27" x14ac:dyDescent="0.3">
      <c r="A122" s="5" t="s">
        <v>1743</v>
      </c>
      <c r="B122" s="5" t="s">
        <v>1744</v>
      </c>
      <c r="C122" s="5">
        <v>180</v>
      </c>
      <c r="D122" s="6">
        <v>21158</v>
      </c>
      <c r="E122" s="17">
        <f>VLOOKUP(A122,'forecast data dump'!$A$1:$H$3450,4,FALSE)</f>
        <v>44386</v>
      </c>
      <c r="F122" s="17">
        <f>VLOOKUP(A122,'forecast data dump'!$A$1:$H$3450,5,FALSE)</f>
        <v>44427</v>
      </c>
      <c r="G122" s="42">
        <v>0.05</v>
      </c>
      <c r="H122" s="5" t="s">
        <v>3759</v>
      </c>
      <c r="I122" s="39">
        <f t="shared" si="82"/>
        <v>171</v>
      </c>
      <c r="J122" s="5"/>
      <c r="K122" s="5"/>
      <c r="L122" s="33">
        <f t="shared" si="83"/>
        <v>20100.099999999999</v>
      </c>
      <c r="M122" s="33">
        <f t="shared" si="84"/>
        <v>20100.099999999999</v>
      </c>
      <c r="N122" s="33">
        <f t="shared" si="85"/>
        <v>0</v>
      </c>
      <c r="T122">
        <v>1</v>
      </c>
      <c r="U122" s="29">
        <f t="shared" si="56"/>
        <v>0</v>
      </c>
      <c r="V122" s="29">
        <f t="shared" si="57"/>
        <v>0</v>
      </c>
      <c r="W122" s="29">
        <f t="shared" si="58"/>
        <v>0</v>
      </c>
      <c r="X122" s="29">
        <f t="shared" si="59"/>
        <v>0</v>
      </c>
      <c r="Y122" s="29">
        <f t="shared" si="60"/>
        <v>0</v>
      </c>
      <c r="Z122" s="29">
        <f t="shared" si="61"/>
        <v>20100.099999999999</v>
      </c>
    </row>
    <row r="123" spans="1:27" x14ac:dyDescent="0.3">
      <c r="A123" s="5" t="s">
        <v>1743</v>
      </c>
      <c r="B123" s="5" t="s">
        <v>1744</v>
      </c>
      <c r="C123" s="5">
        <v>40</v>
      </c>
      <c r="D123" s="6">
        <v>5153</v>
      </c>
      <c r="E123" s="17">
        <f>VLOOKUP(A123,'forecast data dump'!$A$1:$H$3450,4,FALSE)</f>
        <v>44386</v>
      </c>
      <c r="F123" s="17">
        <f>VLOOKUP(A123,'forecast data dump'!$A$1:$H$3450,5,FALSE)</f>
        <v>44427</v>
      </c>
      <c r="G123" s="42">
        <v>0.05</v>
      </c>
      <c r="H123" s="5" t="s">
        <v>3752</v>
      </c>
      <c r="I123" s="39">
        <f t="shared" si="82"/>
        <v>38</v>
      </c>
      <c r="J123" s="5"/>
      <c r="K123" s="5"/>
      <c r="L123" s="33">
        <f t="shared" si="83"/>
        <v>4895.3499999999995</v>
      </c>
      <c r="M123" s="33">
        <f t="shared" si="84"/>
        <v>4895.3499999999995</v>
      </c>
      <c r="N123" s="33">
        <f t="shared" si="85"/>
        <v>0</v>
      </c>
      <c r="T123">
        <v>1</v>
      </c>
      <c r="U123" s="29">
        <f t="shared" si="56"/>
        <v>0</v>
      </c>
      <c r="V123" s="29">
        <f t="shared" si="57"/>
        <v>0</v>
      </c>
      <c r="W123" s="29">
        <f t="shared" si="58"/>
        <v>0</v>
      </c>
      <c r="X123" s="29">
        <f t="shared" si="59"/>
        <v>0</v>
      </c>
      <c r="Y123" s="29">
        <f t="shared" si="60"/>
        <v>0</v>
      </c>
      <c r="Z123" s="29">
        <f t="shared" si="61"/>
        <v>4895.3499999999995</v>
      </c>
    </row>
    <row r="124" spans="1:27" x14ac:dyDescent="0.3">
      <c r="A124" s="5" t="s">
        <v>1745</v>
      </c>
      <c r="B124" s="5" t="s">
        <v>1746</v>
      </c>
      <c r="C124" s="5">
        <v>32</v>
      </c>
      <c r="D124" s="6">
        <v>4295</v>
      </c>
      <c r="E124" s="17">
        <f>VLOOKUP(A124,'forecast data dump'!$A$1:$H$3450,4,FALSE)</f>
        <v>44664</v>
      </c>
      <c r="F124" s="17">
        <f>VLOOKUP(A124,'forecast data dump'!$A$1:$H$3450,5,FALSE)</f>
        <v>44670</v>
      </c>
      <c r="G124" s="42">
        <f>VLOOKUP(A124,'forecast data dump'!$A$1:$H$3450,8,FALSE)</f>
        <v>0</v>
      </c>
      <c r="H124" s="5" t="s">
        <v>3758</v>
      </c>
      <c r="I124" s="39">
        <f t="shared" si="82"/>
        <v>32</v>
      </c>
      <c r="J124" s="5"/>
      <c r="K124" s="5"/>
      <c r="L124" s="33">
        <f t="shared" si="83"/>
        <v>4295</v>
      </c>
      <c r="M124" s="33">
        <f t="shared" si="84"/>
        <v>4295</v>
      </c>
      <c r="N124" s="33">
        <f t="shared" si="85"/>
        <v>0</v>
      </c>
      <c r="T124">
        <v>1</v>
      </c>
      <c r="U124" s="29">
        <f t="shared" si="56"/>
        <v>0</v>
      </c>
      <c r="V124" s="29">
        <f t="shared" si="57"/>
        <v>0</v>
      </c>
      <c r="W124" s="29">
        <f t="shared" si="58"/>
        <v>0</v>
      </c>
      <c r="X124" s="29">
        <f t="shared" si="59"/>
        <v>0</v>
      </c>
      <c r="Y124" s="29">
        <f t="shared" si="60"/>
        <v>0</v>
      </c>
      <c r="Z124" s="29">
        <f t="shared" si="61"/>
        <v>4295</v>
      </c>
    </row>
    <row r="125" spans="1:27" x14ac:dyDescent="0.3">
      <c r="A125" s="5" t="s">
        <v>1745</v>
      </c>
      <c r="B125" s="5" t="s">
        <v>1746</v>
      </c>
      <c r="C125" s="5">
        <v>32</v>
      </c>
      <c r="D125" s="6">
        <v>3874</v>
      </c>
      <c r="E125" s="17">
        <f>VLOOKUP(A125,'forecast data dump'!$A$1:$H$3450,4,FALSE)</f>
        <v>44664</v>
      </c>
      <c r="F125" s="17">
        <f>VLOOKUP(A125,'forecast data dump'!$A$1:$H$3450,5,FALSE)</f>
        <v>44670</v>
      </c>
      <c r="G125" s="42">
        <f>VLOOKUP(A125,'forecast data dump'!$A$1:$H$3450,8,FALSE)</f>
        <v>0</v>
      </c>
      <c r="H125" s="5" t="s">
        <v>3759</v>
      </c>
      <c r="I125" s="39">
        <f t="shared" si="82"/>
        <v>32</v>
      </c>
      <c r="J125" s="5"/>
      <c r="K125" s="5"/>
      <c r="L125" s="33">
        <f t="shared" si="83"/>
        <v>3874</v>
      </c>
      <c r="M125" s="33">
        <f t="shared" si="84"/>
        <v>3874</v>
      </c>
      <c r="N125" s="33">
        <f t="shared" si="85"/>
        <v>0</v>
      </c>
      <c r="T125">
        <v>1</v>
      </c>
      <c r="U125" s="29">
        <f t="shared" si="56"/>
        <v>0</v>
      </c>
      <c r="V125" s="29">
        <f t="shared" si="57"/>
        <v>0</v>
      </c>
      <c r="W125" s="29">
        <f t="shared" si="58"/>
        <v>0</v>
      </c>
      <c r="X125" s="29">
        <f t="shared" si="59"/>
        <v>0</v>
      </c>
      <c r="Y125" s="29">
        <f t="shared" si="60"/>
        <v>0</v>
      </c>
      <c r="Z125" s="29">
        <f t="shared" si="61"/>
        <v>3874</v>
      </c>
    </row>
    <row r="126" spans="1:27" x14ac:dyDescent="0.3">
      <c r="A126" s="5" t="s">
        <v>1747</v>
      </c>
      <c r="B126" s="5" t="s">
        <v>1748</v>
      </c>
      <c r="C126" s="5">
        <v>20</v>
      </c>
      <c r="D126" s="6">
        <v>2684</v>
      </c>
      <c r="E126" s="17">
        <f>VLOOKUP(A126,'forecast data dump'!$A$1:$H$3450,4,FALSE)</f>
        <v>44587</v>
      </c>
      <c r="F126" s="17">
        <f>VLOOKUP(A126,'forecast data dump'!$A$1:$H$3450,5,FALSE)</f>
        <v>44600</v>
      </c>
      <c r="G126" s="42">
        <f>VLOOKUP(A126,'forecast data dump'!$A$1:$H$3450,8,FALSE)</f>
        <v>0</v>
      </c>
      <c r="H126" s="5" t="s">
        <v>3758</v>
      </c>
      <c r="I126" s="39">
        <f t="shared" si="82"/>
        <v>20</v>
      </c>
      <c r="J126" s="5"/>
      <c r="K126" s="5"/>
      <c r="L126" s="33">
        <f t="shared" si="83"/>
        <v>2684</v>
      </c>
      <c r="M126" s="33">
        <f t="shared" si="84"/>
        <v>2684</v>
      </c>
      <c r="N126" s="33">
        <f t="shared" si="85"/>
        <v>0</v>
      </c>
      <c r="T126">
        <v>1</v>
      </c>
      <c r="U126" s="29">
        <f t="shared" si="56"/>
        <v>0</v>
      </c>
      <c r="V126" s="29">
        <f t="shared" si="57"/>
        <v>0</v>
      </c>
      <c r="W126" s="29">
        <f t="shared" si="58"/>
        <v>0</v>
      </c>
      <c r="X126" s="29">
        <f t="shared" si="59"/>
        <v>0</v>
      </c>
      <c r="Y126" s="29">
        <f t="shared" si="60"/>
        <v>0</v>
      </c>
      <c r="Z126" s="29">
        <f t="shared" si="61"/>
        <v>2684</v>
      </c>
    </row>
    <row r="127" spans="1:27" x14ac:dyDescent="0.3">
      <c r="A127" s="5" t="s">
        <v>1747</v>
      </c>
      <c r="B127" s="5" t="s">
        <v>1748</v>
      </c>
      <c r="C127" s="5">
        <v>64</v>
      </c>
      <c r="D127" s="6">
        <v>7749</v>
      </c>
      <c r="E127" s="17">
        <f>VLOOKUP(A127,'forecast data dump'!$A$1:$H$3450,4,FALSE)</f>
        <v>44587</v>
      </c>
      <c r="F127" s="17">
        <f>VLOOKUP(A127,'forecast data dump'!$A$1:$H$3450,5,FALSE)</f>
        <v>44600</v>
      </c>
      <c r="G127" s="42">
        <f>VLOOKUP(A127,'forecast data dump'!$A$1:$H$3450,8,FALSE)</f>
        <v>0</v>
      </c>
      <c r="H127" s="5" t="s">
        <v>3759</v>
      </c>
      <c r="I127" s="39">
        <f t="shared" si="82"/>
        <v>64</v>
      </c>
      <c r="J127" s="5"/>
      <c r="K127" s="5"/>
      <c r="L127" s="33">
        <f t="shared" si="83"/>
        <v>7749</v>
      </c>
      <c r="M127" s="33">
        <f t="shared" si="84"/>
        <v>7749</v>
      </c>
      <c r="N127" s="33">
        <f t="shared" si="85"/>
        <v>0</v>
      </c>
      <c r="T127">
        <v>1</v>
      </c>
      <c r="U127" s="29">
        <f t="shared" si="56"/>
        <v>0</v>
      </c>
      <c r="V127" s="29">
        <f t="shared" si="57"/>
        <v>0</v>
      </c>
      <c r="W127" s="29">
        <f t="shared" si="58"/>
        <v>0</v>
      </c>
      <c r="X127" s="29">
        <f t="shared" si="59"/>
        <v>0</v>
      </c>
      <c r="Y127" s="29">
        <f t="shared" si="60"/>
        <v>0</v>
      </c>
      <c r="Z127" s="29">
        <f t="shared" si="61"/>
        <v>7749</v>
      </c>
    </row>
    <row r="128" spans="1:27" x14ac:dyDescent="0.3">
      <c r="A128" s="5" t="s">
        <v>1749</v>
      </c>
      <c r="B128" s="5" t="s">
        <v>1750</v>
      </c>
      <c r="C128" s="5">
        <v>32</v>
      </c>
      <c r="D128" s="6">
        <v>4295</v>
      </c>
      <c r="E128" s="17">
        <f>VLOOKUP(A128,'forecast data dump'!$A$1:$H$3450,4,FALSE)</f>
        <v>44671</v>
      </c>
      <c r="F128" s="17">
        <f>VLOOKUP(A128,'forecast data dump'!$A$1:$H$3450,5,FALSE)</f>
        <v>44677</v>
      </c>
      <c r="G128" s="42">
        <f>VLOOKUP(A128,'forecast data dump'!$A$1:$H$3450,8,FALSE)</f>
        <v>0</v>
      </c>
      <c r="H128" s="5" t="s">
        <v>3758</v>
      </c>
      <c r="I128" s="39">
        <f t="shared" si="82"/>
        <v>32</v>
      </c>
      <c r="J128" s="5"/>
      <c r="K128" s="5"/>
      <c r="L128" s="33">
        <f t="shared" si="83"/>
        <v>4295</v>
      </c>
      <c r="M128" s="33">
        <f t="shared" si="84"/>
        <v>4295</v>
      </c>
      <c r="N128" s="33">
        <f t="shared" si="85"/>
        <v>0</v>
      </c>
      <c r="T128">
        <v>1</v>
      </c>
      <c r="U128" s="29">
        <f t="shared" si="56"/>
        <v>0</v>
      </c>
      <c r="V128" s="29">
        <f t="shared" si="57"/>
        <v>0</v>
      </c>
      <c r="W128" s="29">
        <f t="shared" si="58"/>
        <v>0</v>
      </c>
      <c r="X128" s="29">
        <f t="shared" si="59"/>
        <v>0</v>
      </c>
      <c r="Y128" s="29">
        <f t="shared" si="60"/>
        <v>0</v>
      </c>
      <c r="Z128" s="29">
        <f t="shared" si="61"/>
        <v>4295</v>
      </c>
    </row>
    <row r="129" spans="1:27" x14ac:dyDescent="0.3">
      <c r="A129" s="5" t="s">
        <v>1749</v>
      </c>
      <c r="B129" s="5" t="s">
        <v>1750</v>
      </c>
      <c r="C129" s="5">
        <v>32</v>
      </c>
      <c r="D129" s="6">
        <v>3874</v>
      </c>
      <c r="E129" s="17">
        <f>VLOOKUP(A129,'forecast data dump'!$A$1:$H$3450,4,FALSE)</f>
        <v>44671</v>
      </c>
      <c r="F129" s="17">
        <f>VLOOKUP(A129,'forecast data dump'!$A$1:$H$3450,5,FALSE)</f>
        <v>44677</v>
      </c>
      <c r="G129" s="42">
        <f>VLOOKUP(A129,'forecast data dump'!$A$1:$H$3450,8,FALSE)</f>
        <v>0</v>
      </c>
      <c r="H129" s="5" t="s">
        <v>3759</v>
      </c>
      <c r="I129" s="39">
        <f t="shared" si="82"/>
        <v>32</v>
      </c>
      <c r="J129" s="5"/>
      <c r="K129" s="5"/>
      <c r="L129" s="33">
        <f t="shared" si="83"/>
        <v>3874</v>
      </c>
      <c r="M129" s="33">
        <f t="shared" si="84"/>
        <v>3874</v>
      </c>
      <c r="N129" s="33">
        <f t="shared" si="85"/>
        <v>0</v>
      </c>
      <c r="T129">
        <v>1</v>
      </c>
      <c r="U129" s="29">
        <f t="shared" si="56"/>
        <v>0</v>
      </c>
      <c r="V129" s="29">
        <f t="shared" si="57"/>
        <v>0</v>
      </c>
      <c r="W129" s="29">
        <f t="shared" si="58"/>
        <v>0</v>
      </c>
      <c r="X129" s="29">
        <f t="shared" si="59"/>
        <v>0</v>
      </c>
      <c r="Y129" s="29">
        <f t="shared" si="60"/>
        <v>0</v>
      </c>
      <c r="Z129" s="29">
        <f t="shared" si="61"/>
        <v>3874</v>
      </c>
    </row>
    <row r="130" spans="1:27" x14ac:dyDescent="0.3">
      <c r="A130" s="5" t="s">
        <v>1751</v>
      </c>
      <c r="B130" s="5" t="s">
        <v>1752</v>
      </c>
      <c r="C130" s="5">
        <v>8</v>
      </c>
      <c r="D130" s="6">
        <v>1074</v>
      </c>
      <c r="E130" s="17">
        <f>VLOOKUP(A130,'forecast data dump'!$A$1:$H$3450,4,FALSE)</f>
        <v>44587</v>
      </c>
      <c r="F130" s="17">
        <f>VLOOKUP(A130,'forecast data dump'!$A$1:$H$3450,5,FALSE)</f>
        <v>44593</v>
      </c>
      <c r="G130" s="42">
        <f>VLOOKUP(A130,'forecast data dump'!$A$1:$H$3450,8,FALSE)</f>
        <v>0</v>
      </c>
      <c r="H130" s="5" t="s">
        <v>3758</v>
      </c>
      <c r="I130" s="39">
        <f t="shared" si="82"/>
        <v>8</v>
      </c>
      <c r="J130" s="5"/>
      <c r="K130" s="5"/>
      <c r="L130" s="33">
        <f t="shared" si="83"/>
        <v>1074</v>
      </c>
      <c r="M130" s="33">
        <f t="shared" si="84"/>
        <v>1074</v>
      </c>
      <c r="N130" s="33">
        <f t="shared" si="85"/>
        <v>0</v>
      </c>
      <c r="T130">
        <v>1</v>
      </c>
      <c r="U130" s="29">
        <f t="shared" ref="U130:U190" si="86">O130*M130</f>
        <v>0</v>
      </c>
      <c r="V130" s="29">
        <f t="shared" ref="V130:V190" si="87">P130*M130</f>
        <v>0</v>
      </c>
      <c r="W130" s="29">
        <f t="shared" ref="W130:W190" si="88">Q130*M130</f>
        <v>0</v>
      </c>
      <c r="X130" s="29">
        <f t="shared" ref="X130:X190" si="89">R130*M130</f>
        <v>0</v>
      </c>
      <c r="Y130" s="29">
        <f t="shared" ref="Y130:Y190" si="90">S130*M130</f>
        <v>0</v>
      </c>
      <c r="Z130" s="29">
        <f t="shared" ref="Z130:Z190" si="91">T130*M130</f>
        <v>1074</v>
      </c>
    </row>
    <row r="131" spans="1:27" x14ac:dyDescent="0.3">
      <c r="A131" s="5" t="s">
        <v>1751</v>
      </c>
      <c r="B131" s="5" t="s">
        <v>1752</v>
      </c>
      <c r="C131" s="5">
        <v>38</v>
      </c>
      <c r="D131" s="6">
        <v>4601</v>
      </c>
      <c r="E131" s="17">
        <f>VLOOKUP(A131,'forecast data dump'!$A$1:$H$3450,4,FALSE)</f>
        <v>44587</v>
      </c>
      <c r="F131" s="17">
        <f>VLOOKUP(A131,'forecast data dump'!$A$1:$H$3450,5,FALSE)</f>
        <v>44593</v>
      </c>
      <c r="G131" s="42">
        <f>VLOOKUP(A131,'forecast data dump'!$A$1:$H$3450,8,FALSE)</f>
        <v>0</v>
      </c>
      <c r="H131" s="5" t="s">
        <v>3759</v>
      </c>
      <c r="I131" s="39">
        <f t="shared" si="82"/>
        <v>38</v>
      </c>
      <c r="J131" s="5"/>
      <c r="K131" s="5"/>
      <c r="L131" s="33">
        <f t="shared" si="83"/>
        <v>4601</v>
      </c>
      <c r="M131" s="33">
        <f t="shared" si="84"/>
        <v>4601</v>
      </c>
      <c r="N131" s="33">
        <f t="shared" si="85"/>
        <v>0</v>
      </c>
      <c r="T131">
        <v>1</v>
      </c>
      <c r="U131" s="29">
        <f t="shared" si="86"/>
        <v>0</v>
      </c>
      <c r="V131" s="29">
        <f t="shared" si="87"/>
        <v>0</v>
      </c>
      <c r="W131" s="29">
        <f t="shared" si="88"/>
        <v>0</v>
      </c>
      <c r="X131" s="29">
        <f t="shared" si="89"/>
        <v>0</v>
      </c>
      <c r="Y131" s="29">
        <f t="shared" si="90"/>
        <v>0</v>
      </c>
      <c r="Z131" s="29">
        <f t="shared" si="91"/>
        <v>4601</v>
      </c>
    </row>
    <row r="132" spans="1:27" x14ac:dyDescent="0.3">
      <c r="A132" s="5" t="s">
        <v>1753</v>
      </c>
      <c r="B132" s="5" t="s">
        <v>1754</v>
      </c>
      <c r="C132" s="5">
        <v>18</v>
      </c>
      <c r="D132" s="6">
        <v>2416</v>
      </c>
      <c r="E132" s="17">
        <f>VLOOKUP(A132,'forecast data dump'!$A$1:$H$3450,4,FALSE)</f>
        <v>44565</v>
      </c>
      <c r="F132" s="17">
        <f>VLOOKUP(A132,'forecast data dump'!$A$1:$H$3450,5,FALSE)</f>
        <v>44586</v>
      </c>
      <c r="G132" s="42">
        <f>VLOOKUP(A132,'forecast data dump'!$A$1:$H$3450,8,FALSE)</f>
        <v>0</v>
      </c>
      <c r="H132" s="5" t="s">
        <v>3758</v>
      </c>
      <c r="I132" s="39">
        <f t="shared" si="82"/>
        <v>18</v>
      </c>
      <c r="J132" s="5"/>
      <c r="K132" s="5"/>
      <c r="L132" s="33">
        <f t="shared" si="83"/>
        <v>2416</v>
      </c>
      <c r="M132" s="33">
        <f t="shared" si="84"/>
        <v>2416</v>
      </c>
      <c r="N132" s="33">
        <f t="shared" si="85"/>
        <v>0</v>
      </c>
      <c r="T132">
        <v>1</v>
      </c>
      <c r="U132" s="29">
        <f t="shared" si="86"/>
        <v>0</v>
      </c>
      <c r="V132" s="29">
        <f t="shared" si="87"/>
        <v>0</v>
      </c>
      <c r="W132" s="29">
        <f t="shared" si="88"/>
        <v>0</v>
      </c>
      <c r="X132" s="29">
        <f t="shared" si="89"/>
        <v>0</v>
      </c>
      <c r="Y132" s="29">
        <f t="shared" si="90"/>
        <v>0</v>
      </c>
      <c r="Z132" s="29">
        <f t="shared" si="91"/>
        <v>2416</v>
      </c>
    </row>
    <row r="133" spans="1:27" x14ac:dyDescent="0.3">
      <c r="A133" s="5" t="s">
        <v>1753</v>
      </c>
      <c r="B133" s="5" t="s">
        <v>1754</v>
      </c>
      <c r="C133" s="5">
        <v>90</v>
      </c>
      <c r="D133" s="6">
        <v>10896</v>
      </c>
      <c r="E133" s="17">
        <f>VLOOKUP(A133,'forecast data dump'!$A$1:$H$3450,4,FALSE)</f>
        <v>44565</v>
      </c>
      <c r="F133" s="17">
        <f>VLOOKUP(A133,'forecast data dump'!$A$1:$H$3450,5,FALSE)</f>
        <v>44586</v>
      </c>
      <c r="G133" s="42">
        <f>VLOOKUP(A133,'forecast data dump'!$A$1:$H$3450,8,FALSE)</f>
        <v>0</v>
      </c>
      <c r="H133" s="5" t="s">
        <v>3759</v>
      </c>
      <c r="I133" s="39">
        <f t="shared" si="82"/>
        <v>90</v>
      </c>
      <c r="J133" s="5"/>
      <c r="K133" s="5"/>
      <c r="L133" s="33">
        <f t="shared" si="83"/>
        <v>10896</v>
      </c>
      <c r="M133" s="33">
        <f t="shared" si="84"/>
        <v>10896</v>
      </c>
      <c r="N133" s="33">
        <f t="shared" si="85"/>
        <v>0</v>
      </c>
      <c r="T133">
        <v>1</v>
      </c>
      <c r="U133" s="29">
        <f t="shared" si="86"/>
        <v>0</v>
      </c>
      <c r="V133" s="29">
        <f t="shared" si="87"/>
        <v>0</v>
      </c>
      <c r="W133" s="29">
        <f t="shared" si="88"/>
        <v>0</v>
      </c>
      <c r="X133" s="29">
        <f t="shared" si="89"/>
        <v>0</v>
      </c>
      <c r="Y133" s="29">
        <f t="shared" si="90"/>
        <v>0</v>
      </c>
      <c r="Z133" s="29">
        <f t="shared" si="91"/>
        <v>10896</v>
      </c>
    </row>
    <row r="134" spans="1:27" x14ac:dyDescent="0.3">
      <c r="A134" s="5" t="s">
        <v>1753</v>
      </c>
      <c r="B134" s="5" t="s">
        <v>1754</v>
      </c>
      <c r="C134" s="5">
        <v>20</v>
      </c>
      <c r="D134" s="6">
        <v>2654</v>
      </c>
      <c r="E134" s="17">
        <f>VLOOKUP(A134,'forecast data dump'!$A$1:$H$3450,4,FALSE)</f>
        <v>44565</v>
      </c>
      <c r="F134" s="17">
        <f>VLOOKUP(A134,'forecast data dump'!$A$1:$H$3450,5,FALSE)</f>
        <v>44586</v>
      </c>
      <c r="G134" s="42">
        <f>VLOOKUP(A134,'forecast data dump'!$A$1:$H$3450,8,FALSE)</f>
        <v>0</v>
      </c>
      <c r="H134" s="5" t="s">
        <v>3752</v>
      </c>
      <c r="I134" s="39">
        <f t="shared" si="82"/>
        <v>20</v>
      </c>
      <c r="J134" s="5"/>
      <c r="K134" s="5"/>
      <c r="L134" s="33">
        <f t="shared" si="83"/>
        <v>2654</v>
      </c>
      <c r="M134" s="33">
        <f t="shared" si="84"/>
        <v>2654</v>
      </c>
      <c r="N134" s="33">
        <f t="shared" si="85"/>
        <v>0</v>
      </c>
      <c r="T134">
        <v>1</v>
      </c>
      <c r="U134" s="29">
        <f t="shared" si="86"/>
        <v>0</v>
      </c>
      <c r="V134" s="29">
        <f t="shared" si="87"/>
        <v>0</v>
      </c>
      <c r="W134" s="29">
        <f t="shared" si="88"/>
        <v>0</v>
      </c>
      <c r="X134" s="29">
        <f t="shared" si="89"/>
        <v>0</v>
      </c>
      <c r="Y134" s="29">
        <f t="shared" si="90"/>
        <v>0</v>
      </c>
      <c r="Z134" s="29">
        <f t="shared" si="91"/>
        <v>2654</v>
      </c>
    </row>
    <row r="135" spans="1:27" x14ac:dyDescent="0.3">
      <c r="A135" s="5" t="s">
        <v>1755</v>
      </c>
      <c r="B135" s="5" t="s">
        <v>1756</v>
      </c>
      <c r="C135" s="5">
        <v>18</v>
      </c>
      <c r="D135" s="6">
        <v>2416</v>
      </c>
      <c r="E135" s="17">
        <f>VLOOKUP(A135,'forecast data dump'!$A$1:$H$3450,4,FALSE)</f>
        <v>44650</v>
      </c>
      <c r="F135" s="17">
        <f>VLOOKUP(A135,'forecast data dump'!$A$1:$H$3450,5,FALSE)</f>
        <v>44670</v>
      </c>
      <c r="G135" s="42">
        <f>VLOOKUP(A135,'forecast data dump'!$A$1:$H$3450,8,FALSE)</f>
        <v>0</v>
      </c>
      <c r="H135" s="5" t="s">
        <v>3758</v>
      </c>
      <c r="I135" s="39">
        <f t="shared" si="82"/>
        <v>18</v>
      </c>
      <c r="J135" s="5"/>
      <c r="K135" s="5"/>
      <c r="L135" s="33">
        <f t="shared" si="83"/>
        <v>2416</v>
      </c>
      <c r="M135" s="33">
        <f t="shared" si="84"/>
        <v>2416</v>
      </c>
      <c r="N135" s="33">
        <f t="shared" si="85"/>
        <v>0</v>
      </c>
      <c r="T135">
        <v>1</v>
      </c>
      <c r="U135" s="29">
        <f t="shared" si="86"/>
        <v>0</v>
      </c>
      <c r="V135" s="29">
        <f t="shared" si="87"/>
        <v>0</v>
      </c>
      <c r="W135" s="29">
        <f t="shared" si="88"/>
        <v>0</v>
      </c>
      <c r="X135" s="29">
        <f t="shared" si="89"/>
        <v>0</v>
      </c>
      <c r="Y135" s="29">
        <f t="shared" si="90"/>
        <v>0</v>
      </c>
      <c r="Z135" s="29">
        <f t="shared" si="91"/>
        <v>2416</v>
      </c>
    </row>
    <row r="136" spans="1:27" x14ac:dyDescent="0.3">
      <c r="A136" s="5" t="s">
        <v>1755</v>
      </c>
      <c r="B136" s="5" t="s">
        <v>1756</v>
      </c>
      <c r="C136" s="5">
        <v>90</v>
      </c>
      <c r="D136" s="6">
        <v>10896</v>
      </c>
      <c r="E136" s="17">
        <f>VLOOKUP(A136,'forecast data dump'!$A$1:$H$3450,4,FALSE)</f>
        <v>44650</v>
      </c>
      <c r="F136" s="17">
        <f>VLOOKUP(A136,'forecast data dump'!$A$1:$H$3450,5,FALSE)</f>
        <v>44670</v>
      </c>
      <c r="G136" s="42">
        <f>VLOOKUP(A136,'forecast data dump'!$A$1:$H$3450,8,FALSE)</f>
        <v>0</v>
      </c>
      <c r="H136" s="5" t="s">
        <v>3759</v>
      </c>
      <c r="I136" s="39">
        <f t="shared" si="82"/>
        <v>90</v>
      </c>
      <c r="J136" s="5"/>
      <c r="K136" s="5"/>
      <c r="L136" s="33">
        <f t="shared" si="83"/>
        <v>10896</v>
      </c>
      <c r="M136" s="33">
        <f t="shared" si="84"/>
        <v>10896</v>
      </c>
      <c r="N136" s="33">
        <f t="shared" si="85"/>
        <v>0</v>
      </c>
      <c r="T136">
        <v>1</v>
      </c>
      <c r="U136" s="29">
        <f t="shared" si="86"/>
        <v>0</v>
      </c>
      <c r="V136" s="29">
        <f t="shared" si="87"/>
        <v>0</v>
      </c>
      <c r="W136" s="29">
        <f t="shared" si="88"/>
        <v>0</v>
      </c>
      <c r="X136" s="29">
        <f t="shared" si="89"/>
        <v>0</v>
      </c>
      <c r="Y136" s="29">
        <f t="shared" si="90"/>
        <v>0</v>
      </c>
      <c r="Z136" s="29">
        <f t="shared" si="91"/>
        <v>10896</v>
      </c>
    </row>
    <row r="137" spans="1:27" x14ac:dyDescent="0.3">
      <c r="A137" s="5" t="s">
        <v>1755</v>
      </c>
      <c r="B137" s="5" t="s">
        <v>1756</v>
      </c>
      <c r="C137" s="5">
        <v>20</v>
      </c>
      <c r="D137" s="6">
        <v>2654</v>
      </c>
      <c r="E137" s="17">
        <f>VLOOKUP(A137,'forecast data dump'!$A$1:$H$3450,4,FALSE)</f>
        <v>44650</v>
      </c>
      <c r="F137" s="17">
        <f>VLOOKUP(A137,'forecast data dump'!$A$1:$H$3450,5,FALSE)</f>
        <v>44670</v>
      </c>
      <c r="G137" s="42">
        <f>VLOOKUP(A137,'forecast data dump'!$A$1:$H$3450,8,FALSE)</f>
        <v>0</v>
      </c>
      <c r="H137" s="5" t="s">
        <v>3752</v>
      </c>
      <c r="I137" s="39">
        <f t="shared" si="82"/>
        <v>20</v>
      </c>
      <c r="J137" s="5"/>
      <c r="K137" s="5"/>
      <c r="L137" s="33">
        <f t="shared" si="83"/>
        <v>2654</v>
      </c>
      <c r="M137" s="33">
        <f t="shared" si="84"/>
        <v>2654</v>
      </c>
      <c r="N137" s="33">
        <f t="shared" si="85"/>
        <v>0</v>
      </c>
      <c r="T137">
        <v>1</v>
      </c>
      <c r="U137" s="29">
        <f t="shared" si="86"/>
        <v>0</v>
      </c>
      <c r="V137" s="29">
        <f t="shared" si="87"/>
        <v>0</v>
      </c>
      <c r="W137" s="29">
        <f t="shared" si="88"/>
        <v>0</v>
      </c>
      <c r="X137" s="29">
        <f t="shared" si="89"/>
        <v>0</v>
      </c>
      <c r="Y137" s="29">
        <f t="shared" si="90"/>
        <v>0</v>
      </c>
      <c r="Z137" s="29">
        <f t="shared" si="91"/>
        <v>2654</v>
      </c>
    </row>
    <row r="138" spans="1:27" x14ac:dyDescent="0.3">
      <c r="A138" s="3" t="s">
        <v>7863</v>
      </c>
      <c r="B138" s="3"/>
      <c r="C138" s="3"/>
      <c r="D138" s="4"/>
      <c r="E138" s="15"/>
      <c r="F138" s="15"/>
      <c r="G138" s="41"/>
      <c r="H138" s="3"/>
      <c r="I138" s="38"/>
      <c r="J138" s="3"/>
      <c r="K138" s="3"/>
      <c r="L138" s="32"/>
      <c r="M138" s="32"/>
      <c r="N138" s="32"/>
      <c r="U138" s="29"/>
      <c r="V138" s="29"/>
      <c r="W138" s="29"/>
      <c r="X138" s="29"/>
      <c r="Y138" s="29"/>
      <c r="Z138" s="29"/>
      <c r="AA138" s="109">
        <f>SUM(U139:U170)</f>
        <v>0</v>
      </c>
    </row>
    <row r="139" spans="1:27" x14ac:dyDescent="0.3">
      <c r="A139" s="5" t="s">
        <v>1884</v>
      </c>
      <c r="B139" s="5" t="s">
        <v>1885</v>
      </c>
      <c r="C139" s="5">
        <v>128</v>
      </c>
      <c r="D139" s="6">
        <v>14608</v>
      </c>
      <c r="E139" s="17" t="str">
        <f>VLOOKUP(A139,'forecast data dump'!$A$1:$H$3450,4,FALSE)</f>
        <v>19-Apr-21 A</v>
      </c>
      <c r="F139" s="17">
        <f>VLOOKUP(A139,'forecast data dump'!$A$1:$H$3450,5,FALSE)</f>
        <v>44467</v>
      </c>
      <c r="G139" s="42">
        <v>0.4</v>
      </c>
      <c r="H139" s="5" t="s">
        <v>3759</v>
      </c>
      <c r="I139" s="39">
        <f t="shared" ref="I139:I144" si="92">C139*(1-G139)</f>
        <v>76.8</v>
      </c>
      <c r="J139" s="5"/>
      <c r="K139" s="5"/>
      <c r="L139" s="33">
        <f t="shared" ref="L139:L144" si="93">D139*(1-G139)</f>
        <v>8764.7999999999993</v>
      </c>
      <c r="M139" s="33">
        <f t="shared" ref="M139:M144" si="94">IF(J139="",L139,(D139/C139)*J139)</f>
        <v>8764.7999999999993</v>
      </c>
      <c r="N139" s="33">
        <f t="shared" ref="N139:N144" si="95">L139-M139</f>
        <v>0</v>
      </c>
      <c r="R139">
        <v>1</v>
      </c>
      <c r="U139" s="29">
        <f t="shared" si="86"/>
        <v>0</v>
      </c>
      <c r="V139" s="29">
        <f t="shared" si="87"/>
        <v>0</v>
      </c>
      <c r="W139" s="29">
        <f t="shared" si="88"/>
        <v>0</v>
      </c>
      <c r="X139" s="29">
        <f t="shared" si="89"/>
        <v>8764.7999999999993</v>
      </c>
      <c r="Y139" s="29">
        <f t="shared" si="90"/>
        <v>0</v>
      </c>
      <c r="Z139" s="29">
        <f t="shared" si="91"/>
        <v>0</v>
      </c>
      <c r="AA139" s="103" t="s">
        <v>8353</v>
      </c>
    </row>
    <row r="140" spans="1:27" x14ac:dyDescent="0.3">
      <c r="A140" s="5" t="s">
        <v>1886</v>
      </c>
      <c r="B140" s="5" t="s">
        <v>1887</v>
      </c>
      <c r="C140" s="5">
        <v>40</v>
      </c>
      <c r="D140" s="6">
        <v>4565</v>
      </c>
      <c r="E140" s="17" t="str">
        <f>VLOOKUP(A140,'forecast data dump'!$A$1:$H$3450,4,FALSE)</f>
        <v>15-Feb-21 A</v>
      </c>
      <c r="F140" s="17">
        <f>VLOOKUP(A140,'forecast data dump'!$A$1:$H$3450,5,FALSE)</f>
        <v>44496</v>
      </c>
      <c r="G140" s="42">
        <f>VLOOKUP(A140,'forecast data dump'!$A$1:$H$3450,8,FALSE)</f>
        <v>0.25</v>
      </c>
      <c r="H140" s="5" t="s">
        <v>3759</v>
      </c>
      <c r="I140" s="39">
        <f t="shared" si="92"/>
        <v>30</v>
      </c>
      <c r="J140" s="5"/>
      <c r="K140" s="5"/>
      <c r="L140" s="33">
        <f t="shared" si="93"/>
        <v>3423.75</v>
      </c>
      <c r="M140" s="33">
        <f t="shared" si="94"/>
        <v>3423.75</v>
      </c>
      <c r="N140" s="33">
        <f t="shared" si="95"/>
        <v>0</v>
      </c>
      <c r="R140">
        <v>1</v>
      </c>
      <c r="U140" s="29">
        <f t="shared" si="86"/>
        <v>0</v>
      </c>
      <c r="V140" s="29">
        <f t="shared" si="87"/>
        <v>0</v>
      </c>
      <c r="W140" s="29">
        <f t="shared" si="88"/>
        <v>0</v>
      </c>
      <c r="X140" s="29">
        <f t="shared" si="89"/>
        <v>3423.75</v>
      </c>
      <c r="Y140" s="29">
        <f t="shared" si="90"/>
        <v>0</v>
      </c>
      <c r="Z140" s="29">
        <f t="shared" si="91"/>
        <v>0</v>
      </c>
      <c r="AA140" s="103" t="s">
        <v>8357</v>
      </c>
    </row>
    <row r="141" spans="1:27" x14ac:dyDescent="0.3">
      <c r="A141" s="5" t="s">
        <v>1888</v>
      </c>
      <c r="B141" s="5" t="s">
        <v>1889</v>
      </c>
      <c r="C141" s="5">
        <v>48</v>
      </c>
      <c r="D141" s="6">
        <v>6072</v>
      </c>
      <c r="E141" s="17" t="str">
        <f>VLOOKUP(A141,'forecast data dump'!$A$1:$H$3450,4,FALSE)</f>
        <v>07-Aug-20 A</v>
      </c>
      <c r="F141" s="17">
        <f>VLOOKUP(A141,'forecast data dump'!$A$1:$H$3450,5,FALSE)</f>
        <v>44400</v>
      </c>
      <c r="G141" s="42">
        <v>0.93</v>
      </c>
      <c r="H141" s="5" t="s">
        <v>3758</v>
      </c>
      <c r="I141" s="39">
        <f t="shared" si="92"/>
        <v>3.3599999999999977</v>
      </c>
      <c r="J141" s="5"/>
      <c r="K141" s="5"/>
      <c r="L141" s="33">
        <f t="shared" si="93"/>
        <v>425.03999999999968</v>
      </c>
      <c r="M141" s="33">
        <f t="shared" si="94"/>
        <v>425.03999999999968</v>
      </c>
      <c r="N141" s="33">
        <f t="shared" si="95"/>
        <v>0</v>
      </c>
      <c r="R141">
        <v>1</v>
      </c>
      <c r="U141" s="29">
        <f t="shared" si="86"/>
        <v>0</v>
      </c>
      <c r="V141" s="29">
        <f t="shared" si="87"/>
        <v>0</v>
      </c>
      <c r="W141" s="29">
        <f t="shared" si="88"/>
        <v>0</v>
      </c>
      <c r="X141" s="29">
        <f t="shared" si="89"/>
        <v>425.03999999999968</v>
      </c>
      <c r="Y141" s="29">
        <f t="shared" si="90"/>
        <v>0</v>
      </c>
      <c r="Z141" s="29">
        <f t="shared" si="91"/>
        <v>0</v>
      </c>
    </row>
    <row r="142" spans="1:27" x14ac:dyDescent="0.3">
      <c r="A142" s="5" t="s">
        <v>1888</v>
      </c>
      <c r="B142" s="5" t="s">
        <v>1889</v>
      </c>
      <c r="C142" s="5">
        <v>48</v>
      </c>
      <c r="D142" s="6">
        <v>5478</v>
      </c>
      <c r="E142" s="17" t="str">
        <f>VLOOKUP(A142,'forecast data dump'!$A$1:$H$3450,4,FALSE)</f>
        <v>07-Aug-20 A</v>
      </c>
      <c r="F142" s="17">
        <f>VLOOKUP(A142,'forecast data dump'!$A$1:$H$3450,5,FALSE)</f>
        <v>44400</v>
      </c>
      <c r="G142" s="42">
        <v>0.93</v>
      </c>
      <c r="H142" s="5" t="s">
        <v>3759</v>
      </c>
      <c r="I142" s="39">
        <f t="shared" si="92"/>
        <v>3.3599999999999977</v>
      </c>
      <c r="J142" s="5"/>
      <c r="K142" s="5"/>
      <c r="L142" s="33">
        <f t="shared" si="93"/>
        <v>383.45999999999975</v>
      </c>
      <c r="M142" s="33">
        <f t="shared" si="94"/>
        <v>383.45999999999975</v>
      </c>
      <c r="N142" s="33">
        <f t="shared" si="95"/>
        <v>0</v>
      </c>
      <c r="R142">
        <v>1</v>
      </c>
      <c r="U142" s="29">
        <f t="shared" si="86"/>
        <v>0</v>
      </c>
      <c r="V142" s="29">
        <f t="shared" si="87"/>
        <v>0</v>
      </c>
      <c r="W142" s="29">
        <f t="shared" si="88"/>
        <v>0</v>
      </c>
      <c r="X142" s="29">
        <f t="shared" si="89"/>
        <v>383.45999999999975</v>
      </c>
      <c r="Y142" s="29">
        <f t="shared" si="90"/>
        <v>0</v>
      </c>
      <c r="Z142" s="29">
        <f t="shared" si="91"/>
        <v>0</v>
      </c>
    </row>
    <row r="143" spans="1:27" x14ac:dyDescent="0.3">
      <c r="A143" s="5" t="s">
        <v>1890</v>
      </c>
      <c r="B143" s="5" t="s">
        <v>1891</v>
      </c>
      <c r="C143" s="5">
        <v>84</v>
      </c>
      <c r="D143" s="6">
        <v>10627</v>
      </c>
      <c r="E143" s="17" t="str">
        <f>VLOOKUP(A143,'forecast data dump'!$A$1:$H$3450,4,FALSE)</f>
        <v>01-Oct-19 A</v>
      </c>
      <c r="F143" s="17">
        <f>VLOOKUP(A143,'forecast data dump'!$A$1:$H$3450,5,FALSE)</f>
        <v>44405</v>
      </c>
      <c r="G143" s="42">
        <v>0.93</v>
      </c>
      <c r="H143" s="5" t="s">
        <v>3758</v>
      </c>
      <c r="I143" s="39">
        <f t="shared" si="92"/>
        <v>5.8799999999999955</v>
      </c>
      <c r="J143" s="5"/>
      <c r="K143" s="5"/>
      <c r="L143" s="33">
        <f t="shared" si="93"/>
        <v>743.88999999999953</v>
      </c>
      <c r="M143" s="33">
        <f t="shared" si="94"/>
        <v>743.88999999999953</v>
      </c>
      <c r="N143" s="33">
        <f t="shared" si="95"/>
        <v>0</v>
      </c>
      <c r="R143">
        <v>1</v>
      </c>
      <c r="U143" s="29">
        <f t="shared" si="86"/>
        <v>0</v>
      </c>
      <c r="V143" s="29">
        <f t="shared" si="87"/>
        <v>0</v>
      </c>
      <c r="W143" s="29">
        <f t="shared" si="88"/>
        <v>0</v>
      </c>
      <c r="X143" s="29">
        <f t="shared" si="89"/>
        <v>743.88999999999953</v>
      </c>
      <c r="Y143" s="29">
        <f t="shared" si="90"/>
        <v>0</v>
      </c>
      <c r="Z143" s="29">
        <f t="shared" si="91"/>
        <v>0</v>
      </c>
    </row>
    <row r="144" spans="1:27" x14ac:dyDescent="0.3">
      <c r="A144" s="5" t="s">
        <v>1890</v>
      </c>
      <c r="B144" s="5" t="s">
        <v>1891</v>
      </c>
      <c r="C144" s="5">
        <v>84</v>
      </c>
      <c r="D144" s="6">
        <v>12370</v>
      </c>
      <c r="E144" s="17" t="str">
        <f>VLOOKUP(A144,'forecast data dump'!$A$1:$H$3450,4,FALSE)</f>
        <v>01-Oct-19 A</v>
      </c>
      <c r="F144" s="17">
        <f>VLOOKUP(A144,'forecast data dump'!$A$1:$H$3450,5,FALSE)</f>
        <v>44405</v>
      </c>
      <c r="G144" s="42">
        <v>0.93</v>
      </c>
      <c r="H144" s="5" t="s">
        <v>3763</v>
      </c>
      <c r="I144" s="39">
        <f t="shared" si="92"/>
        <v>5.8799999999999955</v>
      </c>
      <c r="J144" s="5"/>
      <c r="K144" s="5"/>
      <c r="L144" s="33">
        <f t="shared" si="93"/>
        <v>865.89999999999941</v>
      </c>
      <c r="M144" s="33">
        <f t="shared" si="94"/>
        <v>865.89999999999941</v>
      </c>
      <c r="N144" s="33">
        <f t="shared" si="95"/>
        <v>0</v>
      </c>
      <c r="R144">
        <v>1</v>
      </c>
      <c r="U144" s="29">
        <f t="shared" si="86"/>
        <v>0</v>
      </c>
      <c r="V144" s="29">
        <f t="shared" si="87"/>
        <v>0</v>
      </c>
      <c r="W144" s="29">
        <f t="shared" si="88"/>
        <v>0</v>
      </c>
      <c r="X144" s="29">
        <f t="shared" si="89"/>
        <v>865.89999999999941</v>
      </c>
      <c r="Y144" s="29">
        <f t="shared" si="90"/>
        <v>0</v>
      </c>
      <c r="Z144" s="29">
        <f t="shared" si="91"/>
        <v>0</v>
      </c>
    </row>
    <row r="145" spans="1:26" x14ac:dyDescent="0.3">
      <c r="A145" s="3" t="s">
        <v>7864</v>
      </c>
      <c r="B145" s="3"/>
      <c r="C145" s="3"/>
      <c r="D145" s="4"/>
      <c r="E145" s="15"/>
      <c r="F145" s="15"/>
      <c r="G145" s="41"/>
      <c r="H145" s="3"/>
      <c r="I145" s="38"/>
      <c r="J145" s="3"/>
      <c r="K145" s="3"/>
      <c r="L145" s="32"/>
      <c r="M145" s="32"/>
      <c r="N145" s="32"/>
      <c r="U145" s="29"/>
      <c r="V145" s="29"/>
      <c r="W145" s="29"/>
      <c r="X145" s="29"/>
      <c r="Y145" s="29"/>
      <c r="Z145" s="29"/>
    </row>
    <row r="146" spans="1:26" x14ac:dyDescent="0.3">
      <c r="A146" s="5" t="s">
        <v>1900</v>
      </c>
      <c r="B146" s="5" t="s">
        <v>1901</v>
      </c>
      <c r="C146" s="5">
        <v>12</v>
      </c>
      <c r="D146" s="6">
        <v>1518</v>
      </c>
      <c r="E146" s="17" t="str">
        <f>VLOOKUP(A146,'forecast data dump'!$A$1:$H$3450,4,FALSE)</f>
        <v>01-Oct-20 A</v>
      </c>
      <c r="F146" s="17">
        <f>VLOOKUP(A146,'forecast data dump'!$A$1:$H$3450,5,FALSE)</f>
        <v>44435</v>
      </c>
      <c r="G146" s="42">
        <f>VLOOKUP(A146,'forecast data dump'!$A$1:$H$3450,8,FALSE)</f>
        <v>0.5</v>
      </c>
      <c r="H146" s="5" t="s">
        <v>3758</v>
      </c>
      <c r="I146" s="39">
        <f t="shared" ref="I146:I147" si="96">C146*(1-G146)</f>
        <v>6</v>
      </c>
      <c r="J146" s="5"/>
      <c r="K146" s="5"/>
      <c r="L146" s="33">
        <f t="shared" ref="L146:L147" si="97">D146*(1-G146)</f>
        <v>759</v>
      </c>
      <c r="M146" s="33">
        <f t="shared" ref="M146:M147" si="98">IF(J146="",L146,(D146/C146)*J146)</f>
        <v>759</v>
      </c>
      <c r="N146" s="33">
        <f t="shared" ref="N146:N147" si="99">L146-M146</f>
        <v>0</v>
      </c>
      <c r="T146">
        <v>1</v>
      </c>
      <c r="U146" s="29">
        <f t="shared" si="86"/>
        <v>0</v>
      </c>
      <c r="V146" s="29">
        <f t="shared" si="87"/>
        <v>0</v>
      </c>
      <c r="W146" s="29">
        <f t="shared" si="88"/>
        <v>0</v>
      </c>
      <c r="X146" s="29">
        <f t="shared" si="89"/>
        <v>0</v>
      </c>
      <c r="Y146" s="29">
        <f t="shared" si="90"/>
        <v>0</v>
      </c>
      <c r="Z146" s="29">
        <f t="shared" si="91"/>
        <v>759</v>
      </c>
    </row>
    <row r="147" spans="1:26" x14ac:dyDescent="0.3">
      <c r="A147" s="5" t="s">
        <v>1930</v>
      </c>
      <c r="B147" s="5" t="s">
        <v>1931</v>
      </c>
      <c r="C147" s="5">
        <v>3000</v>
      </c>
      <c r="D147" s="6">
        <v>3414</v>
      </c>
      <c r="E147" s="17" t="str">
        <f>VLOOKUP(A147,'forecast data dump'!$A$1:$H$3450,4,FALSE)</f>
        <v>01-Oct-20 A</v>
      </c>
      <c r="F147" s="17">
        <f>VLOOKUP(A147,'forecast data dump'!$A$1:$H$3450,5,FALSE)</f>
        <v>44435</v>
      </c>
      <c r="G147" s="42">
        <f>VLOOKUP(A147,'forecast data dump'!$A$1:$H$3450,8,FALSE)</f>
        <v>0.5</v>
      </c>
      <c r="H147" s="5" t="s">
        <v>3762</v>
      </c>
      <c r="I147" s="39">
        <f t="shared" si="96"/>
        <v>1500</v>
      </c>
      <c r="J147" s="5"/>
      <c r="K147" s="5"/>
      <c r="L147" s="33">
        <f t="shared" si="97"/>
        <v>1707</v>
      </c>
      <c r="M147" s="33">
        <f t="shared" si="98"/>
        <v>1707</v>
      </c>
      <c r="N147" s="33">
        <f t="shared" si="99"/>
        <v>0</v>
      </c>
      <c r="Q147">
        <v>1</v>
      </c>
      <c r="U147" s="29">
        <f t="shared" si="86"/>
        <v>0</v>
      </c>
      <c r="V147" s="29">
        <f t="shared" si="87"/>
        <v>0</v>
      </c>
      <c r="W147" s="29">
        <f t="shared" si="88"/>
        <v>1707</v>
      </c>
      <c r="X147" s="29">
        <f t="shared" si="89"/>
        <v>0</v>
      </c>
      <c r="Y147" s="29">
        <f t="shared" si="90"/>
        <v>0</v>
      </c>
      <c r="Z147" s="29">
        <f t="shared" si="91"/>
        <v>0</v>
      </c>
    </row>
    <row r="148" spans="1:26" x14ac:dyDescent="0.3">
      <c r="A148" s="3" t="s">
        <v>7865</v>
      </c>
      <c r="B148" s="3"/>
      <c r="C148" s="3"/>
      <c r="D148" s="4"/>
      <c r="E148" s="15"/>
      <c r="F148" s="15"/>
      <c r="G148" s="41"/>
      <c r="H148" s="3"/>
      <c r="I148" s="38"/>
      <c r="J148" s="3"/>
      <c r="K148" s="3"/>
      <c r="L148" s="32"/>
      <c r="M148" s="32"/>
      <c r="N148" s="32"/>
      <c r="U148" s="29"/>
      <c r="V148" s="29"/>
      <c r="W148" s="29"/>
      <c r="X148" s="29"/>
      <c r="Y148" s="29"/>
      <c r="Z148" s="29"/>
    </row>
    <row r="149" spans="1:26" x14ac:dyDescent="0.3">
      <c r="A149" s="5" t="s">
        <v>1966</v>
      </c>
      <c r="B149" s="5" t="s">
        <v>1967</v>
      </c>
      <c r="C149" s="5">
        <v>48</v>
      </c>
      <c r="D149" s="6">
        <v>6072</v>
      </c>
      <c r="E149" s="17">
        <f>VLOOKUP(A149,'forecast data dump'!$A$1:$H$3450,4,FALSE)</f>
        <v>44438</v>
      </c>
      <c r="F149" s="17">
        <f>VLOOKUP(A149,'forecast data dump'!$A$1:$H$3450,5,FALSE)</f>
        <v>44466</v>
      </c>
      <c r="G149" s="42">
        <v>0.4</v>
      </c>
      <c r="H149" s="5" t="s">
        <v>3758</v>
      </c>
      <c r="I149" s="39">
        <f t="shared" ref="I149:I160" si="100">C149*(1-G149)</f>
        <v>28.799999999999997</v>
      </c>
      <c r="J149" s="5"/>
      <c r="K149" s="5"/>
      <c r="L149" s="33">
        <f t="shared" ref="L149:L160" si="101">D149*(1-G149)</f>
        <v>3643.2</v>
      </c>
      <c r="M149" s="33">
        <f t="shared" ref="M149:M160" si="102">IF(J149="",L149,(D149/C149)*J149)</f>
        <v>3643.2</v>
      </c>
      <c r="N149" s="33">
        <f t="shared" ref="N149:N160" si="103">L149-M149</f>
        <v>0</v>
      </c>
      <c r="T149">
        <v>1</v>
      </c>
      <c r="U149" s="29">
        <f t="shared" si="86"/>
        <v>0</v>
      </c>
      <c r="V149" s="29">
        <f t="shared" si="87"/>
        <v>0</v>
      </c>
      <c r="W149" s="29">
        <f t="shared" si="88"/>
        <v>0</v>
      </c>
      <c r="X149" s="29">
        <f t="shared" si="89"/>
        <v>0</v>
      </c>
      <c r="Y149" s="29">
        <f t="shared" si="90"/>
        <v>0</v>
      </c>
      <c r="Z149" s="29">
        <f t="shared" si="91"/>
        <v>3643.2</v>
      </c>
    </row>
    <row r="150" spans="1:26" x14ac:dyDescent="0.3">
      <c r="A150" s="5" t="s">
        <v>1966</v>
      </c>
      <c r="B150" s="5" t="s">
        <v>1967</v>
      </c>
      <c r="C150" s="5">
        <v>280</v>
      </c>
      <c r="D150" s="6">
        <v>31954</v>
      </c>
      <c r="E150" s="17">
        <f>VLOOKUP(A150,'forecast data dump'!$A$1:$H$3450,4,FALSE)</f>
        <v>44438</v>
      </c>
      <c r="F150" s="17">
        <f>VLOOKUP(A150,'forecast data dump'!$A$1:$H$3450,5,FALSE)</f>
        <v>44466</v>
      </c>
      <c r="G150" s="42">
        <v>0.4</v>
      </c>
      <c r="H150" s="5" t="s">
        <v>3759</v>
      </c>
      <c r="I150" s="39">
        <f t="shared" si="100"/>
        <v>168</v>
      </c>
      <c r="J150" s="5"/>
      <c r="K150" s="5"/>
      <c r="L150" s="33">
        <f t="shared" si="101"/>
        <v>19172.399999999998</v>
      </c>
      <c r="M150" s="33">
        <f t="shared" si="102"/>
        <v>19172.399999999998</v>
      </c>
      <c r="N150" s="33">
        <f t="shared" si="103"/>
        <v>0</v>
      </c>
      <c r="T150">
        <v>1</v>
      </c>
      <c r="U150" s="29">
        <f t="shared" si="86"/>
        <v>0</v>
      </c>
      <c r="V150" s="29">
        <f t="shared" si="87"/>
        <v>0</v>
      </c>
      <c r="W150" s="29">
        <f t="shared" si="88"/>
        <v>0</v>
      </c>
      <c r="X150" s="29">
        <f t="shared" si="89"/>
        <v>0</v>
      </c>
      <c r="Y150" s="29">
        <f t="shared" si="90"/>
        <v>0</v>
      </c>
      <c r="Z150" s="29">
        <f t="shared" si="91"/>
        <v>19172.399999999998</v>
      </c>
    </row>
    <row r="151" spans="1:26" x14ac:dyDescent="0.3">
      <c r="A151" s="5" t="s">
        <v>1968</v>
      </c>
      <c r="B151" s="5" t="s">
        <v>1969</v>
      </c>
      <c r="C151" s="5">
        <v>4</v>
      </c>
      <c r="D151" s="6">
        <v>506</v>
      </c>
      <c r="E151" s="17">
        <f>VLOOKUP(A151,'forecast data dump'!$A$1:$H$3450,4,FALSE)</f>
        <v>44467</v>
      </c>
      <c r="F151" s="17">
        <f>VLOOKUP(A151,'forecast data dump'!$A$1:$H$3450,5,FALSE)</f>
        <v>44473</v>
      </c>
      <c r="G151" s="42">
        <v>0.7</v>
      </c>
      <c r="H151" s="5" t="s">
        <v>3758</v>
      </c>
      <c r="I151" s="39">
        <f t="shared" si="100"/>
        <v>1.2000000000000002</v>
      </c>
      <c r="J151" s="5"/>
      <c r="K151" s="5"/>
      <c r="L151" s="33">
        <f t="shared" si="101"/>
        <v>151.80000000000001</v>
      </c>
      <c r="M151" s="33">
        <f t="shared" si="102"/>
        <v>151.80000000000001</v>
      </c>
      <c r="N151" s="33">
        <f t="shared" si="103"/>
        <v>0</v>
      </c>
      <c r="T151">
        <v>1</v>
      </c>
      <c r="U151" s="29">
        <f t="shared" si="86"/>
        <v>0</v>
      </c>
      <c r="V151" s="29">
        <f t="shared" si="87"/>
        <v>0</v>
      </c>
      <c r="W151" s="29">
        <f t="shared" si="88"/>
        <v>0</v>
      </c>
      <c r="X151" s="29">
        <f t="shared" si="89"/>
        <v>0</v>
      </c>
      <c r="Y151" s="29">
        <f t="shared" si="90"/>
        <v>0</v>
      </c>
      <c r="Z151" s="29">
        <f t="shared" si="91"/>
        <v>151.80000000000001</v>
      </c>
    </row>
    <row r="152" spans="1:26" x14ac:dyDescent="0.3">
      <c r="A152" s="5" t="s">
        <v>1968</v>
      </c>
      <c r="B152" s="5" t="s">
        <v>1969</v>
      </c>
      <c r="C152" s="5">
        <v>13</v>
      </c>
      <c r="D152" s="6">
        <v>1484</v>
      </c>
      <c r="E152" s="17">
        <f>VLOOKUP(A152,'forecast data dump'!$A$1:$H$3450,4,FALSE)</f>
        <v>44467</v>
      </c>
      <c r="F152" s="17">
        <f>VLOOKUP(A152,'forecast data dump'!$A$1:$H$3450,5,FALSE)</f>
        <v>44473</v>
      </c>
      <c r="G152" s="42">
        <v>0.7</v>
      </c>
      <c r="H152" s="5" t="s">
        <v>3759</v>
      </c>
      <c r="I152" s="39">
        <f t="shared" si="100"/>
        <v>3.9000000000000004</v>
      </c>
      <c r="J152" s="5"/>
      <c r="K152" s="5"/>
      <c r="L152" s="33">
        <f t="shared" si="101"/>
        <v>445.20000000000005</v>
      </c>
      <c r="M152" s="33">
        <f t="shared" si="102"/>
        <v>445.20000000000005</v>
      </c>
      <c r="N152" s="33">
        <f t="shared" si="103"/>
        <v>0</v>
      </c>
      <c r="T152">
        <v>1</v>
      </c>
      <c r="U152" s="29">
        <f t="shared" si="86"/>
        <v>0</v>
      </c>
      <c r="V152" s="29">
        <f t="shared" si="87"/>
        <v>0</v>
      </c>
      <c r="W152" s="29">
        <f t="shared" si="88"/>
        <v>0</v>
      </c>
      <c r="X152" s="29">
        <f t="shared" si="89"/>
        <v>0</v>
      </c>
      <c r="Y152" s="29">
        <f t="shared" si="90"/>
        <v>0</v>
      </c>
      <c r="Z152" s="29">
        <f t="shared" si="91"/>
        <v>445.20000000000005</v>
      </c>
    </row>
    <row r="153" spans="1:26" x14ac:dyDescent="0.3">
      <c r="A153" s="5" t="s">
        <v>1970</v>
      </c>
      <c r="B153" s="5" t="s">
        <v>1971</v>
      </c>
      <c r="C153" s="5">
        <v>52</v>
      </c>
      <c r="D153" s="6">
        <v>6087</v>
      </c>
      <c r="E153" s="17">
        <f>VLOOKUP(A153,'forecast data dump'!$A$1:$H$3450,4,FALSE)</f>
        <v>44474</v>
      </c>
      <c r="F153" s="17">
        <f>VLOOKUP(A153,'forecast data dump'!$A$1:$H$3450,5,FALSE)</f>
        <v>44547</v>
      </c>
      <c r="G153" s="42">
        <v>0.3</v>
      </c>
      <c r="H153" s="5" t="s">
        <v>3759</v>
      </c>
      <c r="I153" s="39">
        <f t="shared" si="100"/>
        <v>36.4</v>
      </c>
      <c r="J153" s="5"/>
      <c r="K153" s="5"/>
      <c r="L153" s="33">
        <f t="shared" si="101"/>
        <v>4260.8999999999996</v>
      </c>
      <c r="M153" s="33">
        <f t="shared" si="102"/>
        <v>4260.8999999999996</v>
      </c>
      <c r="N153" s="33">
        <f t="shared" si="103"/>
        <v>0</v>
      </c>
      <c r="T153">
        <v>1</v>
      </c>
      <c r="U153" s="29">
        <f t="shared" si="86"/>
        <v>0</v>
      </c>
      <c r="V153" s="29">
        <f t="shared" si="87"/>
        <v>0</v>
      </c>
      <c r="W153" s="29">
        <f t="shared" si="88"/>
        <v>0</v>
      </c>
      <c r="X153" s="29">
        <f t="shared" si="89"/>
        <v>0</v>
      </c>
      <c r="Y153" s="29">
        <f t="shared" si="90"/>
        <v>0</v>
      </c>
      <c r="Z153" s="29">
        <f t="shared" si="91"/>
        <v>4260.8999999999996</v>
      </c>
    </row>
    <row r="154" spans="1:26" x14ac:dyDescent="0.3">
      <c r="A154" s="5" t="s">
        <v>1970</v>
      </c>
      <c r="B154" s="5" t="s">
        <v>1971</v>
      </c>
      <c r="C154" s="5">
        <v>150</v>
      </c>
      <c r="D154" s="6">
        <v>19245</v>
      </c>
      <c r="E154" s="17">
        <f>VLOOKUP(A154,'forecast data dump'!$A$1:$H$3450,4,FALSE)</f>
        <v>44474</v>
      </c>
      <c r="F154" s="17">
        <f>VLOOKUP(A154,'forecast data dump'!$A$1:$H$3450,5,FALSE)</f>
        <v>44547</v>
      </c>
      <c r="G154" s="42">
        <v>0.3</v>
      </c>
      <c r="H154" s="5" t="s">
        <v>3752</v>
      </c>
      <c r="I154" s="39">
        <f t="shared" si="100"/>
        <v>105</v>
      </c>
      <c r="J154" s="5"/>
      <c r="K154" s="5"/>
      <c r="L154" s="33">
        <f t="shared" si="101"/>
        <v>13471.5</v>
      </c>
      <c r="M154" s="33">
        <f t="shared" si="102"/>
        <v>13471.5</v>
      </c>
      <c r="N154" s="33">
        <f t="shared" si="103"/>
        <v>0</v>
      </c>
      <c r="T154">
        <v>1</v>
      </c>
      <c r="U154" s="29">
        <f t="shared" si="86"/>
        <v>0</v>
      </c>
      <c r="V154" s="29">
        <f t="shared" si="87"/>
        <v>0</v>
      </c>
      <c r="W154" s="29">
        <f t="shared" si="88"/>
        <v>0</v>
      </c>
      <c r="X154" s="29">
        <f t="shared" si="89"/>
        <v>0</v>
      </c>
      <c r="Y154" s="29">
        <f t="shared" si="90"/>
        <v>0</v>
      </c>
      <c r="Z154" s="29">
        <f t="shared" si="91"/>
        <v>13471.5</v>
      </c>
    </row>
    <row r="155" spans="1:26" x14ac:dyDescent="0.3">
      <c r="A155" s="5" t="s">
        <v>1972</v>
      </c>
      <c r="B155" s="5" t="s">
        <v>1973</v>
      </c>
      <c r="C155" s="5">
        <v>160</v>
      </c>
      <c r="D155" s="6">
        <v>19372</v>
      </c>
      <c r="E155" s="17">
        <f>VLOOKUP(A155,'forecast data dump'!$A$1:$H$3450,4,FALSE)</f>
        <v>44601</v>
      </c>
      <c r="F155" s="17">
        <f>VLOOKUP(A155,'forecast data dump'!$A$1:$H$3450,5,FALSE)</f>
        <v>44629</v>
      </c>
      <c r="G155" s="42">
        <v>0.1</v>
      </c>
      <c r="H155" s="5" t="s">
        <v>3759</v>
      </c>
      <c r="I155" s="39">
        <f t="shared" si="100"/>
        <v>144</v>
      </c>
      <c r="J155" s="5"/>
      <c r="K155" s="5"/>
      <c r="L155" s="33">
        <f t="shared" si="101"/>
        <v>17434.8</v>
      </c>
      <c r="M155" s="33">
        <f t="shared" si="102"/>
        <v>17434.8</v>
      </c>
      <c r="N155" s="33">
        <f t="shared" si="103"/>
        <v>0</v>
      </c>
      <c r="T155">
        <v>1</v>
      </c>
      <c r="U155" s="29">
        <f t="shared" si="86"/>
        <v>0</v>
      </c>
      <c r="V155" s="29">
        <f t="shared" si="87"/>
        <v>0</v>
      </c>
      <c r="W155" s="29">
        <f t="shared" si="88"/>
        <v>0</v>
      </c>
      <c r="X155" s="29">
        <f t="shared" si="89"/>
        <v>0</v>
      </c>
      <c r="Y155" s="29">
        <f t="shared" si="90"/>
        <v>0</v>
      </c>
      <c r="Z155" s="29">
        <f t="shared" si="91"/>
        <v>17434.8</v>
      </c>
    </row>
    <row r="156" spans="1:26" x14ac:dyDescent="0.3">
      <c r="A156" s="5" t="s">
        <v>1974</v>
      </c>
      <c r="B156" s="5" t="s">
        <v>1975</v>
      </c>
      <c r="C156" s="5">
        <v>40</v>
      </c>
      <c r="D156" s="6">
        <v>4843</v>
      </c>
      <c r="E156" s="17">
        <f>VLOOKUP(A156,'forecast data dump'!$A$1:$H$3450,4,FALSE)</f>
        <v>44651</v>
      </c>
      <c r="F156" s="17">
        <f>VLOOKUP(A156,'forecast data dump'!$A$1:$H$3450,5,FALSE)</f>
        <v>44664</v>
      </c>
      <c r="G156" s="42">
        <f>VLOOKUP(A156,'forecast data dump'!$A$1:$H$3450,8,FALSE)</f>
        <v>0</v>
      </c>
      <c r="H156" s="5" t="s">
        <v>3759</v>
      </c>
      <c r="I156" s="39">
        <f t="shared" si="100"/>
        <v>40</v>
      </c>
      <c r="J156" s="5"/>
      <c r="K156" s="5"/>
      <c r="L156" s="33">
        <f t="shared" si="101"/>
        <v>4843</v>
      </c>
      <c r="M156" s="33">
        <f t="shared" si="102"/>
        <v>4843</v>
      </c>
      <c r="N156" s="33">
        <f t="shared" si="103"/>
        <v>0</v>
      </c>
      <c r="T156">
        <v>1</v>
      </c>
      <c r="U156" s="29">
        <f t="shared" si="86"/>
        <v>0</v>
      </c>
      <c r="V156" s="29">
        <f t="shared" si="87"/>
        <v>0</v>
      </c>
      <c r="W156" s="29">
        <f t="shared" si="88"/>
        <v>0</v>
      </c>
      <c r="X156" s="29">
        <f t="shared" si="89"/>
        <v>0</v>
      </c>
      <c r="Y156" s="29">
        <f t="shared" si="90"/>
        <v>0</v>
      </c>
      <c r="Z156" s="29">
        <f t="shared" si="91"/>
        <v>4843</v>
      </c>
    </row>
    <row r="157" spans="1:26" x14ac:dyDescent="0.3">
      <c r="A157" s="5" t="s">
        <v>1978</v>
      </c>
      <c r="B157" s="5" t="s">
        <v>1979</v>
      </c>
      <c r="C157" s="5">
        <v>480</v>
      </c>
      <c r="D157" s="6">
        <v>63690</v>
      </c>
      <c r="E157" s="17">
        <f>VLOOKUP(A157,'forecast data dump'!$A$1:$H$3450,4,FALSE)</f>
        <v>44601</v>
      </c>
      <c r="F157" s="17">
        <f>VLOOKUP(A157,'forecast data dump'!$A$1:$H$3450,5,FALSE)</f>
        <v>44607</v>
      </c>
      <c r="G157" s="42">
        <f>VLOOKUP(A157,'forecast data dump'!$A$1:$H$3450,8,FALSE)</f>
        <v>0</v>
      </c>
      <c r="H157" s="5" t="s">
        <v>3752</v>
      </c>
      <c r="I157" s="39">
        <f t="shared" si="100"/>
        <v>480</v>
      </c>
      <c r="J157" s="5"/>
      <c r="K157" s="5"/>
      <c r="L157" s="33">
        <f t="shared" si="101"/>
        <v>63690</v>
      </c>
      <c r="M157" s="33">
        <f t="shared" si="102"/>
        <v>63690</v>
      </c>
      <c r="N157" s="33">
        <f t="shared" si="103"/>
        <v>0</v>
      </c>
      <c r="T157">
        <v>1</v>
      </c>
      <c r="U157" s="29">
        <f t="shared" si="86"/>
        <v>0</v>
      </c>
      <c r="V157" s="29">
        <f t="shared" si="87"/>
        <v>0</v>
      </c>
      <c r="W157" s="29">
        <f t="shared" si="88"/>
        <v>0</v>
      </c>
      <c r="X157" s="29">
        <f t="shared" si="89"/>
        <v>0</v>
      </c>
      <c r="Y157" s="29">
        <f t="shared" si="90"/>
        <v>0</v>
      </c>
      <c r="Z157" s="29">
        <f t="shared" si="91"/>
        <v>63690</v>
      </c>
    </row>
    <row r="158" spans="1:26" x14ac:dyDescent="0.3">
      <c r="A158" s="5" t="s">
        <v>1980</v>
      </c>
      <c r="B158" s="5" t="s">
        <v>1981</v>
      </c>
      <c r="C158" s="5">
        <v>16</v>
      </c>
      <c r="D158" s="6">
        <v>1937</v>
      </c>
      <c r="E158" s="17">
        <f>VLOOKUP(A158,'forecast data dump'!$A$1:$H$3450,4,FALSE)</f>
        <v>44623</v>
      </c>
      <c r="F158" s="17">
        <f>VLOOKUP(A158,'forecast data dump'!$A$1:$H$3450,5,FALSE)</f>
        <v>44629</v>
      </c>
      <c r="G158" s="42">
        <f>VLOOKUP(A158,'forecast data dump'!$A$1:$H$3450,8,FALSE)</f>
        <v>0</v>
      </c>
      <c r="H158" s="5" t="s">
        <v>3759</v>
      </c>
      <c r="I158" s="39">
        <f t="shared" si="100"/>
        <v>16</v>
      </c>
      <c r="J158" s="5"/>
      <c r="K158" s="5"/>
      <c r="L158" s="33">
        <f t="shared" si="101"/>
        <v>1937</v>
      </c>
      <c r="M158" s="33">
        <f t="shared" si="102"/>
        <v>1937</v>
      </c>
      <c r="N158" s="33">
        <f t="shared" si="103"/>
        <v>0</v>
      </c>
      <c r="T158">
        <v>1</v>
      </c>
      <c r="U158" s="29">
        <f t="shared" si="86"/>
        <v>0</v>
      </c>
      <c r="V158" s="29">
        <f t="shared" si="87"/>
        <v>0</v>
      </c>
      <c r="W158" s="29">
        <f t="shared" si="88"/>
        <v>0</v>
      </c>
      <c r="X158" s="29">
        <f t="shared" si="89"/>
        <v>0</v>
      </c>
      <c r="Y158" s="29">
        <f t="shared" si="90"/>
        <v>0</v>
      </c>
      <c r="Z158" s="29">
        <f t="shared" si="91"/>
        <v>1937</v>
      </c>
    </row>
    <row r="159" spans="1:26" x14ac:dyDescent="0.3">
      <c r="A159" s="5" t="s">
        <v>1982</v>
      </c>
      <c r="B159" s="5" t="s">
        <v>1983</v>
      </c>
      <c r="C159" s="5">
        <v>96</v>
      </c>
      <c r="D159" s="6">
        <v>11623</v>
      </c>
      <c r="E159" s="17">
        <f>VLOOKUP(A159,'forecast data dump'!$A$1:$H$3450,4,FALSE)</f>
        <v>44630</v>
      </c>
      <c r="F159" s="17">
        <f>VLOOKUP(A159,'forecast data dump'!$A$1:$H$3450,5,FALSE)</f>
        <v>44650</v>
      </c>
      <c r="G159" s="42">
        <f>VLOOKUP(A159,'forecast data dump'!$A$1:$H$3450,8,FALSE)</f>
        <v>0</v>
      </c>
      <c r="H159" s="5" t="s">
        <v>3759</v>
      </c>
      <c r="I159" s="39">
        <f t="shared" si="100"/>
        <v>96</v>
      </c>
      <c r="J159" s="5"/>
      <c r="K159" s="5"/>
      <c r="L159" s="33">
        <f t="shared" si="101"/>
        <v>11623</v>
      </c>
      <c r="M159" s="33">
        <f t="shared" si="102"/>
        <v>11623</v>
      </c>
      <c r="N159" s="33">
        <f t="shared" si="103"/>
        <v>0</v>
      </c>
      <c r="T159">
        <v>1</v>
      </c>
      <c r="U159" s="29">
        <f t="shared" si="86"/>
        <v>0</v>
      </c>
      <c r="V159" s="29">
        <f t="shared" si="87"/>
        <v>0</v>
      </c>
      <c r="W159" s="29">
        <f t="shared" si="88"/>
        <v>0</v>
      </c>
      <c r="X159" s="29">
        <f t="shared" si="89"/>
        <v>0</v>
      </c>
      <c r="Y159" s="29">
        <f t="shared" si="90"/>
        <v>0</v>
      </c>
      <c r="Z159" s="29">
        <f t="shared" si="91"/>
        <v>11623</v>
      </c>
    </row>
    <row r="160" spans="1:26" x14ac:dyDescent="0.3">
      <c r="A160" s="5" t="s">
        <v>1984</v>
      </c>
      <c r="B160" s="5" t="s">
        <v>1985</v>
      </c>
      <c r="C160" s="5">
        <v>8</v>
      </c>
      <c r="D160" s="6">
        <v>1062</v>
      </c>
      <c r="E160" s="17" t="str">
        <f>VLOOKUP(A160,'forecast data dump'!$A$1:$H$3450,4,FALSE)</f>
        <v>15-Jun-21 A</v>
      </c>
      <c r="F160" s="17">
        <f>VLOOKUP(A160,'forecast data dump'!$A$1:$H$3450,5,FALSE)</f>
        <v>44641</v>
      </c>
      <c r="G160" s="42">
        <v>0.8</v>
      </c>
      <c r="H160" s="5" t="s">
        <v>3752</v>
      </c>
      <c r="I160" s="39">
        <f t="shared" si="100"/>
        <v>1.5999999999999996</v>
      </c>
      <c r="J160" s="5"/>
      <c r="K160" s="5"/>
      <c r="L160" s="33">
        <f t="shared" si="101"/>
        <v>212.39999999999995</v>
      </c>
      <c r="M160" s="33">
        <f t="shared" si="102"/>
        <v>212.39999999999995</v>
      </c>
      <c r="N160" s="33">
        <f t="shared" si="103"/>
        <v>0</v>
      </c>
      <c r="T160">
        <v>1</v>
      </c>
      <c r="U160" s="29">
        <f t="shared" si="86"/>
        <v>0</v>
      </c>
      <c r="V160" s="29">
        <f t="shared" si="87"/>
        <v>0</v>
      </c>
      <c r="W160" s="29">
        <f t="shared" si="88"/>
        <v>0</v>
      </c>
      <c r="X160" s="29">
        <f t="shared" si="89"/>
        <v>0</v>
      </c>
      <c r="Y160" s="29">
        <f t="shared" si="90"/>
        <v>0</v>
      </c>
      <c r="Z160" s="29">
        <f t="shared" si="91"/>
        <v>212.39999999999995</v>
      </c>
    </row>
    <row r="161" spans="1:27" x14ac:dyDescent="0.3">
      <c r="A161" s="3" t="s">
        <v>7866</v>
      </c>
      <c r="B161" s="3"/>
      <c r="C161" s="3"/>
      <c r="D161" s="4"/>
      <c r="E161" s="15"/>
      <c r="F161" s="15"/>
      <c r="G161" s="41"/>
      <c r="H161" s="3"/>
      <c r="I161" s="38"/>
      <c r="J161" s="3"/>
      <c r="K161" s="3"/>
      <c r="L161" s="32"/>
      <c r="M161" s="32"/>
      <c r="N161" s="32"/>
      <c r="U161" s="29"/>
      <c r="V161" s="29"/>
      <c r="W161" s="29"/>
      <c r="X161" s="29"/>
      <c r="Y161" s="29"/>
      <c r="Z161" s="29"/>
    </row>
    <row r="162" spans="1:27" x14ac:dyDescent="0.3">
      <c r="A162" s="5" t="s">
        <v>1759</v>
      </c>
      <c r="B162" s="5" t="s">
        <v>1760</v>
      </c>
      <c r="C162" s="5">
        <v>8</v>
      </c>
      <c r="D162" s="6">
        <v>1012</v>
      </c>
      <c r="E162" s="17" t="str">
        <f>VLOOKUP(A162,'forecast data dump'!$A$1:$H$3450,4,FALSE)</f>
        <v>03-Aug-20 A</v>
      </c>
      <c r="F162" s="17">
        <f>VLOOKUP(A162,'forecast data dump'!$A$1:$H$3450,5,FALSE)</f>
        <v>44435</v>
      </c>
      <c r="G162" s="42">
        <v>0.7</v>
      </c>
      <c r="H162" s="5" t="s">
        <v>3758</v>
      </c>
      <c r="I162" s="39">
        <f t="shared" ref="I162:I170" si="104">C162*(1-G162)</f>
        <v>2.4000000000000004</v>
      </c>
      <c r="J162" s="5"/>
      <c r="K162" s="5"/>
      <c r="L162" s="33">
        <f t="shared" ref="L162:L170" si="105">D162*(1-G162)</f>
        <v>303.60000000000002</v>
      </c>
      <c r="M162" s="33">
        <f t="shared" ref="M162:M170" si="106">IF(J162="",L162,(D162/C162)*J162)</f>
        <v>303.60000000000002</v>
      </c>
      <c r="N162" s="33">
        <f t="shared" ref="N162:N170" si="107">L162-M162</f>
        <v>0</v>
      </c>
      <c r="R162">
        <v>1</v>
      </c>
      <c r="U162" s="29">
        <f t="shared" si="86"/>
        <v>0</v>
      </c>
      <c r="V162" s="29">
        <f t="shared" si="87"/>
        <v>0</v>
      </c>
      <c r="W162" s="29">
        <f t="shared" si="88"/>
        <v>0</v>
      </c>
      <c r="X162" s="29">
        <f t="shared" si="89"/>
        <v>303.60000000000002</v>
      </c>
      <c r="Y162" s="29">
        <f t="shared" si="90"/>
        <v>0</v>
      </c>
      <c r="Z162" s="29">
        <f t="shared" si="91"/>
        <v>0</v>
      </c>
    </row>
    <row r="163" spans="1:27" x14ac:dyDescent="0.3">
      <c r="A163" s="5" t="s">
        <v>1759</v>
      </c>
      <c r="B163" s="5" t="s">
        <v>1760</v>
      </c>
      <c r="C163" s="5">
        <v>8</v>
      </c>
      <c r="D163" s="6">
        <v>1178</v>
      </c>
      <c r="E163" s="17" t="str">
        <f>VLOOKUP(A163,'forecast data dump'!$A$1:$H$3450,4,FALSE)</f>
        <v>03-Aug-20 A</v>
      </c>
      <c r="F163" s="17">
        <f>VLOOKUP(A163,'forecast data dump'!$A$1:$H$3450,5,FALSE)</f>
        <v>44435</v>
      </c>
      <c r="G163" s="42">
        <v>0.7</v>
      </c>
      <c r="H163" s="5" t="s">
        <v>3763</v>
      </c>
      <c r="I163" s="39">
        <f t="shared" si="104"/>
        <v>2.4000000000000004</v>
      </c>
      <c r="J163" s="5"/>
      <c r="K163" s="5"/>
      <c r="L163" s="33">
        <f t="shared" si="105"/>
        <v>353.40000000000003</v>
      </c>
      <c r="M163" s="33">
        <f t="shared" si="106"/>
        <v>353.40000000000003</v>
      </c>
      <c r="N163" s="33">
        <f t="shared" si="107"/>
        <v>0</v>
      </c>
      <c r="R163">
        <v>1</v>
      </c>
      <c r="U163" s="29">
        <f t="shared" si="86"/>
        <v>0</v>
      </c>
      <c r="V163" s="29">
        <f t="shared" si="87"/>
        <v>0</v>
      </c>
      <c r="W163" s="29">
        <f t="shared" si="88"/>
        <v>0</v>
      </c>
      <c r="X163" s="29">
        <f t="shared" si="89"/>
        <v>353.40000000000003</v>
      </c>
      <c r="Y163" s="29">
        <f t="shared" si="90"/>
        <v>0</v>
      </c>
      <c r="Z163" s="29">
        <f t="shared" si="91"/>
        <v>0</v>
      </c>
    </row>
    <row r="164" spans="1:27" x14ac:dyDescent="0.3">
      <c r="A164" s="5" t="s">
        <v>1761</v>
      </c>
      <c r="B164" s="5" t="s">
        <v>1762</v>
      </c>
      <c r="C164" s="5">
        <v>576</v>
      </c>
      <c r="D164" s="6">
        <v>75056</v>
      </c>
      <c r="E164" s="17" t="str">
        <f>VLOOKUP(A164,'forecast data dump'!$A$1:$H$3450,4,FALSE)</f>
        <v>08-Mar-21 A</v>
      </c>
      <c r="F164" s="17">
        <f>VLOOKUP(A164,'forecast data dump'!$A$1:$H$3450,5,FALSE)</f>
        <v>44459</v>
      </c>
      <c r="G164" s="42">
        <v>0.6</v>
      </c>
      <c r="H164" s="5" t="s">
        <v>3758</v>
      </c>
      <c r="I164" s="39">
        <f t="shared" si="104"/>
        <v>230.4</v>
      </c>
      <c r="J164" s="5"/>
      <c r="K164" s="5"/>
      <c r="L164" s="33">
        <f t="shared" si="105"/>
        <v>30022.400000000001</v>
      </c>
      <c r="M164" s="33">
        <f t="shared" si="106"/>
        <v>30022.400000000001</v>
      </c>
      <c r="N164" s="33">
        <f t="shared" si="107"/>
        <v>0</v>
      </c>
      <c r="R164">
        <v>1</v>
      </c>
      <c r="U164" s="29">
        <f t="shared" si="86"/>
        <v>0</v>
      </c>
      <c r="V164" s="29">
        <f t="shared" si="87"/>
        <v>0</v>
      </c>
      <c r="W164" s="29">
        <f t="shared" si="88"/>
        <v>0</v>
      </c>
      <c r="X164" s="29">
        <f t="shared" si="89"/>
        <v>30022.400000000001</v>
      </c>
      <c r="Y164" s="29">
        <f t="shared" si="90"/>
        <v>0</v>
      </c>
      <c r="Z164" s="29">
        <f t="shared" si="91"/>
        <v>0</v>
      </c>
    </row>
    <row r="165" spans="1:27" x14ac:dyDescent="0.3">
      <c r="A165" s="5" t="s">
        <v>1761</v>
      </c>
      <c r="B165" s="5" t="s">
        <v>1762</v>
      </c>
      <c r="C165" s="5">
        <v>72</v>
      </c>
      <c r="D165" s="6">
        <v>10921</v>
      </c>
      <c r="E165" s="17" t="str">
        <f>VLOOKUP(A165,'forecast data dump'!$A$1:$H$3450,4,FALSE)</f>
        <v>08-Mar-21 A</v>
      </c>
      <c r="F165" s="17">
        <f>VLOOKUP(A165,'forecast data dump'!$A$1:$H$3450,5,FALSE)</f>
        <v>44459</v>
      </c>
      <c r="G165" s="42">
        <v>0.6</v>
      </c>
      <c r="H165" s="5" t="s">
        <v>3763</v>
      </c>
      <c r="I165" s="39">
        <f t="shared" si="104"/>
        <v>28.8</v>
      </c>
      <c r="J165" s="5"/>
      <c r="K165" s="5"/>
      <c r="L165" s="33">
        <f t="shared" si="105"/>
        <v>4368.4000000000005</v>
      </c>
      <c r="M165" s="33">
        <f t="shared" si="106"/>
        <v>4368.4000000000005</v>
      </c>
      <c r="N165" s="33">
        <f t="shared" si="107"/>
        <v>0</v>
      </c>
      <c r="R165">
        <v>1</v>
      </c>
      <c r="U165" s="29">
        <f t="shared" si="86"/>
        <v>0</v>
      </c>
      <c r="V165" s="29">
        <f t="shared" si="87"/>
        <v>0</v>
      </c>
      <c r="W165" s="29">
        <f t="shared" si="88"/>
        <v>0</v>
      </c>
      <c r="X165" s="29">
        <f t="shared" si="89"/>
        <v>4368.4000000000005</v>
      </c>
      <c r="Y165" s="29">
        <f t="shared" si="90"/>
        <v>0</v>
      </c>
      <c r="Z165" s="29">
        <f t="shared" si="91"/>
        <v>0</v>
      </c>
    </row>
    <row r="166" spans="1:27" x14ac:dyDescent="0.3">
      <c r="A166" s="5" t="s">
        <v>1763</v>
      </c>
      <c r="B166" s="5" t="s">
        <v>1764</v>
      </c>
      <c r="C166" s="5">
        <v>576</v>
      </c>
      <c r="D166" s="6">
        <v>77132</v>
      </c>
      <c r="E166" s="17" t="str">
        <f>VLOOKUP(A166,'forecast data dump'!$A$1:$H$3450,4,FALSE)</f>
        <v>13-Jul-20 A</v>
      </c>
      <c r="F166" s="17">
        <f>VLOOKUP(A166,'forecast data dump'!$A$1:$H$3450,5,FALSE)</f>
        <v>44435</v>
      </c>
      <c r="G166" s="42">
        <f>VLOOKUP(A166,'forecast data dump'!$A$1:$H$3450,8,FALSE)</f>
        <v>0.92</v>
      </c>
      <c r="H166" s="5" t="s">
        <v>3758</v>
      </c>
      <c r="I166" s="39">
        <f t="shared" si="104"/>
        <v>46.079999999999977</v>
      </c>
      <c r="J166" s="5"/>
      <c r="K166" s="5"/>
      <c r="L166" s="33">
        <f t="shared" si="105"/>
        <v>6170.5599999999968</v>
      </c>
      <c r="M166" s="33">
        <f t="shared" si="106"/>
        <v>6170.5599999999968</v>
      </c>
      <c r="N166" s="33">
        <f t="shared" si="107"/>
        <v>0</v>
      </c>
      <c r="R166">
        <v>1</v>
      </c>
      <c r="U166" s="29">
        <f t="shared" si="86"/>
        <v>0</v>
      </c>
      <c r="V166" s="29">
        <f t="shared" si="87"/>
        <v>0</v>
      </c>
      <c r="W166" s="29">
        <f t="shared" si="88"/>
        <v>0</v>
      </c>
      <c r="X166" s="29">
        <f t="shared" si="89"/>
        <v>6170.5599999999968</v>
      </c>
      <c r="Y166" s="29">
        <f t="shared" si="90"/>
        <v>0</v>
      </c>
      <c r="Z166" s="29">
        <f t="shared" si="91"/>
        <v>0</v>
      </c>
    </row>
    <row r="167" spans="1:27" x14ac:dyDescent="0.3">
      <c r="A167" s="5" t="s">
        <v>1763</v>
      </c>
      <c r="B167" s="5" t="s">
        <v>1764</v>
      </c>
      <c r="C167" s="5">
        <v>72</v>
      </c>
      <c r="D167" s="6">
        <v>11223</v>
      </c>
      <c r="E167" s="17" t="str">
        <f>VLOOKUP(A167,'forecast data dump'!$A$1:$H$3450,4,FALSE)</f>
        <v>13-Jul-20 A</v>
      </c>
      <c r="F167" s="17">
        <f>VLOOKUP(A167,'forecast data dump'!$A$1:$H$3450,5,FALSE)</f>
        <v>44435</v>
      </c>
      <c r="G167" s="42">
        <f>VLOOKUP(A167,'forecast data dump'!$A$1:$H$3450,8,FALSE)</f>
        <v>0.92</v>
      </c>
      <c r="H167" s="5" t="s">
        <v>3763</v>
      </c>
      <c r="I167" s="39">
        <f t="shared" si="104"/>
        <v>5.7599999999999971</v>
      </c>
      <c r="J167" s="5"/>
      <c r="K167" s="5"/>
      <c r="L167" s="33">
        <f t="shared" si="105"/>
        <v>897.83999999999958</v>
      </c>
      <c r="M167" s="33">
        <f t="shared" si="106"/>
        <v>897.83999999999958</v>
      </c>
      <c r="N167" s="33">
        <f t="shared" si="107"/>
        <v>0</v>
      </c>
      <c r="R167">
        <v>1</v>
      </c>
      <c r="U167" s="29">
        <f t="shared" si="86"/>
        <v>0</v>
      </c>
      <c r="V167" s="29">
        <f t="shared" si="87"/>
        <v>0</v>
      </c>
      <c r="W167" s="29">
        <f t="shared" si="88"/>
        <v>0</v>
      </c>
      <c r="X167" s="29">
        <f t="shared" si="89"/>
        <v>897.83999999999958</v>
      </c>
      <c r="Y167" s="29">
        <f t="shared" si="90"/>
        <v>0</v>
      </c>
      <c r="Z167" s="29">
        <f t="shared" si="91"/>
        <v>0</v>
      </c>
    </row>
    <row r="168" spans="1:27" x14ac:dyDescent="0.3">
      <c r="A168" s="5" t="s">
        <v>1765</v>
      </c>
      <c r="B168" s="5" t="s">
        <v>1766</v>
      </c>
      <c r="C168" s="5">
        <v>120</v>
      </c>
      <c r="D168" s="6">
        <v>16106</v>
      </c>
      <c r="E168" s="17">
        <f>VLOOKUP(A168,'forecast data dump'!$A$1:$H$3450,4,FALSE)</f>
        <v>44665</v>
      </c>
      <c r="F168" s="17">
        <f>VLOOKUP(A168,'forecast data dump'!$A$1:$H$3450,5,FALSE)</f>
        <v>44678</v>
      </c>
      <c r="G168" s="42">
        <f>VLOOKUP(A168,'forecast data dump'!$A$1:$H$3450,8,FALSE)</f>
        <v>0</v>
      </c>
      <c r="H168" s="5" t="s">
        <v>3758</v>
      </c>
      <c r="I168" s="39">
        <f t="shared" si="104"/>
        <v>120</v>
      </c>
      <c r="J168" s="5"/>
      <c r="K168" s="5"/>
      <c r="L168" s="33">
        <f t="shared" si="105"/>
        <v>16106</v>
      </c>
      <c r="M168" s="33">
        <f t="shared" si="106"/>
        <v>16106</v>
      </c>
      <c r="N168" s="33">
        <f t="shared" si="107"/>
        <v>0</v>
      </c>
      <c r="T168">
        <v>1</v>
      </c>
      <c r="U168" s="29">
        <f t="shared" si="86"/>
        <v>0</v>
      </c>
      <c r="V168" s="29">
        <f t="shared" si="87"/>
        <v>0</v>
      </c>
      <c r="W168" s="29">
        <f t="shared" si="88"/>
        <v>0</v>
      </c>
      <c r="X168" s="29">
        <f t="shared" si="89"/>
        <v>0</v>
      </c>
      <c r="Y168" s="29">
        <f t="shared" si="90"/>
        <v>0</v>
      </c>
      <c r="Z168" s="29">
        <f t="shared" si="91"/>
        <v>16106</v>
      </c>
    </row>
    <row r="169" spans="1:27" x14ac:dyDescent="0.3">
      <c r="A169" s="5" t="s">
        <v>1765</v>
      </c>
      <c r="B169" s="5" t="s">
        <v>1766</v>
      </c>
      <c r="C169" s="5">
        <v>120</v>
      </c>
      <c r="D169" s="6">
        <v>14529</v>
      </c>
      <c r="E169" s="17">
        <f>VLOOKUP(A169,'forecast data dump'!$A$1:$H$3450,4,FALSE)</f>
        <v>44665</v>
      </c>
      <c r="F169" s="17">
        <f>VLOOKUP(A169,'forecast data dump'!$A$1:$H$3450,5,FALSE)</f>
        <v>44678</v>
      </c>
      <c r="G169" s="42">
        <f>VLOOKUP(A169,'forecast data dump'!$A$1:$H$3450,8,FALSE)</f>
        <v>0</v>
      </c>
      <c r="H169" s="5" t="s">
        <v>3759</v>
      </c>
      <c r="I169" s="39">
        <f t="shared" si="104"/>
        <v>120</v>
      </c>
      <c r="J169" s="5"/>
      <c r="K169" s="5"/>
      <c r="L169" s="33">
        <f t="shared" si="105"/>
        <v>14529</v>
      </c>
      <c r="M169" s="33">
        <f t="shared" si="106"/>
        <v>14529</v>
      </c>
      <c r="N169" s="33">
        <f t="shared" si="107"/>
        <v>0</v>
      </c>
      <c r="T169">
        <v>1</v>
      </c>
      <c r="U169" s="29">
        <f t="shared" si="86"/>
        <v>0</v>
      </c>
      <c r="V169" s="29">
        <f t="shared" si="87"/>
        <v>0</v>
      </c>
      <c r="W169" s="29">
        <f t="shared" si="88"/>
        <v>0</v>
      </c>
      <c r="X169" s="29">
        <f t="shared" si="89"/>
        <v>0</v>
      </c>
      <c r="Y169" s="29">
        <f t="shared" si="90"/>
        <v>0</v>
      </c>
      <c r="Z169" s="29">
        <f t="shared" si="91"/>
        <v>14529</v>
      </c>
    </row>
    <row r="170" spans="1:27" x14ac:dyDescent="0.3">
      <c r="A170" s="5" t="s">
        <v>1765</v>
      </c>
      <c r="B170" s="5" t="s">
        <v>1766</v>
      </c>
      <c r="C170" s="5">
        <v>24</v>
      </c>
      <c r="D170" s="6">
        <v>3750</v>
      </c>
      <c r="E170" s="17">
        <f>VLOOKUP(A170,'forecast data dump'!$A$1:$H$3450,4,FALSE)</f>
        <v>44665</v>
      </c>
      <c r="F170" s="17">
        <f>VLOOKUP(A170,'forecast data dump'!$A$1:$H$3450,5,FALSE)</f>
        <v>44678</v>
      </c>
      <c r="G170" s="42">
        <f>VLOOKUP(A170,'forecast data dump'!$A$1:$H$3450,8,FALSE)</f>
        <v>0</v>
      </c>
      <c r="H170" s="5" t="s">
        <v>3763</v>
      </c>
      <c r="I170" s="39">
        <f t="shared" si="104"/>
        <v>24</v>
      </c>
      <c r="J170" s="5"/>
      <c r="K170" s="5"/>
      <c r="L170" s="33">
        <f t="shared" si="105"/>
        <v>3750</v>
      </c>
      <c r="M170" s="33">
        <f t="shared" si="106"/>
        <v>3750</v>
      </c>
      <c r="N170" s="33">
        <f t="shared" si="107"/>
        <v>0</v>
      </c>
      <c r="T170">
        <v>1</v>
      </c>
      <c r="U170" s="29">
        <f t="shared" si="86"/>
        <v>0</v>
      </c>
      <c r="V170" s="29">
        <f t="shared" si="87"/>
        <v>0</v>
      </c>
      <c r="W170" s="29">
        <f t="shared" si="88"/>
        <v>0</v>
      </c>
      <c r="X170" s="29">
        <f t="shared" si="89"/>
        <v>0</v>
      </c>
      <c r="Y170" s="29">
        <f t="shared" si="90"/>
        <v>0</v>
      </c>
      <c r="Z170" s="29">
        <f t="shared" si="91"/>
        <v>3750</v>
      </c>
    </row>
    <row r="171" spans="1:27" x14ac:dyDescent="0.3">
      <c r="A171" s="3" t="s">
        <v>7867</v>
      </c>
      <c r="B171" s="3"/>
      <c r="C171" s="3"/>
      <c r="D171" s="4"/>
      <c r="E171" s="15"/>
      <c r="F171" s="15"/>
      <c r="G171" s="41"/>
      <c r="H171" s="3"/>
      <c r="I171" s="38"/>
      <c r="J171" s="3"/>
      <c r="K171" s="3"/>
      <c r="L171" s="32"/>
      <c r="M171" s="32"/>
      <c r="N171" s="32"/>
      <c r="U171" s="29"/>
      <c r="V171" s="29"/>
      <c r="W171" s="29"/>
      <c r="X171" s="29"/>
      <c r="Y171" s="29"/>
      <c r="Z171" s="29"/>
      <c r="AA171" s="109">
        <f>SUM(U172:U196)</f>
        <v>0</v>
      </c>
    </row>
    <row r="172" spans="1:27" x14ac:dyDescent="0.3">
      <c r="A172" s="5" t="s">
        <v>2022</v>
      </c>
      <c r="B172" s="5" t="s">
        <v>2023</v>
      </c>
      <c r="C172" s="5">
        <v>5</v>
      </c>
      <c r="D172" s="6">
        <v>736</v>
      </c>
      <c r="E172" s="17" t="str">
        <f>VLOOKUP(A172,'forecast data dump'!$A$1:$H$3450,4,FALSE)</f>
        <v>01-Jul-21*</v>
      </c>
      <c r="F172" s="17">
        <f>VLOOKUP(A172,'forecast data dump'!$A$1:$H$3450,5,FALSE)</f>
        <v>44405</v>
      </c>
      <c r="G172" s="42">
        <f>VLOOKUP(A172,'forecast data dump'!$A$1:$H$3450,8,FALSE)</f>
        <v>0</v>
      </c>
      <c r="H172" s="5" t="s">
        <v>3763</v>
      </c>
      <c r="I172" s="39">
        <f t="shared" ref="I172" si="108">C172*(1-G172)</f>
        <v>5</v>
      </c>
      <c r="J172" s="5"/>
      <c r="K172" s="5"/>
      <c r="L172" s="33">
        <f t="shared" ref="L172" si="109">D172*(1-G172)</f>
        <v>736</v>
      </c>
      <c r="M172" s="33">
        <f t="shared" ref="M172" si="110">IF(J172="",L172,(D172/C172)*J172)</f>
        <v>736</v>
      </c>
      <c r="N172" s="33">
        <f t="shared" ref="N172" si="111">L172-M172</f>
        <v>0</v>
      </c>
      <c r="R172">
        <v>1</v>
      </c>
      <c r="U172" s="29">
        <f t="shared" si="86"/>
        <v>0</v>
      </c>
      <c r="V172" s="29">
        <f t="shared" si="87"/>
        <v>0</v>
      </c>
      <c r="W172" s="29">
        <f t="shared" si="88"/>
        <v>0</v>
      </c>
      <c r="X172" s="29">
        <f t="shared" si="89"/>
        <v>736</v>
      </c>
      <c r="Y172" s="29">
        <f t="shared" si="90"/>
        <v>0</v>
      </c>
      <c r="Z172" s="29">
        <f t="shared" si="91"/>
        <v>0</v>
      </c>
      <c r="AA172" s="103" t="s">
        <v>8356</v>
      </c>
    </row>
    <row r="173" spans="1:27" x14ac:dyDescent="0.3">
      <c r="A173" s="3" t="s">
        <v>7868</v>
      </c>
      <c r="B173" s="3"/>
      <c r="C173" s="3"/>
      <c r="D173" s="4"/>
      <c r="E173" s="15"/>
      <c r="F173" s="15"/>
      <c r="G173" s="41"/>
      <c r="H173" s="3"/>
      <c r="I173" s="38"/>
      <c r="J173" s="3"/>
      <c r="K173" s="3"/>
      <c r="L173" s="32"/>
      <c r="M173" s="32"/>
      <c r="N173" s="32"/>
      <c r="U173" s="29"/>
      <c r="V173" s="29"/>
      <c r="W173" s="29"/>
      <c r="X173" s="29"/>
      <c r="Y173" s="29"/>
      <c r="Z173" s="29"/>
      <c r="AA173" s="103" t="s">
        <v>8354</v>
      </c>
    </row>
    <row r="174" spans="1:27" x14ac:dyDescent="0.3">
      <c r="A174" s="5" t="s">
        <v>2046</v>
      </c>
      <c r="B174" s="5" t="s">
        <v>2047</v>
      </c>
      <c r="C174" s="5">
        <v>60</v>
      </c>
      <c r="D174" s="6">
        <v>8836</v>
      </c>
      <c r="E174" s="17" t="str">
        <f>VLOOKUP(A174,'forecast data dump'!$A$1:$H$3450,4,FALSE)</f>
        <v>16-Sep-20 A</v>
      </c>
      <c r="F174" s="17">
        <f>VLOOKUP(A174,'forecast data dump'!$A$1:$H$3450,5,FALSE)</f>
        <v>44447</v>
      </c>
      <c r="G174" s="42">
        <f>VLOOKUP(A174,'forecast data dump'!$A$1:$H$3450,8,FALSE)</f>
        <v>0.3</v>
      </c>
      <c r="H174" s="5" t="s">
        <v>3763</v>
      </c>
      <c r="I174" s="39">
        <f t="shared" ref="I174:I183" si="112">C174*(1-G174)</f>
        <v>42</v>
      </c>
      <c r="J174" s="5"/>
      <c r="K174" s="5"/>
      <c r="L174" s="33">
        <f t="shared" ref="L174:L183" si="113">D174*(1-G174)</f>
        <v>6185.2</v>
      </c>
      <c r="M174" s="33">
        <f t="shared" ref="M174:M183" si="114">IF(J174="",L174,(D174/C174)*J174)</f>
        <v>6185.2</v>
      </c>
      <c r="N174" s="33">
        <f t="shared" ref="N174:N183" si="115">L174-M174</f>
        <v>0</v>
      </c>
      <c r="R174">
        <v>1</v>
      </c>
      <c r="U174" s="29">
        <f t="shared" si="86"/>
        <v>0</v>
      </c>
      <c r="V174" s="29">
        <f t="shared" si="87"/>
        <v>0</v>
      </c>
      <c r="W174" s="29">
        <f t="shared" si="88"/>
        <v>0</v>
      </c>
      <c r="X174" s="29">
        <f t="shared" si="89"/>
        <v>6185.2</v>
      </c>
      <c r="Y174" s="29">
        <f t="shared" si="90"/>
        <v>0</v>
      </c>
      <c r="Z174" s="29">
        <f t="shared" si="91"/>
        <v>0</v>
      </c>
    </row>
    <row r="175" spans="1:27" x14ac:dyDescent="0.3">
      <c r="A175" s="5" t="s">
        <v>2046</v>
      </c>
      <c r="B175" s="5" t="s">
        <v>2047</v>
      </c>
      <c r="C175" s="5">
        <v>240</v>
      </c>
      <c r="D175" s="6">
        <v>30017</v>
      </c>
      <c r="E175" s="17" t="str">
        <f>VLOOKUP(A175,'forecast data dump'!$A$1:$H$3450,4,FALSE)</f>
        <v>16-Sep-20 A</v>
      </c>
      <c r="F175" s="17">
        <f>VLOOKUP(A175,'forecast data dump'!$A$1:$H$3450,5,FALSE)</f>
        <v>44447</v>
      </c>
      <c r="G175" s="42">
        <f>VLOOKUP(A175,'forecast data dump'!$A$1:$H$3450,8,FALSE)</f>
        <v>0.3</v>
      </c>
      <c r="H175" s="5" t="s">
        <v>3752</v>
      </c>
      <c r="I175" s="39">
        <f t="shared" si="112"/>
        <v>168</v>
      </c>
      <c r="J175" s="5"/>
      <c r="K175" s="5"/>
      <c r="L175" s="33">
        <f t="shared" si="113"/>
        <v>21011.899999999998</v>
      </c>
      <c r="M175" s="33">
        <f t="shared" si="114"/>
        <v>21011.899999999998</v>
      </c>
      <c r="N175" s="33">
        <f t="shared" si="115"/>
        <v>0</v>
      </c>
      <c r="R175">
        <v>1</v>
      </c>
      <c r="U175" s="29">
        <f t="shared" si="86"/>
        <v>0</v>
      </c>
      <c r="V175" s="29">
        <f t="shared" si="87"/>
        <v>0</v>
      </c>
      <c r="W175" s="29">
        <f t="shared" si="88"/>
        <v>0</v>
      </c>
      <c r="X175" s="29">
        <f t="shared" si="89"/>
        <v>21011.899999999998</v>
      </c>
      <c r="Y175" s="29">
        <f t="shared" si="90"/>
        <v>0</v>
      </c>
      <c r="Z175" s="29">
        <f t="shared" si="91"/>
        <v>0</v>
      </c>
    </row>
    <row r="176" spans="1:27" x14ac:dyDescent="0.3">
      <c r="A176" s="5" t="s">
        <v>2048</v>
      </c>
      <c r="B176" s="5" t="s">
        <v>2049</v>
      </c>
      <c r="C176" s="5">
        <v>60</v>
      </c>
      <c r="D176" s="6">
        <v>8836</v>
      </c>
      <c r="E176" s="17">
        <f>VLOOKUP(A176,'forecast data dump'!$A$1:$H$3450,4,FALSE)</f>
        <v>44448</v>
      </c>
      <c r="F176" s="17">
        <f>VLOOKUP(A176,'forecast data dump'!$A$1:$H$3450,5,FALSE)</f>
        <v>44468</v>
      </c>
      <c r="G176" s="42">
        <f>VLOOKUP(A176,'forecast data dump'!$A$1:$H$3450,8,FALSE)</f>
        <v>0</v>
      </c>
      <c r="H176" s="5" t="s">
        <v>3763</v>
      </c>
      <c r="I176" s="39">
        <f t="shared" si="112"/>
        <v>60</v>
      </c>
      <c r="J176" s="5"/>
      <c r="K176" s="5"/>
      <c r="L176" s="33">
        <f t="shared" si="113"/>
        <v>8836</v>
      </c>
      <c r="M176" s="33">
        <f t="shared" si="114"/>
        <v>8836</v>
      </c>
      <c r="N176" s="33">
        <f t="shared" si="115"/>
        <v>0</v>
      </c>
      <c r="T176">
        <v>1</v>
      </c>
      <c r="U176" s="29">
        <f t="shared" si="86"/>
        <v>0</v>
      </c>
      <c r="V176" s="29">
        <f t="shared" si="87"/>
        <v>0</v>
      </c>
      <c r="W176" s="29">
        <f t="shared" si="88"/>
        <v>0</v>
      </c>
      <c r="X176" s="29">
        <f t="shared" si="89"/>
        <v>0</v>
      </c>
      <c r="Y176" s="29">
        <f t="shared" si="90"/>
        <v>0</v>
      </c>
      <c r="Z176" s="29">
        <f t="shared" si="91"/>
        <v>8836</v>
      </c>
    </row>
    <row r="177" spans="1:26" x14ac:dyDescent="0.3">
      <c r="A177" s="5" t="s">
        <v>2048</v>
      </c>
      <c r="B177" s="5" t="s">
        <v>2049</v>
      </c>
      <c r="C177" s="5">
        <v>240</v>
      </c>
      <c r="D177" s="6">
        <v>27389</v>
      </c>
      <c r="E177" s="17">
        <f>VLOOKUP(A177,'forecast data dump'!$A$1:$H$3450,4,FALSE)</f>
        <v>44448</v>
      </c>
      <c r="F177" s="17">
        <f>VLOOKUP(A177,'forecast data dump'!$A$1:$H$3450,5,FALSE)</f>
        <v>44468</v>
      </c>
      <c r="G177" s="42">
        <f>VLOOKUP(A177,'forecast data dump'!$A$1:$H$3450,8,FALSE)</f>
        <v>0</v>
      </c>
      <c r="H177" s="5" t="s">
        <v>3759</v>
      </c>
      <c r="I177" s="39">
        <f t="shared" si="112"/>
        <v>240</v>
      </c>
      <c r="J177" s="5"/>
      <c r="K177" s="5"/>
      <c r="L177" s="33">
        <f t="shared" si="113"/>
        <v>27389</v>
      </c>
      <c r="M177" s="33">
        <f t="shared" si="114"/>
        <v>27389</v>
      </c>
      <c r="N177" s="33">
        <f t="shared" si="115"/>
        <v>0</v>
      </c>
      <c r="T177">
        <v>1</v>
      </c>
      <c r="U177" s="29">
        <f t="shared" si="86"/>
        <v>0</v>
      </c>
      <c r="V177" s="29">
        <f t="shared" si="87"/>
        <v>0</v>
      </c>
      <c r="W177" s="29">
        <f t="shared" si="88"/>
        <v>0</v>
      </c>
      <c r="X177" s="29">
        <f t="shared" si="89"/>
        <v>0</v>
      </c>
      <c r="Y177" s="29">
        <f t="shared" si="90"/>
        <v>0</v>
      </c>
      <c r="Z177" s="29">
        <f t="shared" si="91"/>
        <v>27389</v>
      </c>
    </row>
    <row r="178" spans="1:26" x14ac:dyDescent="0.3">
      <c r="A178" s="5" t="s">
        <v>2048</v>
      </c>
      <c r="B178" s="5" t="s">
        <v>2049</v>
      </c>
      <c r="C178" s="5">
        <v>300</v>
      </c>
      <c r="D178" s="6">
        <v>37521</v>
      </c>
      <c r="E178" s="17">
        <f>VLOOKUP(A178,'forecast data dump'!$A$1:$H$3450,4,FALSE)</f>
        <v>44448</v>
      </c>
      <c r="F178" s="17">
        <f>VLOOKUP(A178,'forecast data dump'!$A$1:$H$3450,5,FALSE)</f>
        <v>44468</v>
      </c>
      <c r="G178" s="42">
        <f>VLOOKUP(A178,'forecast data dump'!$A$1:$H$3450,8,FALSE)</f>
        <v>0</v>
      </c>
      <c r="H178" s="5" t="s">
        <v>3752</v>
      </c>
      <c r="I178" s="39">
        <f t="shared" si="112"/>
        <v>300</v>
      </c>
      <c r="J178" s="5"/>
      <c r="K178" s="5"/>
      <c r="L178" s="33">
        <f t="shared" si="113"/>
        <v>37521</v>
      </c>
      <c r="M178" s="33">
        <f t="shared" si="114"/>
        <v>37521</v>
      </c>
      <c r="N178" s="33">
        <f t="shared" si="115"/>
        <v>0</v>
      </c>
      <c r="T178">
        <v>1</v>
      </c>
      <c r="U178" s="29">
        <f t="shared" si="86"/>
        <v>0</v>
      </c>
      <c r="V178" s="29">
        <f t="shared" si="87"/>
        <v>0</v>
      </c>
      <c r="W178" s="29">
        <f t="shared" si="88"/>
        <v>0</v>
      </c>
      <c r="X178" s="29">
        <f t="shared" si="89"/>
        <v>0</v>
      </c>
      <c r="Y178" s="29">
        <f t="shared" si="90"/>
        <v>0</v>
      </c>
      <c r="Z178" s="29">
        <f t="shared" si="91"/>
        <v>37521</v>
      </c>
    </row>
    <row r="179" spans="1:26" x14ac:dyDescent="0.3">
      <c r="A179" s="5" t="s">
        <v>2050</v>
      </c>
      <c r="B179" s="5" t="s">
        <v>2051</v>
      </c>
      <c r="C179" s="5">
        <v>240</v>
      </c>
      <c r="D179" s="6">
        <v>30017</v>
      </c>
      <c r="E179" s="17">
        <f>VLOOKUP(A179,'forecast data dump'!$A$1:$H$3450,4,FALSE)</f>
        <v>44448</v>
      </c>
      <c r="F179" s="17">
        <f>VLOOKUP(A179,'forecast data dump'!$A$1:$H$3450,5,FALSE)</f>
        <v>44468</v>
      </c>
      <c r="G179" s="42">
        <f>VLOOKUP(A179,'forecast data dump'!$A$1:$H$3450,8,FALSE)</f>
        <v>0</v>
      </c>
      <c r="H179" s="5" t="s">
        <v>3752</v>
      </c>
      <c r="I179" s="39">
        <f t="shared" si="112"/>
        <v>240</v>
      </c>
      <c r="J179" s="5"/>
      <c r="K179" s="5"/>
      <c r="L179" s="33">
        <f t="shared" si="113"/>
        <v>30017</v>
      </c>
      <c r="M179" s="33">
        <f t="shared" si="114"/>
        <v>30017</v>
      </c>
      <c r="N179" s="33">
        <f t="shared" si="115"/>
        <v>0</v>
      </c>
      <c r="T179">
        <v>1</v>
      </c>
      <c r="U179" s="29">
        <f t="shared" si="86"/>
        <v>0</v>
      </c>
      <c r="V179" s="29">
        <f t="shared" si="87"/>
        <v>0</v>
      </c>
      <c r="W179" s="29">
        <f t="shared" si="88"/>
        <v>0</v>
      </c>
      <c r="X179" s="29">
        <f t="shared" si="89"/>
        <v>0</v>
      </c>
      <c r="Y179" s="29">
        <f t="shared" si="90"/>
        <v>0</v>
      </c>
      <c r="Z179" s="29">
        <f t="shared" si="91"/>
        <v>30017</v>
      </c>
    </row>
    <row r="180" spans="1:26" x14ac:dyDescent="0.3">
      <c r="A180" s="5" t="s">
        <v>2050</v>
      </c>
      <c r="B180" s="5" t="s">
        <v>2051</v>
      </c>
      <c r="C180" s="5">
        <v>60</v>
      </c>
      <c r="D180" s="6">
        <v>8836</v>
      </c>
      <c r="E180" s="17">
        <f>VLOOKUP(A180,'forecast data dump'!$A$1:$H$3450,4,FALSE)</f>
        <v>44448</v>
      </c>
      <c r="F180" s="17">
        <f>VLOOKUP(A180,'forecast data dump'!$A$1:$H$3450,5,FALSE)</f>
        <v>44468</v>
      </c>
      <c r="G180" s="42">
        <f>VLOOKUP(A180,'forecast data dump'!$A$1:$H$3450,8,FALSE)</f>
        <v>0</v>
      </c>
      <c r="H180" s="5" t="s">
        <v>3763</v>
      </c>
      <c r="I180" s="39">
        <f t="shared" si="112"/>
        <v>60</v>
      </c>
      <c r="J180" s="5"/>
      <c r="K180" s="5"/>
      <c r="L180" s="33">
        <f t="shared" si="113"/>
        <v>8836</v>
      </c>
      <c r="M180" s="33">
        <f t="shared" si="114"/>
        <v>8836</v>
      </c>
      <c r="N180" s="33">
        <f t="shared" si="115"/>
        <v>0</v>
      </c>
      <c r="T180">
        <v>1</v>
      </c>
      <c r="U180" s="29">
        <f t="shared" si="86"/>
        <v>0</v>
      </c>
      <c r="V180" s="29">
        <f t="shared" si="87"/>
        <v>0</v>
      </c>
      <c r="W180" s="29">
        <f t="shared" si="88"/>
        <v>0</v>
      </c>
      <c r="X180" s="29">
        <f t="shared" si="89"/>
        <v>0</v>
      </c>
      <c r="Y180" s="29">
        <f t="shared" si="90"/>
        <v>0</v>
      </c>
      <c r="Z180" s="29">
        <f t="shared" si="91"/>
        <v>8836</v>
      </c>
    </row>
    <row r="181" spans="1:26" x14ac:dyDescent="0.3">
      <c r="A181" s="5" t="s">
        <v>2052</v>
      </c>
      <c r="B181" s="5" t="s">
        <v>2053</v>
      </c>
      <c r="C181" s="5">
        <v>40</v>
      </c>
      <c r="D181" s="6">
        <v>6249</v>
      </c>
      <c r="E181" s="17">
        <f>VLOOKUP(A181,'forecast data dump'!$A$1:$H$3450,4,FALSE)</f>
        <v>44565</v>
      </c>
      <c r="F181" s="17">
        <f>VLOOKUP(A181,'forecast data dump'!$A$1:$H$3450,5,FALSE)</f>
        <v>44579</v>
      </c>
      <c r="G181" s="42">
        <f>VLOOKUP(A181,'forecast data dump'!$A$1:$H$3450,8,FALSE)</f>
        <v>0</v>
      </c>
      <c r="H181" s="5" t="s">
        <v>3763</v>
      </c>
      <c r="I181" s="39">
        <f t="shared" si="112"/>
        <v>40</v>
      </c>
      <c r="J181" s="5"/>
      <c r="K181" s="5"/>
      <c r="L181" s="33">
        <f t="shared" si="113"/>
        <v>6249</v>
      </c>
      <c r="M181" s="33">
        <f t="shared" si="114"/>
        <v>6249</v>
      </c>
      <c r="N181" s="33">
        <f t="shared" si="115"/>
        <v>0</v>
      </c>
      <c r="T181">
        <v>1</v>
      </c>
      <c r="U181" s="29">
        <f t="shared" si="86"/>
        <v>0</v>
      </c>
      <c r="V181" s="29">
        <f t="shared" si="87"/>
        <v>0</v>
      </c>
      <c r="W181" s="29">
        <f t="shared" si="88"/>
        <v>0</v>
      </c>
      <c r="X181" s="29">
        <f t="shared" si="89"/>
        <v>0</v>
      </c>
      <c r="Y181" s="29">
        <f t="shared" si="90"/>
        <v>0</v>
      </c>
      <c r="Z181" s="29">
        <f t="shared" si="91"/>
        <v>6249</v>
      </c>
    </row>
    <row r="182" spans="1:26" x14ac:dyDescent="0.3">
      <c r="A182" s="5" t="s">
        <v>2052</v>
      </c>
      <c r="B182" s="5" t="s">
        <v>2053</v>
      </c>
      <c r="C182" s="5">
        <v>160</v>
      </c>
      <c r="D182" s="6">
        <v>19372</v>
      </c>
      <c r="E182" s="17">
        <f>VLOOKUP(A182,'forecast data dump'!$A$1:$H$3450,4,FALSE)</f>
        <v>44565</v>
      </c>
      <c r="F182" s="17">
        <f>VLOOKUP(A182,'forecast data dump'!$A$1:$H$3450,5,FALSE)</f>
        <v>44579</v>
      </c>
      <c r="G182" s="42">
        <f>VLOOKUP(A182,'forecast data dump'!$A$1:$H$3450,8,FALSE)</f>
        <v>0</v>
      </c>
      <c r="H182" s="5" t="s">
        <v>3759</v>
      </c>
      <c r="I182" s="39">
        <f t="shared" si="112"/>
        <v>160</v>
      </c>
      <c r="J182" s="5"/>
      <c r="K182" s="5"/>
      <c r="L182" s="33">
        <f t="shared" si="113"/>
        <v>19372</v>
      </c>
      <c r="M182" s="33">
        <f t="shared" si="114"/>
        <v>19372</v>
      </c>
      <c r="N182" s="33">
        <f t="shared" si="115"/>
        <v>0</v>
      </c>
      <c r="T182">
        <v>1</v>
      </c>
      <c r="U182" s="29">
        <f t="shared" si="86"/>
        <v>0</v>
      </c>
      <c r="V182" s="29">
        <f t="shared" si="87"/>
        <v>0</v>
      </c>
      <c r="W182" s="29">
        <f t="shared" si="88"/>
        <v>0</v>
      </c>
      <c r="X182" s="29">
        <f t="shared" si="89"/>
        <v>0</v>
      </c>
      <c r="Y182" s="29">
        <f t="shared" si="90"/>
        <v>0</v>
      </c>
      <c r="Z182" s="29">
        <f t="shared" si="91"/>
        <v>19372</v>
      </c>
    </row>
    <row r="183" spans="1:26" x14ac:dyDescent="0.3">
      <c r="A183" s="5" t="s">
        <v>2052</v>
      </c>
      <c r="B183" s="5" t="s">
        <v>2053</v>
      </c>
      <c r="C183" s="5">
        <v>220</v>
      </c>
      <c r="D183" s="6">
        <v>29191</v>
      </c>
      <c r="E183" s="17">
        <f>VLOOKUP(A183,'forecast data dump'!$A$1:$H$3450,4,FALSE)</f>
        <v>44565</v>
      </c>
      <c r="F183" s="17">
        <f>VLOOKUP(A183,'forecast data dump'!$A$1:$H$3450,5,FALSE)</f>
        <v>44579</v>
      </c>
      <c r="G183" s="42">
        <f>VLOOKUP(A183,'forecast data dump'!$A$1:$H$3450,8,FALSE)</f>
        <v>0</v>
      </c>
      <c r="H183" s="5" t="s">
        <v>3752</v>
      </c>
      <c r="I183" s="39">
        <f t="shared" si="112"/>
        <v>220</v>
      </c>
      <c r="J183" s="5"/>
      <c r="K183" s="5"/>
      <c r="L183" s="33">
        <f t="shared" si="113"/>
        <v>29191</v>
      </c>
      <c r="M183" s="33">
        <f t="shared" si="114"/>
        <v>29191</v>
      </c>
      <c r="N183" s="33">
        <f t="shared" si="115"/>
        <v>0</v>
      </c>
      <c r="T183">
        <v>1</v>
      </c>
      <c r="U183" s="29">
        <f t="shared" si="86"/>
        <v>0</v>
      </c>
      <c r="V183" s="29">
        <f t="shared" si="87"/>
        <v>0</v>
      </c>
      <c r="W183" s="29">
        <f t="shared" si="88"/>
        <v>0</v>
      </c>
      <c r="X183" s="29">
        <f t="shared" si="89"/>
        <v>0</v>
      </c>
      <c r="Y183" s="29">
        <f t="shared" si="90"/>
        <v>0</v>
      </c>
      <c r="Z183" s="29">
        <f t="shared" si="91"/>
        <v>29191</v>
      </c>
    </row>
    <row r="184" spans="1:26" x14ac:dyDescent="0.3">
      <c r="A184" s="3" t="s">
        <v>7869</v>
      </c>
      <c r="B184" s="3"/>
      <c r="C184" s="3"/>
      <c r="D184" s="4"/>
      <c r="E184" s="15"/>
      <c r="F184" s="15"/>
      <c r="G184" s="41"/>
      <c r="H184" s="3"/>
      <c r="I184" s="38"/>
      <c r="J184" s="3"/>
      <c r="K184" s="3"/>
      <c r="L184" s="32"/>
      <c r="M184" s="32"/>
      <c r="N184" s="32"/>
      <c r="U184" s="29"/>
      <c r="V184" s="29"/>
      <c r="W184" s="29"/>
      <c r="X184" s="29"/>
      <c r="Y184" s="29"/>
      <c r="Z184" s="29"/>
    </row>
    <row r="185" spans="1:26" x14ac:dyDescent="0.3">
      <c r="A185" s="5" t="s">
        <v>2074</v>
      </c>
      <c r="B185" s="5" t="s">
        <v>2075</v>
      </c>
      <c r="C185" s="5">
        <v>7</v>
      </c>
      <c r="D185" s="6">
        <v>1031</v>
      </c>
      <c r="E185" s="17" t="str">
        <f>VLOOKUP(A185,'forecast data dump'!$A$1:$H$3450,4,FALSE)</f>
        <v>24-May-21 A</v>
      </c>
      <c r="F185" s="17">
        <f>VLOOKUP(A185,'forecast data dump'!$A$1:$H$3450,5,FALSE)</f>
        <v>44439</v>
      </c>
      <c r="G185" s="42">
        <v>0.2</v>
      </c>
      <c r="H185" s="5" t="s">
        <v>3763</v>
      </c>
      <c r="I185" s="39">
        <f t="shared" ref="I185:I190" si="116">C185*(1-G185)</f>
        <v>5.6000000000000005</v>
      </c>
      <c r="J185" s="5"/>
      <c r="K185" s="5"/>
      <c r="L185" s="33">
        <f t="shared" ref="L185:L190" si="117">D185*(1-G185)</f>
        <v>824.80000000000007</v>
      </c>
      <c r="M185" s="33">
        <f t="shared" ref="M185:M190" si="118">IF(J185="",L185,(D185/C185)*J185)</f>
        <v>824.80000000000007</v>
      </c>
      <c r="N185" s="33">
        <f t="shared" ref="N185:N190" si="119">L185-M185</f>
        <v>0</v>
      </c>
      <c r="R185">
        <v>1</v>
      </c>
      <c r="U185" s="29">
        <f t="shared" si="86"/>
        <v>0</v>
      </c>
      <c r="V185" s="29">
        <f t="shared" si="87"/>
        <v>0</v>
      </c>
      <c r="W185" s="29">
        <f t="shared" si="88"/>
        <v>0</v>
      </c>
      <c r="X185" s="29">
        <f t="shared" si="89"/>
        <v>824.80000000000007</v>
      </c>
      <c r="Y185" s="29">
        <f t="shared" si="90"/>
        <v>0</v>
      </c>
      <c r="Z185" s="29">
        <f t="shared" si="91"/>
        <v>0</v>
      </c>
    </row>
    <row r="186" spans="1:26" x14ac:dyDescent="0.3">
      <c r="A186" s="5" t="s">
        <v>2074</v>
      </c>
      <c r="B186" s="5" t="s">
        <v>2075</v>
      </c>
      <c r="C186" s="5">
        <v>32</v>
      </c>
      <c r="D186" s="6">
        <v>3652</v>
      </c>
      <c r="E186" s="17" t="str">
        <f>VLOOKUP(A186,'forecast data dump'!$A$1:$H$3450,4,FALSE)</f>
        <v>24-May-21 A</v>
      </c>
      <c r="F186" s="17">
        <f>VLOOKUP(A186,'forecast data dump'!$A$1:$H$3450,5,FALSE)</f>
        <v>44439</v>
      </c>
      <c r="G186" s="42">
        <v>0.2</v>
      </c>
      <c r="H186" s="5" t="s">
        <v>3759</v>
      </c>
      <c r="I186" s="39">
        <f t="shared" si="116"/>
        <v>25.6</v>
      </c>
      <c r="J186" s="5"/>
      <c r="K186" s="5"/>
      <c r="L186" s="33">
        <f t="shared" si="117"/>
        <v>2921.6000000000004</v>
      </c>
      <c r="M186" s="33">
        <f t="shared" si="118"/>
        <v>2921.6000000000004</v>
      </c>
      <c r="N186" s="33">
        <f t="shared" si="119"/>
        <v>0</v>
      </c>
      <c r="R186">
        <v>1</v>
      </c>
      <c r="U186" s="29">
        <f t="shared" si="86"/>
        <v>0</v>
      </c>
      <c r="V186" s="29">
        <f t="shared" si="87"/>
        <v>0</v>
      </c>
      <c r="W186" s="29">
        <f t="shared" si="88"/>
        <v>0</v>
      </c>
      <c r="X186" s="29">
        <f t="shared" si="89"/>
        <v>2921.6000000000004</v>
      </c>
      <c r="Y186" s="29">
        <f t="shared" si="90"/>
        <v>0</v>
      </c>
      <c r="Z186" s="29">
        <f t="shared" si="91"/>
        <v>0</v>
      </c>
    </row>
    <row r="187" spans="1:26" x14ac:dyDescent="0.3">
      <c r="A187" s="5" t="s">
        <v>2076</v>
      </c>
      <c r="B187" s="5" t="s">
        <v>2077</v>
      </c>
      <c r="C187" s="5">
        <v>80</v>
      </c>
      <c r="D187" s="6">
        <v>12499</v>
      </c>
      <c r="E187" s="17">
        <f>VLOOKUP(A187,'forecast data dump'!$A$1:$H$3450,4,FALSE)</f>
        <v>44657</v>
      </c>
      <c r="F187" s="17">
        <f>VLOOKUP(A187,'forecast data dump'!$A$1:$H$3450,5,FALSE)</f>
        <v>44670</v>
      </c>
      <c r="G187" s="42">
        <f>VLOOKUP(A187,'forecast data dump'!$A$1:$H$3450,8,FALSE)</f>
        <v>0</v>
      </c>
      <c r="H187" s="5" t="s">
        <v>3763</v>
      </c>
      <c r="I187" s="39">
        <f t="shared" si="116"/>
        <v>80</v>
      </c>
      <c r="J187" s="5"/>
      <c r="K187" s="5"/>
      <c r="L187" s="33">
        <f t="shared" si="117"/>
        <v>12499</v>
      </c>
      <c r="M187" s="33">
        <f t="shared" si="118"/>
        <v>12499</v>
      </c>
      <c r="N187" s="33">
        <f t="shared" si="119"/>
        <v>0</v>
      </c>
      <c r="T187">
        <v>1</v>
      </c>
      <c r="U187" s="29">
        <f t="shared" si="86"/>
        <v>0</v>
      </c>
      <c r="V187" s="29">
        <f t="shared" si="87"/>
        <v>0</v>
      </c>
      <c r="W187" s="29">
        <f t="shared" si="88"/>
        <v>0</v>
      </c>
      <c r="X187" s="29">
        <f t="shared" si="89"/>
        <v>0</v>
      </c>
      <c r="Y187" s="29">
        <f t="shared" si="90"/>
        <v>0</v>
      </c>
      <c r="Z187" s="29">
        <f t="shared" si="91"/>
        <v>12499</v>
      </c>
    </row>
    <row r="188" spans="1:26" x14ac:dyDescent="0.3">
      <c r="A188" s="5" t="s">
        <v>2076</v>
      </c>
      <c r="B188" s="5" t="s">
        <v>2077</v>
      </c>
      <c r="C188" s="5">
        <v>80</v>
      </c>
      <c r="D188" s="6">
        <v>9686</v>
      </c>
      <c r="E188" s="17">
        <f>VLOOKUP(A188,'forecast data dump'!$A$1:$H$3450,4,FALSE)</f>
        <v>44657</v>
      </c>
      <c r="F188" s="17">
        <f>VLOOKUP(A188,'forecast data dump'!$A$1:$H$3450,5,FALSE)</f>
        <v>44670</v>
      </c>
      <c r="G188" s="42">
        <f>VLOOKUP(A188,'forecast data dump'!$A$1:$H$3450,8,FALSE)</f>
        <v>0</v>
      </c>
      <c r="H188" s="5" t="s">
        <v>3759</v>
      </c>
      <c r="I188" s="39">
        <f t="shared" si="116"/>
        <v>80</v>
      </c>
      <c r="J188" s="5"/>
      <c r="K188" s="5"/>
      <c r="L188" s="33">
        <f t="shared" si="117"/>
        <v>9686</v>
      </c>
      <c r="M188" s="33">
        <f t="shared" si="118"/>
        <v>9686</v>
      </c>
      <c r="N188" s="33">
        <f t="shared" si="119"/>
        <v>0</v>
      </c>
      <c r="T188">
        <v>1</v>
      </c>
      <c r="U188" s="29">
        <f t="shared" si="86"/>
        <v>0</v>
      </c>
      <c r="V188" s="29">
        <f t="shared" si="87"/>
        <v>0</v>
      </c>
      <c r="W188" s="29">
        <f t="shared" si="88"/>
        <v>0</v>
      </c>
      <c r="X188" s="29">
        <f t="shared" si="89"/>
        <v>0</v>
      </c>
      <c r="Y188" s="29">
        <f t="shared" si="90"/>
        <v>0</v>
      </c>
      <c r="Z188" s="29">
        <f t="shared" si="91"/>
        <v>9686</v>
      </c>
    </row>
    <row r="189" spans="1:26" x14ac:dyDescent="0.3">
      <c r="A189" s="5" t="s">
        <v>2082</v>
      </c>
      <c r="B189" s="5" t="s">
        <v>2083</v>
      </c>
      <c r="C189" s="5">
        <v>70</v>
      </c>
      <c r="D189" s="6">
        <v>8475</v>
      </c>
      <c r="E189" s="17">
        <f>VLOOKUP(A189,'forecast data dump'!$A$1:$H$3450,4,FALSE)</f>
        <v>44650</v>
      </c>
      <c r="F189" s="17">
        <f>VLOOKUP(A189,'forecast data dump'!$A$1:$H$3450,5,FALSE)</f>
        <v>44656</v>
      </c>
      <c r="G189" s="42">
        <f>VLOOKUP(A189,'forecast data dump'!$A$1:$H$3450,8,FALSE)</f>
        <v>0</v>
      </c>
      <c r="H189" s="5" t="s">
        <v>3759</v>
      </c>
      <c r="I189" s="39">
        <f t="shared" si="116"/>
        <v>70</v>
      </c>
      <c r="J189" s="5"/>
      <c r="K189" s="5"/>
      <c r="L189" s="33">
        <f t="shared" si="117"/>
        <v>8475</v>
      </c>
      <c r="M189" s="33">
        <f t="shared" si="118"/>
        <v>8475</v>
      </c>
      <c r="N189" s="33">
        <f t="shared" si="119"/>
        <v>0</v>
      </c>
      <c r="T189">
        <v>1</v>
      </c>
      <c r="U189" s="29">
        <f t="shared" si="86"/>
        <v>0</v>
      </c>
      <c r="V189" s="29">
        <f t="shared" si="87"/>
        <v>0</v>
      </c>
      <c r="W189" s="29">
        <f t="shared" si="88"/>
        <v>0</v>
      </c>
      <c r="X189" s="29">
        <f t="shared" si="89"/>
        <v>0</v>
      </c>
      <c r="Y189" s="29">
        <f t="shared" si="90"/>
        <v>0</v>
      </c>
      <c r="Z189" s="29">
        <f t="shared" si="91"/>
        <v>8475</v>
      </c>
    </row>
    <row r="190" spans="1:26" x14ac:dyDescent="0.3">
      <c r="A190" s="5" t="s">
        <v>2086</v>
      </c>
      <c r="B190" s="5" t="s">
        <v>2087</v>
      </c>
      <c r="C190" s="5">
        <v>3137</v>
      </c>
      <c r="D190" s="6">
        <v>3500</v>
      </c>
      <c r="E190" s="17">
        <f>VLOOKUP(A190,'forecast data dump'!$A$1:$H$3450,4,FALSE)</f>
        <v>44650</v>
      </c>
      <c r="F190" s="17">
        <f>VLOOKUP(A190,'forecast data dump'!$A$1:$H$3450,5,FALSE)</f>
        <v>44656</v>
      </c>
      <c r="G190" s="42">
        <f>VLOOKUP(A190,'forecast data dump'!$A$1:$H$3450,8,FALSE)</f>
        <v>0</v>
      </c>
      <c r="H190" s="5" t="s">
        <v>3761</v>
      </c>
      <c r="I190" s="39">
        <f t="shared" si="116"/>
        <v>3137</v>
      </c>
      <c r="J190" s="5"/>
      <c r="K190" s="5"/>
      <c r="L190" s="33">
        <f t="shared" si="117"/>
        <v>3500</v>
      </c>
      <c r="M190" s="33">
        <f t="shared" si="118"/>
        <v>3500</v>
      </c>
      <c r="N190" s="33">
        <f t="shared" si="119"/>
        <v>0</v>
      </c>
      <c r="T190">
        <v>1</v>
      </c>
      <c r="U190" s="29">
        <f t="shared" si="86"/>
        <v>0</v>
      </c>
      <c r="V190" s="29">
        <f t="shared" si="87"/>
        <v>0</v>
      </c>
      <c r="W190" s="29">
        <f t="shared" si="88"/>
        <v>0</v>
      </c>
      <c r="X190" s="29">
        <f t="shared" si="89"/>
        <v>0</v>
      </c>
      <c r="Y190" s="29">
        <f t="shared" si="90"/>
        <v>0</v>
      </c>
      <c r="Z190" s="29">
        <f t="shared" si="91"/>
        <v>3500</v>
      </c>
    </row>
    <row r="191" spans="1:26" x14ac:dyDescent="0.3">
      <c r="A191" s="3" t="s">
        <v>7870</v>
      </c>
      <c r="B191" s="3"/>
      <c r="C191" s="3"/>
      <c r="D191" s="4"/>
      <c r="E191" s="15"/>
      <c r="F191" s="15"/>
      <c r="G191" s="41"/>
      <c r="H191" s="3"/>
      <c r="I191" s="38"/>
      <c r="J191" s="3"/>
      <c r="K191" s="3"/>
      <c r="L191" s="32"/>
      <c r="M191" s="32"/>
      <c r="N191" s="32"/>
      <c r="U191" s="29"/>
      <c r="V191" s="29"/>
      <c r="W191" s="29"/>
      <c r="X191" s="29"/>
      <c r="Y191" s="29"/>
      <c r="Z191" s="29"/>
    </row>
    <row r="192" spans="1:26" x14ac:dyDescent="0.3">
      <c r="A192" s="5" t="s">
        <v>2060</v>
      </c>
      <c r="B192" s="5" t="s">
        <v>2061</v>
      </c>
      <c r="C192" s="5">
        <v>80</v>
      </c>
      <c r="D192" s="6">
        <v>9130</v>
      </c>
      <c r="E192" s="17" t="str">
        <f>VLOOKUP(A192,'forecast data dump'!$A$1:$H$3450,4,FALSE)</f>
        <v>08-Mar-21 A</v>
      </c>
      <c r="F192" s="17">
        <f>VLOOKUP(A192,'forecast data dump'!$A$1:$H$3450,5,FALSE)</f>
        <v>44439</v>
      </c>
      <c r="G192" s="42">
        <f>VLOOKUP(A192,'forecast data dump'!$A$1:$H$3450,8,FALSE)</f>
        <v>0.3</v>
      </c>
      <c r="H192" s="5" t="s">
        <v>3759</v>
      </c>
      <c r="I192" s="39">
        <f t="shared" ref="I192:I196" si="120">C192*(1-G192)</f>
        <v>56</v>
      </c>
      <c r="J192" s="5"/>
      <c r="K192" s="5"/>
      <c r="L192" s="33">
        <f t="shared" ref="L192:L196" si="121">D192*(1-G192)</f>
        <v>6391</v>
      </c>
      <c r="M192" s="33">
        <f t="shared" ref="M192:M196" si="122">IF(J192="",L192,(D192/C192)*J192)</f>
        <v>6391</v>
      </c>
      <c r="N192" s="33">
        <f t="shared" ref="N192:N196" si="123">L192-M192</f>
        <v>0</v>
      </c>
      <c r="R192">
        <v>1</v>
      </c>
      <c r="U192" s="29">
        <f t="shared" ref="U192:U253" si="124">O192*M192</f>
        <v>0</v>
      </c>
      <c r="V192" s="29">
        <f t="shared" ref="V192:V253" si="125">P192*M192</f>
        <v>0</v>
      </c>
      <c r="W192" s="29">
        <f t="shared" ref="W192:W253" si="126">Q192*M192</f>
        <v>0</v>
      </c>
      <c r="X192" s="29">
        <f t="shared" ref="X192:X253" si="127">R192*M192</f>
        <v>6391</v>
      </c>
      <c r="Y192" s="29">
        <f t="shared" ref="Y192:Y253" si="128">S192*M192</f>
        <v>0</v>
      </c>
      <c r="Z192" s="29">
        <f t="shared" ref="Z192:Z253" si="129">T192*M192</f>
        <v>0</v>
      </c>
    </row>
    <row r="193" spans="1:27" x14ac:dyDescent="0.3">
      <c r="A193" s="5" t="s">
        <v>2062</v>
      </c>
      <c r="B193" s="5" t="s">
        <v>2063</v>
      </c>
      <c r="C193" s="5">
        <v>80</v>
      </c>
      <c r="D193" s="6">
        <v>9404</v>
      </c>
      <c r="E193" s="17">
        <f>VLOOKUP(A193,'forecast data dump'!$A$1:$H$3450,4,FALSE)</f>
        <v>44664</v>
      </c>
      <c r="F193" s="17">
        <f>VLOOKUP(A193,'forecast data dump'!$A$1:$H$3450,5,FALSE)</f>
        <v>44670</v>
      </c>
      <c r="G193" s="42">
        <v>0.1</v>
      </c>
      <c r="H193" s="5" t="s">
        <v>3759</v>
      </c>
      <c r="I193" s="39">
        <f t="shared" si="120"/>
        <v>72</v>
      </c>
      <c r="J193" s="5"/>
      <c r="K193" s="5"/>
      <c r="L193" s="33">
        <f t="shared" si="121"/>
        <v>8463.6</v>
      </c>
      <c r="M193" s="33">
        <f t="shared" si="122"/>
        <v>8463.6</v>
      </c>
      <c r="N193" s="33">
        <f t="shared" si="123"/>
        <v>0</v>
      </c>
      <c r="T193">
        <v>1</v>
      </c>
      <c r="U193" s="29">
        <f t="shared" si="124"/>
        <v>0</v>
      </c>
      <c r="V193" s="29">
        <f t="shared" si="125"/>
        <v>0</v>
      </c>
      <c r="W193" s="29">
        <f t="shared" si="126"/>
        <v>0</v>
      </c>
      <c r="X193" s="29">
        <f t="shared" si="127"/>
        <v>0</v>
      </c>
      <c r="Y193" s="29">
        <f t="shared" si="128"/>
        <v>0</v>
      </c>
      <c r="Z193" s="29">
        <f t="shared" si="129"/>
        <v>8463.6</v>
      </c>
    </row>
    <row r="194" spans="1:27" x14ac:dyDescent="0.3">
      <c r="A194" s="5" t="s">
        <v>2062</v>
      </c>
      <c r="B194" s="5" t="s">
        <v>2063</v>
      </c>
      <c r="C194" s="5">
        <v>80</v>
      </c>
      <c r="D194" s="6">
        <v>14013</v>
      </c>
      <c r="E194" s="17">
        <f>VLOOKUP(A194,'forecast data dump'!$A$1:$H$3450,4,FALSE)</f>
        <v>44664</v>
      </c>
      <c r="F194" s="17">
        <f>VLOOKUP(A194,'forecast data dump'!$A$1:$H$3450,5,FALSE)</f>
        <v>44670</v>
      </c>
      <c r="G194" s="42">
        <v>0.1</v>
      </c>
      <c r="H194" s="5" t="s">
        <v>3731</v>
      </c>
      <c r="I194" s="39">
        <f t="shared" si="120"/>
        <v>72</v>
      </c>
      <c r="J194" s="5"/>
      <c r="K194" s="5"/>
      <c r="L194" s="33">
        <f t="shared" si="121"/>
        <v>12611.7</v>
      </c>
      <c r="M194" s="33">
        <f t="shared" si="122"/>
        <v>12611.7</v>
      </c>
      <c r="N194" s="33">
        <f t="shared" si="123"/>
        <v>0</v>
      </c>
      <c r="T194">
        <v>1</v>
      </c>
      <c r="U194" s="29">
        <f t="shared" si="124"/>
        <v>0</v>
      </c>
      <c r="V194" s="29">
        <f t="shared" si="125"/>
        <v>0</v>
      </c>
      <c r="W194" s="29">
        <f t="shared" si="126"/>
        <v>0</v>
      </c>
      <c r="X194" s="29">
        <f t="shared" si="127"/>
        <v>0</v>
      </c>
      <c r="Y194" s="29">
        <f t="shared" si="128"/>
        <v>0</v>
      </c>
      <c r="Z194" s="29">
        <f t="shared" si="129"/>
        <v>12611.7</v>
      </c>
    </row>
    <row r="195" spans="1:27" x14ac:dyDescent="0.3">
      <c r="A195" s="5" t="s">
        <v>2066</v>
      </c>
      <c r="B195" s="5" t="s">
        <v>2067</v>
      </c>
      <c r="C195" s="5">
        <v>54</v>
      </c>
      <c r="D195" s="6">
        <v>6226</v>
      </c>
      <c r="E195" s="17" t="str">
        <f>VLOOKUP(A195,'forecast data dump'!$A$1:$H$3450,4,FALSE)</f>
        <v>01-Oct-19 A</v>
      </c>
      <c r="F195" s="17">
        <f>VLOOKUP(A195,'forecast data dump'!$A$1:$H$3450,5,FALSE)</f>
        <v>44498</v>
      </c>
      <c r="G195" s="42">
        <f>VLOOKUP(A195,'forecast data dump'!$A$1:$H$3450,8,FALSE)</f>
        <v>0.9</v>
      </c>
      <c r="H195" s="5" t="s">
        <v>3759</v>
      </c>
      <c r="I195" s="39">
        <f t="shared" si="120"/>
        <v>5.3999999999999986</v>
      </c>
      <c r="J195" s="5"/>
      <c r="K195" s="5"/>
      <c r="L195" s="33">
        <f t="shared" si="121"/>
        <v>622.59999999999991</v>
      </c>
      <c r="M195" s="33">
        <f t="shared" si="122"/>
        <v>622.59999999999991</v>
      </c>
      <c r="N195" s="33">
        <f t="shared" si="123"/>
        <v>0</v>
      </c>
      <c r="R195">
        <v>1</v>
      </c>
      <c r="U195" s="29">
        <f t="shared" si="124"/>
        <v>0</v>
      </c>
      <c r="V195" s="29">
        <f t="shared" si="125"/>
        <v>0</v>
      </c>
      <c r="W195" s="29">
        <f t="shared" si="126"/>
        <v>0</v>
      </c>
      <c r="X195" s="29">
        <f t="shared" si="127"/>
        <v>622.59999999999991</v>
      </c>
      <c r="Y195" s="29">
        <f t="shared" si="128"/>
        <v>0</v>
      </c>
      <c r="Z195" s="29">
        <f t="shared" si="129"/>
        <v>0</v>
      </c>
    </row>
    <row r="196" spans="1:27" x14ac:dyDescent="0.3">
      <c r="A196" s="5" t="s">
        <v>2066</v>
      </c>
      <c r="B196" s="5" t="s">
        <v>2067</v>
      </c>
      <c r="C196" s="5">
        <v>27</v>
      </c>
      <c r="D196" s="6">
        <v>4639</v>
      </c>
      <c r="E196" s="17" t="str">
        <f>VLOOKUP(A196,'forecast data dump'!$A$1:$H$3450,4,FALSE)</f>
        <v>01-Oct-19 A</v>
      </c>
      <c r="F196" s="17">
        <f>VLOOKUP(A196,'forecast data dump'!$A$1:$H$3450,5,FALSE)</f>
        <v>44498</v>
      </c>
      <c r="G196" s="42">
        <f>VLOOKUP(A196,'forecast data dump'!$A$1:$H$3450,8,FALSE)</f>
        <v>0.9</v>
      </c>
      <c r="H196" s="5" t="s">
        <v>3731</v>
      </c>
      <c r="I196" s="39">
        <f t="shared" si="120"/>
        <v>2.6999999999999993</v>
      </c>
      <c r="J196" s="5"/>
      <c r="K196" s="5"/>
      <c r="L196" s="33">
        <f t="shared" si="121"/>
        <v>463.89999999999992</v>
      </c>
      <c r="M196" s="33">
        <f t="shared" si="122"/>
        <v>463.89999999999992</v>
      </c>
      <c r="N196" s="33">
        <f t="shared" si="123"/>
        <v>0</v>
      </c>
      <c r="R196">
        <v>1</v>
      </c>
      <c r="U196" s="29">
        <f t="shared" si="124"/>
        <v>0</v>
      </c>
      <c r="V196" s="29">
        <f t="shared" si="125"/>
        <v>0</v>
      </c>
      <c r="W196" s="29">
        <f t="shared" si="126"/>
        <v>0</v>
      </c>
      <c r="X196" s="29">
        <f t="shared" si="127"/>
        <v>463.89999999999992</v>
      </c>
      <c r="Y196" s="29">
        <f t="shared" si="128"/>
        <v>0</v>
      </c>
      <c r="Z196" s="29">
        <f t="shared" si="129"/>
        <v>0</v>
      </c>
    </row>
    <row r="197" spans="1:27" x14ac:dyDescent="0.3">
      <c r="A197" s="3" t="s">
        <v>7871</v>
      </c>
      <c r="B197" s="3"/>
      <c r="C197" s="3"/>
      <c r="D197" s="4"/>
      <c r="E197" s="15"/>
      <c r="F197" s="15"/>
      <c r="G197" s="41"/>
      <c r="H197" s="3"/>
      <c r="I197" s="38"/>
      <c r="J197" s="3"/>
      <c r="K197" s="3"/>
      <c r="L197" s="32"/>
      <c r="M197" s="32"/>
      <c r="N197" s="32"/>
      <c r="U197" s="29"/>
      <c r="V197" s="29"/>
      <c r="W197" s="29"/>
      <c r="X197" s="29"/>
      <c r="Y197" s="29"/>
      <c r="Z197" s="29"/>
      <c r="AA197" s="109">
        <f>SUM(U198:U228)</f>
        <v>0</v>
      </c>
    </row>
    <row r="198" spans="1:27" x14ac:dyDescent="0.3">
      <c r="A198" s="5" t="s">
        <v>1633</v>
      </c>
      <c r="B198" s="5" t="s">
        <v>1634</v>
      </c>
      <c r="C198" s="5">
        <v>90</v>
      </c>
      <c r="D198" s="6">
        <v>13651</v>
      </c>
      <c r="E198" s="17" t="str">
        <f>VLOOKUP(A198,'forecast data dump'!$A$1:$H$3450,4,FALSE)</f>
        <v>30-Oct-20 A</v>
      </c>
      <c r="F198" s="17">
        <f>VLOOKUP(A198,'forecast data dump'!$A$1:$H$3450,5,FALSE)</f>
        <v>44440</v>
      </c>
      <c r="G198" s="42">
        <f>VLOOKUP(A198,'forecast data dump'!$A$1:$H$3450,8,FALSE)</f>
        <v>0.9</v>
      </c>
      <c r="H198" s="5" t="s">
        <v>3744</v>
      </c>
      <c r="I198" s="39">
        <f t="shared" ref="I198:I202" si="130">C198*(1-G198)</f>
        <v>8.9999999999999982</v>
      </c>
      <c r="J198" s="5"/>
      <c r="K198" s="5"/>
      <c r="L198" s="33">
        <f t="shared" ref="L198:L202" si="131">D198*(1-G198)</f>
        <v>1365.0999999999997</v>
      </c>
      <c r="M198" s="33">
        <f t="shared" ref="M198:M202" si="132">IF(J198="",L198,(D198/C198)*J198)</f>
        <v>1365.0999999999997</v>
      </c>
      <c r="N198" s="33">
        <f t="shared" ref="N198:N202" si="133">L198-M198</f>
        <v>0</v>
      </c>
      <c r="R198">
        <v>1</v>
      </c>
      <c r="U198" s="29">
        <f t="shared" si="124"/>
        <v>0</v>
      </c>
      <c r="V198" s="29">
        <f t="shared" si="125"/>
        <v>0</v>
      </c>
      <c r="W198" s="29">
        <f t="shared" si="126"/>
        <v>0</v>
      </c>
      <c r="X198" s="29">
        <f t="shared" si="127"/>
        <v>1365.0999999999997</v>
      </c>
      <c r="Y198" s="29">
        <f t="shared" si="128"/>
        <v>0</v>
      </c>
      <c r="Z198" s="29">
        <f t="shared" si="129"/>
        <v>0</v>
      </c>
      <c r="AA198" s="103" t="s">
        <v>8358</v>
      </c>
    </row>
    <row r="199" spans="1:27" x14ac:dyDescent="0.3">
      <c r="A199" s="5" t="s">
        <v>1635</v>
      </c>
      <c r="B199" s="5" t="s">
        <v>1636</v>
      </c>
      <c r="C199" s="5">
        <v>24</v>
      </c>
      <c r="D199" s="6">
        <v>5090</v>
      </c>
      <c r="E199" s="17">
        <f>VLOOKUP(A199,'forecast data dump'!$A$1:$H$3450,4,FALSE)</f>
        <v>44441</v>
      </c>
      <c r="F199" s="17">
        <f>VLOOKUP(A199,'forecast data dump'!$A$1:$H$3450,5,FALSE)</f>
        <v>44531</v>
      </c>
      <c r="G199" s="42">
        <f>VLOOKUP(A199,'forecast data dump'!$A$1:$H$3450,8,FALSE)</f>
        <v>0</v>
      </c>
      <c r="H199" s="5" t="s">
        <v>3732</v>
      </c>
      <c r="I199" s="39">
        <f t="shared" si="130"/>
        <v>24</v>
      </c>
      <c r="J199" s="5"/>
      <c r="K199" s="5"/>
      <c r="L199" s="33">
        <f t="shared" si="131"/>
        <v>5090</v>
      </c>
      <c r="M199" s="33">
        <f t="shared" si="132"/>
        <v>5090</v>
      </c>
      <c r="N199" s="33">
        <f t="shared" si="133"/>
        <v>0</v>
      </c>
      <c r="T199">
        <v>1</v>
      </c>
      <c r="U199" s="29">
        <f t="shared" si="124"/>
        <v>0</v>
      </c>
      <c r="V199" s="29">
        <f t="shared" si="125"/>
        <v>0</v>
      </c>
      <c r="W199" s="29">
        <f t="shared" si="126"/>
        <v>0</v>
      </c>
      <c r="X199" s="29">
        <f t="shared" si="127"/>
        <v>0</v>
      </c>
      <c r="Y199" s="29">
        <f t="shared" si="128"/>
        <v>0</v>
      </c>
      <c r="Z199" s="29">
        <f t="shared" si="129"/>
        <v>5090</v>
      </c>
      <c r="AA199" s="103" t="s">
        <v>8354</v>
      </c>
    </row>
    <row r="200" spans="1:27" x14ac:dyDescent="0.3">
      <c r="A200" s="5" t="s">
        <v>1635</v>
      </c>
      <c r="B200" s="5" t="s">
        <v>1636</v>
      </c>
      <c r="C200" s="5">
        <v>24</v>
      </c>
      <c r="D200" s="6">
        <v>3640</v>
      </c>
      <c r="E200" s="17">
        <f>VLOOKUP(A200,'forecast data dump'!$A$1:$H$3450,4,FALSE)</f>
        <v>44441</v>
      </c>
      <c r="F200" s="17">
        <f>VLOOKUP(A200,'forecast data dump'!$A$1:$H$3450,5,FALSE)</f>
        <v>44531</v>
      </c>
      <c r="G200" s="42">
        <f>VLOOKUP(A200,'forecast data dump'!$A$1:$H$3450,8,FALSE)</f>
        <v>0</v>
      </c>
      <c r="H200" s="5" t="s">
        <v>3744</v>
      </c>
      <c r="I200" s="39">
        <f t="shared" si="130"/>
        <v>24</v>
      </c>
      <c r="J200" s="5"/>
      <c r="K200" s="5"/>
      <c r="L200" s="33">
        <f t="shared" si="131"/>
        <v>3640</v>
      </c>
      <c r="M200" s="33">
        <f t="shared" si="132"/>
        <v>3640</v>
      </c>
      <c r="N200" s="33">
        <f t="shared" si="133"/>
        <v>0</v>
      </c>
      <c r="T200">
        <v>1</v>
      </c>
      <c r="U200" s="29">
        <f t="shared" si="124"/>
        <v>0</v>
      </c>
      <c r="V200" s="29">
        <f t="shared" si="125"/>
        <v>0</v>
      </c>
      <c r="W200" s="29">
        <f t="shared" si="126"/>
        <v>0</v>
      </c>
      <c r="X200" s="29">
        <f t="shared" si="127"/>
        <v>0</v>
      </c>
      <c r="Y200" s="29">
        <f t="shared" si="128"/>
        <v>0</v>
      </c>
      <c r="Z200" s="29">
        <f t="shared" si="129"/>
        <v>3640</v>
      </c>
    </row>
    <row r="201" spans="1:27" x14ac:dyDescent="0.3">
      <c r="A201" s="5" t="s">
        <v>1635</v>
      </c>
      <c r="B201" s="5" t="s">
        <v>1636</v>
      </c>
      <c r="C201" s="5">
        <v>24</v>
      </c>
      <c r="D201" s="6">
        <v>2821</v>
      </c>
      <c r="E201" s="17">
        <f>VLOOKUP(A201,'forecast data dump'!$A$1:$H$3450,4,FALSE)</f>
        <v>44441</v>
      </c>
      <c r="F201" s="17">
        <f>VLOOKUP(A201,'forecast data dump'!$A$1:$H$3450,5,FALSE)</f>
        <v>44531</v>
      </c>
      <c r="G201" s="42">
        <f>VLOOKUP(A201,'forecast data dump'!$A$1:$H$3450,8,FALSE)</f>
        <v>0</v>
      </c>
      <c r="H201" s="5" t="s">
        <v>3742</v>
      </c>
      <c r="I201" s="39">
        <f t="shared" si="130"/>
        <v>24</v>
      </c>
      <c r="J201" s="5"/>
      <c r="K201" s="5"/>
      <c r="L201" s="33">
        <f t="shared" si="131"/>
        <v>2821</v>
      </c>
      <c r="M201" s="33">
        <f t="shared" si="132"/>
        <v>2821</v>
      </c>
      <c r="N201" s="33">
        <f t="shared" si="133"/>
        <v>0</v>
      </c>
      <c r="T201">
        <v>1</v>
      </c>
      <c r="U201" s="29">
        <f t="shared" si="124"/>
        <v>0</v>
      </c>
      <c r="V201" s="29">
        <f t="shared" si="125"/>
        <v>0</v>
      </c>
      <c r="W201" s="29">
        <f t="shared" si="126"/>
        <v>0</v>
      </c>
      <c r="X201" s="29">
        <f t="shared" si="127"/>
        <v>0</v>
      </c>
      <c r="Y201" s="29">
        <f t="shared" si="128"/>
        <v>0</v>
      </c>
      <c r="Z201" s="29">
        <f t="shared" si="129"/>
        <v>2821</v>
      </c>
    </row>
    <row r="202" spans="1:27" x14ac:dyDescent="0.3">
      <c r="A202" s="5" t="s">
        <v>1637</v>
      </c>
      <c r="B202" s="5" t="s">
        <v>1638</v>
      </c>
      <c r="C202" s="5">
        <v>40</v>
      </c>
      <c r="D202" s="6">
        <v>4843</v>
      </c>
      <c r="E202" s="17">
        <f>VLOOKUP(A202,'forecast data dump'!$A$1:$H$3450,4,FALSE)</f>
        <v>44595</v>
      </c>
      <c r="F202" s="17">
        <f>VLOOKUP(A202,'forecast data dump'!$A$1:$H$3450,5,FALSE)</f>
        <v>44608</v>
      </c>
      <c r="G202" s="42">
        <f>VLOOKUP(A202,'forecast data dump'!$A$1:$H$3450,8,FALSE)</f>
        <v>0</v>
      </c>
      <c r="H202" s="5" t="s">
        <v>3742</v>
      </c>
      <c r="I202" s="39">
        <f t="shared" si="130"/>
        <v>40</v>
      </c>
      <c r="J202" s="5"/>
      <c r="K202" s="5"/>
      <c r="L202" s="33">
        <f t="shared" si="131"/>
        <v>4843</v>
      </c>
      <c r="M202" s="33">
        <f t="shared" si="132"/>
        <v>4843</v>
      </c>
      <c r="N202" s="33">
        <f t="shared" si="133"/>
        <v>0</v>
      </c>
      <c r="T202">
        <v>1</v>
      </c>
      <c r="U202" s="29">
        <f t="shared" si="124"/>
        <v>0</v>
      </c>
      <c r="V202" s="29">
        <f t="shared" si="125"/>
        <v>0</v>
      </c>
      <c r="W202" s="29">
        <f t="shared" si="126"/>
        <v>0</v>
      </c>
      <c r="X202" s="29">
        <f t="shared" si="127"/>
        <v>0</v>
      </c>
      <c r="Y202" s="29">
        <f t="shared" si="128"/>
        <v>0</v>
      </c>
      <c r="Z202" s="29">
        <f t="shared" si="129"/>
        <v>4843</v>
      </c>
    </row>
    <row r="203" spans="1:27" x14ac:dyDescent="0.3">
      <c r="A203" s="3" t="s">
        <v>7872</v>
      </c>
      <c r="B203" s="3"/>
      <c r="C203" s="3"/>
      <c r="D203" s="4"/>
      <c r="E203" s="15"/>
      <c r="F203" s="15"/>
      <c r="G203" s="41"/>
      <c r="H203" s="3"/>
      <c r="I203" s="38"/>
      <c r="J203" s="3"/>
      <c r="K203" s="3"/>
      <c r="L203" s="32"/>
      <c r="M203" s="32"/>
      <c r="N203" s="32"/>
      <c r="U203" s="29"/>
      <c r="V203" s="29"/>
      <c r="W203" s="29"/>
      <c r="X203" s="29"/>
      <c r="Y203" s="29"/>
      <c r="Z203" s="29"/>
    </row>
    <row r="204" spans="1:27" x14ac:dyDescent="0.3">
      <c r="A204" s="5" t="s">
        <v>1653</v>
      </c>
      <c r="B204" s="5" t="s">
        <v>1654</v>
      </c>
      <c r="C204" s="5">
        <v>80</v>
      </c>
      <c r="D204" s="6">
        <v>9686</v>
      </c>
      <c r="E204" s="17">
        <f>VLOOKUP(A204,'forecast data dump'!$A$1:$H$3450,4,FALSE)</f>
        <v>44707</v>
      </c>
      <c r="F204" s="17">
        <f>VLOOKUP(A204,'forecast data dump'!$A$1:$H$3450,5,FALSE)</f>
        <v>44721</v>
      </c>
      <c r="G204" s="42">
        <f>VLOOKUP(A204,'forecast data dump'!$A$1:$H$3450,8,FALSE)</f>
        <v>0</v>
      </c>
      <c r="H204" s="5" t="s">
        <v>3741</v>
      </c>
      <c r="I204" s="39">
        <f t="shared" ref="I204:I228" si="134">C204*(1-G204)</f>
        <v>80</v>
      </c>
      <c r="J204" s="5"/>
      <c r="K204" s="5"/>
      <c r="L204" s="33">
        <f t="shared" ref="L204:L228" si="135">D204*(1-G204)</f>
        <v>9686</v>
      </c>
      <c r="M204" s="33">
        <f t="shared" ref="M204:M228" si="136">IF(J204="",L204,(D204/C204)*J204)</f>
        <v>9686</v>
      </c>
      <c r="N204" s="33">
        <f t="shared" ref="N204:N228" si="137">L204-M204</f>
        <v>0</v>
      </c>
      <c r="T204">
        <v>1</v>
      </c>
      <c r="U204" s="29">
        <f t="shared" si="124"/>
        <v>0</v>
      </c>
      <c r="V204" s="29">
        <f t="shared" si="125"/>
        <v>0</v>
      </c>
      <c r="W204" s="29">
        <f t="shared" si="126"/>
        <v>0</v>
      </c>
      <c r="X204" s="29">
        <f t="shared" si="127"/>
        <v>0</v>
      </c>
      <c r="Y204" s="29">
        <f t="shared" si="128"/>
        <v>0</v>
      </c>
      <c r="Z204" s="29">
        <f t="shared" si="129"/>
        <v>9686</v>
      </c>
    </row>
    <row r="205" spans="1:27" x14ac:dyDescent="0.3">
      <c r="A205" s="5" t="s">
        <v>1653</v>
      </c>
      <c r="B205" s="5" t="s">
        <v>1654</v>
      </c>
      <c r="C205" s="5">
        <v>160</v>
      </c>
      <c r="D205" s="6">
        <v>19372</v>
      </c>
      <c r="E205" s="17">
        <f>VLOOKUP(A205,'forecast data dump'!$A$1:$H$3450,4,FALSE)</f>
        <v>44707</v>
      </c>
      <c r="F205" s="17">
        <f>VLOOKUP(A205,'forecast data dump'!$A$1:$H$3450,5,FALSE)</f>
        <v>44721</v>
      </c>
      <c r="G205" s="42">
        <f>VLOOKUP(A205,'forecast data dump'!$A$1:$H$3450,8,FALSE)</f>
        <v>0</v>
      </c>
      <c r="H205" s="5" t="s">
        <v>3742</v>
      </c>
      <c r="I205" s="39">
        <f t="shared" si="134"/>
        <v>160</v>
      </c>
      <c r="J205" s="5"/>
      <c r="K205" s="5"/>
      <c r="L205" s="33">
        <f t="shared" si="135"/>
        <v>19372</v>
      </c>
      <c r="M205" s="33">
        <f t="shared" si="136"/>
        <v>19372</v>
      </c>
      <c r="N205" s="33">
        <f t="shared" si="137"/>
        <v>0</v>
      </c>
      <c r="T205">
        <v>1</v>
      </c>
      <c r="U205" s="29">
        <f t="shared" si="124"/>
        <v>0</v>
      </c>
      <c r="V205" s="29">
        <f t="shared" si="125"/>
        <v>0</v>
      </c>
      <c r="W205" s="29">
        <f t="shared" si="126"/>
        <v>0</v>
      </c>
      <c r="X205" s="29">
        <f t="shared" si="127"/>
        <v>0</v>
      </c>
      <c r="Y205" s="29">
        <f t="shared" si="128"/>
        <v>0</v>
      </c>
      <c r="Z205" s="29">
        <f t="shared" si="129"/>
        <v>19372</v>
      </c>
    </row>
    <row r="206" spans="1:27" x14ac:dyDescent="0.3">
      <c r="A206" s="5" t="s">
        <v>1653</v>
      </c>
      <c r="B206" s="5" t="s">
        <v>1654</v>
      </c>
      <c r="C206" s="5">
        <v>80</v>
      </c>
      <c r="D206" s="6">
        <v>10737</v>
      </c>
      <c r="E206" s="17">
        <f>VLOOKUP(A206,'forecast data dump'!$A$1:$H$3450,4,FALSE)</f>
        <v>44707</v>
      </c>
      <c r="F206" s="17">
        <f>VLOOKUP(A206,'forecast data dump'!$A$1:$H$3450,5,FALSE)</f>
        <v>44721</v>
      </c>
      <c r="G206" s="42">
        <f>VLOOKUP(A206,'forecast data dump'!$A$1:$H$3450,8,FALSE)</f>
        <v>0</v>
      </c>
      <c r="H206" s="5" t="s">
        <v>3746</v>
      </c>
      <c r="I206" s="39">
        <f t="shared" si="134"/>
        <v>80</v>
      </c>
      <c r="J206" s="5"/>
      <c r="K206" s="5"/>
      <c r="L206" s="33">
        <f t="shared" si="135"/>
        <v>10737</v>
      </c>
      <c r="M206" s="33">
        <f t="shared" si="136"/>
        <v>10737</v>
      </c>
      <c r="N206" s="33">
        <f t="shared" si="137"/>
        <v>0</v>
      </c>
      <c r="T206">
        <v>1</v>
      </c>
      <c r="U206" s="29">
        <f t="shared" si="124"/>
        <v>0</v>
      </c>
      <c r="V206" s="29">
        <f t="shared" si="125"/>
        <v>0</v>
      </c>
      <c r="W206" s="29">
        <f t="shared" si="126"/>
        <v>0</v>
      </c>
      <c r="X206" s="29">
        <f t="shared" si="127"/>
        <v>0</v>
      </c>
      <c r="Y206" s="29">
        <f t="shared" si="128"/>
        <v>0</v>
      </c>
      <c r="Z206" s="29">
        <f t="shared" si="129"/>
        <v>10737</v>
      </c>
    </row>
    <row r="207" spans="1:27" x14ac:dyDescent="0.3">
      <c r="A207" s="5" t="s">
        <v>1653</v>
      </c>
      <c r="B207" s="5" t="s">
        <v>1654</v>
      </c>
      <c r="C207" s="5">
        <v>160</v>
      </c>
      <c r="D207" s="6">
        <v>34952</v>
      </c>
      <c r="E207" s="17">
        <f>VLOOKUP(A207,'forecast data dump'!$A$1:$H$3450,4,FALSE)</f>
        <v>44707</v>
      </c>
      <c r="F207" s="17">
        <f>VLOOKUP(A207,'forecast data dump'!$A$1:$H$3450,5,FALSE)</f>
        <v>44721</v>
      </c>
      <c r="G207" s="42">
        <f>VLOOKUP(A207,'forecast data dump'!$A$1:$H$3450,8,FALSE)</f>
        <v>0</v>
      </c>
      <c r="H207" s="5" t="s">
        <v>3732</v>
      </c>
      <c r="I207" s="39">
        <f t="shared" si="134"/>
        <v>160</v>
      </c>
      <c r="J207" s="5"/>
      <c r="K207" s="5"/>
      <c r="L207" s="33">
        <f t="shared" si="135"/>
        <v>34952</v>
      </c>
      <c r="M207" s="33">
        <f t="shared" si="136"/>
        <v>34952</v>
      </c>
      <c r="N207" s="33">
        <f t="shared" si="137"/>
        <v>0</v>
      </c>
      <c r="T207">
        <v>1</v>
      </c>
      <c r="U207" s="29">
        <f t="shared" si="124"/>
        <v>0</v>
      </c>
      <c r="V207" s="29">
        <f t="shared" si="125"/>
        <v>0</v>
      </c>
      <c r="W207" s="29">
        <f t="shared" si="126"/>
        <v>0</v>
      </c>
      <c r="X207" s="29">
        <f t="shared" si="127"/>
        <v>0</v>
      </c>
      <c r="Y207" s="29">
        <f t="shared" si="128"/>
        <v>0</v>
      </c>
      <c r="Z207" s="29">
        <f t="shared" si="129"/>
        <v>34952</v>
      </c>
    </row>
    <row r="208" spans="1:27" x14ac:dyDescent="0.3">
      <c r="A208" s="5" t="s">
        <v>1655</v>
      </c>
      <c r="B208" s="5" t="s">
        <v>1656</v>
      </c>
      <c r="C208" s="5">
        <v>80</v>
      </c>
      <c r="D208" s="6">
        <v>9686</v>
      </c>
      <c r="E208" s="17">
        <f>VLOOKUP(A208,'forecast data dump'!$A$1:$H$3450,4,FALSE)</f>
        <v>44726</v>
      </c>
      <c r="F208" s="17">
        <f>VLOOKUP(A208,'forecast data dump'!$A$1:$H$3450,5,FALSE)</f>
        <v>44747</v>
      </c>
      <c r="G208" s="42">
        <f>VLOOKUP(A208,'forecast data dump'!$A$1:$H$3450,8,FALSE)</f>
        <v>0</v>
      </c>
      <c r="H208" s="5" t="s">
        <v>3741</v>
      </c>
      <c r="I208" s="39">
        <f t="shared" si="134"/>
        <v>80</v>
      </c>
      <c r="J208" s="5"/>
      <c r="K208" s="5"/>
      <c r="L208" s="33">
        <f t="shared" si="135"/>
        <v>9686</v>
      </c>
      <c r="M208" s="33">
        <f t="shared" si="136"/>
        <v>9686</v>
      </c>
      <c r="N208" s="33">
        <f t="shared" si="137"/>
        <v>0</v>
      </c>
      <c r="T208">
        <v>1</v>
      </c>
      <c r="U208" s="29">
        <f t="shared" si="124"/>
        <v>0</v>
      </c>
      <c r="V208" s="29">
        <f t="shared" si="125"/>
        <v>0</v>
      </c>
      <c r="W208" s="29">
        <f t="shared" si="126"/>
        <v>0</v>
      </c>
      <c r="X208" s="29">
        <f t="shared" si="127"/>
        <v>0</v>
      </c>
      <c r="Y208" s="29">
        <f t="shared" si="128"/>
        <v>0</v>
      </c>
      <c r="Z208" s="29">
        <f t="shared" si="129"/>
        <v>9686</v>
      </c>
    </row>
    <row r="209" spans="1:26" x14ac:dyDescent="0.3">
      <c r="A209" s="5" t="s">
        <v>1655</v>
      </c>
      <c r="B209" s="5" t="s">
        <v>1656</v>
      </c>
      <c r="C209" s="5">
        <v>160</v>
      </c>
      <c r="D209" s="6">
        <v>34952</v>
      </c>
      <c r="E209" s="17">
        <f>VLOOKUP(A209,'forecast data dump'!$A$1:$H$3450,4,FALSE)</f>
        <v>44726</v>
      </c>
      <c r="F209" s="17">
        <f>VLOOKUP(A209,'forecast data dump'!$A$1:$H$3450,5,FALSE)</f>
        <v>44747</v>
      </c>
      <c r="G209" s="42">
        <f>VLOOKUP(A209,'forecast data dump'!$A$1:$H$3450,8,FALSE)</f>
        <v>0</v>
      </c>
      <c r="H209" s="5" t="s">
        <v>3732</v>
      </c>
      <c r="I209" s="39">
        <f t="shared" si="134"/>
        <v>160</v>
      </c>
      <c r="J209" s="5"/>
      <c r="K209" s="5"/>
      <c r="L209" s="33">
        <f t="shared" si="135"/>
        <v>34952</v>
      </c>
      <c r="M209" s="33">
        <f t="shared" si="136"/>
        <v>34952</v>
      </c>
      <c r="N209" s="33">
        <f t="shared" si="137"/>
        <v>0</v>
      </c>
      <c r="T209">
        <v>1</v>
      </c>
      <c r="U209" s="29">
        <f t="shared" si="124"/>
        <v>0</v>
      </c>
      <c r="V209" s="29">
        <f t="shared" si="125"/>
        <v>0</v>
      </c>
      <c r="W209" s="29">
        <f t="shared" si="126"/>
        <v>0</v>
      </c>
      <c r="X209" s="29">
        <f t="shared" si="127"/>
        <v>0</v>
      </c>
      <c r="Y209" s="29">
        <f t="shared" si="128"/>
        <v>0</v>
      </c>
      <c r="Z209" s="29">
        <f t="shared" si="129"/>
        <v>34952</v>
      </c>
    </row>
    <row r="210" spans="1:26" x14ac:dyDescent="0.3">
      <c r="A210" s="5" t="s">
        <v>1655</v>
      </c>
      <c r="B210" s="5" t="s">
        <v>1656</v>
      </c>
      <c r="C210" s="5">
        <v>80</v>
      </c>
      <c r="D210" s="6">
        <v>10737</v>
      </c>
      <c r="E210" s="17">
        <f>VLOOKUP(A210,'forecast data dump'!$A$1:$H$3450,4,FALSE)</f>
        <v>44726</v>
      </c>
      <c r="F210" s="17">
        <f>VLOOKUP(A210,'forecast data dump'!$A$1:$H$3450,5,FALSE)</f>
        <v>44747</v>
      </c>
      <c r="G210" s="42">
        <f>VLOOKUP(A210,'forecast data dump'!$A$1:$H$3450,8,FALSE)</f>
        <v>0</v>
      </c>
      <c r="H210" s="5" t="s">
        <v>3746</v>
      </c>
      <c r="I210" s="39">
        <f t="shared" si="134"/>
        <v>80</v>
      </c>
      <c r="J210" s="5"/>
      <c r="K210" s="5"/>
      <c r="L210" s="33">
        <f t="shared" si="135"/>
        <v>10737</v>
      </c>
      <c r="M210" s="33">
        <f t="shared" si="136"/>
        <v>10737</v>
      </c>
      <c r="N210" s="33">
        <f t="shared" si="137"/>
        <v>0</v>
      </c>
      <c r="T210">
        <v>1</v>
      </c>
      <c r="U210" s="29">
        <f t="shared" si="124"/>
        <v>0</v>
      </c>
      <c r="V210" s="29">
        <f t="shared" si="125"/>
        <v>0</v>
      </c>
      <c r="W210" s="29">
        <f t="shared" si="126"/>
        <v>0</v>
      </c>
      <c r="X210" s="29">
        <f t="shared" si="127"/>
        <v>0</v>
      </c>
      <c r="Y210" s="29">
        <f t="shared" si="128"/>
        <v>0</v>
      </c>
      <c r="Z210" s="29">
        <f t="shared" si="129"/>
        <v>10737</v>
      </c>
    </row>
    <row r="211" spans="1:26" x14ac:dyDescent="0.3">
      <c r="A211" s="5" t="s">
        <v>1655</v>
      </c>
      <c r="B211" s="5" t="s">
        <v>1656</v>
      </c>
      <c r="C211" s="5">
        <v>160</v>
      </c>
      <c r="D211" s="6">
        <v>19372</v>
      </c>
      <c r="E211" s="17">
        <f>VLOOKUP(A211,'forecast data dump'!$A$1:$H$3450,4,FALSE)</f>
        <v>44726</v>
      </c>
      <c r="F211" s="17">
        <f>VLOOKUP(A211,'forecast data dump'!$A$1:$H$3450,5,FALSE)</f>
        <v>44747</v>
      </c>
      <c r="G211" s="42">
        <f>VLOOKUP(A211,'forecast data dump'!$A$1:$H$3450,8,FALSE)</f>
        <v>0</v>
      </c>
      <c r="H211" s="5" t="s">
        <v>3742</v>
      </c>
      <c r="I211" s="39">
        <f t="shared" si="134"/>
        <v>160</v>
      </c>
      <c r="J211" s="5"/>
      <c r="K211" s="5"/>
      <c r="L211" s="33">
        <f t="shared" si="135"/>
        <v>19372</v>
      </c>
      <c r="M211" s="33">
        <f t="shared" si="136"/>
        <v>19372</v>
      </c>
      <c r="N211" s="33">
        <f t="shared" si="137"/>
        <v>0</v>
      </c>
      <c r="T211">
        <v>1</v>
      </c>
      <c r="U211" s="29">
        <f t="shared" si="124"/>
        <v>0</v>
      </c>
      <c r="V211" s="29">
        <f t="shared" si="125"/>
        <v>0</v>
      </c>
      <c r="W211" s="29">
        <f t="shared" si="126"/>
        <v>0</v>
      </c>
      <c r="X211" s="29">
        <f t="shared" si="127"/>
        <v>0</v>
      </c>
      <c r="Y211" s="29">
        <f t="shared" si="128"/>
        <v>0</v>
      </c>
      <c r="Z211" s="29">
        <f t="shared" si="129"/>
        <v>19372</v>
      </c>
    </row>
    <row r="212" spans="1:26" x14ac:dyDescent="0.3">
      <c r="A212" s="5" t="s">
        <v>1657</v>
      </c>
      <c r="B212" s="5" t="s">
        <v>1658</v>
      </c>
      <c r="C212" s="5">
        <v>40</v>
      </c>
      <c r="D212" s="6">
        <v>4843</v>
      </c>
      <c r="E212" s="17">
        <f>VLOOKUP(A212,'forecast data dump'!$A$1:$H$3450,4,FALSE)</f>
        <v>44748</v>
      </c>
      <c r="F212" s="17">
        <f>VLOOKUP(A212,'forecast data dump'!$A$1:$H$3450,5,FALSE)</f>
        <v>44749</v>
      </c>
      <c r="G212" s="42">
        <f>VLOOKUP(A212,'forecast data dump'!$A$1:$H$3450,8,FALSE)</f>
        <v>0</v>
      </c>
      <c r="H212" s="5" t="s">
        <v>3741</v>
      </c>
      <c r="I212" s="39">
        <f t="shared" si="134"/>
        <v>40</v>
      </c>
      <c r="J212" s="5"/>
      <c r="K212" s="5"/>
      <c r="L212" s="33">
        <f t="shared" si="135"/>
        <v>4843</v>
      </c>
      <c r="M212" s="33">
        <f t="shared" si="136"/>
        <v>4843</v>
      </c>
      <c r="N212" s="33">
        <f t="shared" si="137"/>
        <v>0</v>
      </c>
      <c r="T212">
        <v>1</v>
      </c>
      <c r="U212" s="29">
        <f t="shared" si="124"/>
        <v>0</v>
      </c>
      <c r="V212" s="29">
        <f t="shared" si="125"/>
        <v>0</v>
      </c>
      <c r="W212" s="29">
        <f t="shared" si="126"/>
        <v>0</v>
      </c>
      <c r="X212" s="29">
        <f t="shared" si="127"/>
        <v>0</v>
      </c>
      <c r="Y212" s="29">
        <f t="shared" si="128"/>
        <v>0</v>
      </c>
      <c r="Z212" s="29">
        <f t="shared" si="129"/>
        <v>4843</v>
      </c>
    </row>
    <row r="213" spans="1:26" x14ac:dyDescent="0.3">
      <c r="A213" s="5" t="s">
        <v>1657</v>
      </c>
      <c r="B213" s="5" t="s">
        <v>1658</v>
      </c>
      <c r="C213" s="5">
        <v>80</v>
      </c>
      <c r="D213" s="6">
        <v>9686</v>
      </c>
      <c r="E213" s="17">
        <f>VLOOKUP(A213,'forecast data dump'!$A$1:$H$3450,4,FALSE)</f>
        <v>44748</v>
      </c>
      <c r="F213" s="17">
        <f>VLOOKUP(A213,'forecast data dump'!$A$1:$H$3450,5,FALSE)</f>
        <v>44749</v>
      </c>
      <c r="G213" s="42">
        <f>VLOOKUP(A213,'forecast data dump'!$A$1:$H$3450,8,FALSE)</f>
        <v>0</v>
      </c>
      <c r="H213" s="5" t="s">
        <v>3742</v>
      </c>
      <c r="I213" s="39">
        <f t="shared" si="134"/>
        <v>80</v>
      </c>
      <c r="J213" s="5"/>
      <c r="K213" s="5"/>
      <c r="L213" s="33">
        <f t="shared" si="135"/>
        <v>9686</v>
      </c>
      <c r="M213" s="33">
        <f t="shared" si="136"/>
        <v>9686</v>
      </c>
      <c r="N213" s="33">
        <f t="shared" si="137"/>
        <v>0</v>
      </c>
      <c r="T213">
        <v>1</v>
      </c>
      <c r="U213" s="29">
        <f t="shared" si="124"/>
        <v>0</v>
      </c>
      <c r="V213" s="29">
        <f t="shared" si="125"/>
        <v>0</v>
      </c>
      <c r="W213" s="29">
        <f t="shared" si="126"/>
        <v>0</v>
      </c>
      <c r="X213" s="29">
        <f t="shared" si="127"/>
        <v>0</v>
      </c>
      <c r="Y213" s="29">
        <f t="shared" si="128"/>
        <v>0</v>
      </c>
      <c r="Z213" s="29">
        <f t="shared" si="129"/>
        <v>9686</v>
      </c>
    </row>
    <row r="214" spans="1:26" x14ac:dyDescent="0.3">
      <c r="A214" s="5" t="s">
        <v>1659</v>
      </c>
      <c r="B214" s="5" t="s">
        <v>1660</v>
      </c>
      <c r="C214" s="5">
        <v>80</v>
      </c>
      <c r="D214" s="6">
        <v>9686</v>
      </c>
      <c r="E214" s="17">
        <f>VLOOKUP(A214,'forecast data dump'!$A$1:$H$3450,4,FALSE)</f>
        <v>44726</v>
      </c>
      <c r="F214" s="17">
        <f>VLOOKUP(A214,'forecast data dump'!$A$1:$H$3450,5,FALSE)</f>
        <v>44747</v>
      </c>
      <c r="G214" s="42">
        <f>VLOOKUP(A214,'forecast data dump'!$A$1:$H$3450,8,FALSE)</f>
        <v>0</v>
      </c>
      <c r="H214" s="5" t="s">
        <v>3741</v>
      </c>
      <c r="I214" s="39">
        <f t="shared" si="134"/>
        <v>80</v>
      </c>
      <c r="J214" s="5"/>
      <c r="K214" s="5"/>
      <c r="L214" s="33">
        <f t="shared" si="135"/>
        <v>9686</v>
      </c>
      <c r="M214" s="33">
        <f t="shared" si="136"/>
        <v>9686</v>
      </c>
      <c r="N214" s="33">
        <f t="shared" si="137"/>
        <v>0</v>
      </c>
      <c r="T214">
        <v>1</v>
      </c>
      <c r="U214" s="29">
        <f t="shared" si="124"/>
        <v>0</v>
      </c>
      <c r="V214" s="29">
        <f t="shared" si="125"/>
        <v>0</v>
      </c>
      <c r="W214" s="29">
        <f t="shared" si="126"/>
        <v>0</v>
      </c>
      <c r="X214" s="29">
        <f t="shared" si="127"/>
        <v>0</v>
      </c>
      <c r="Y214" s="29">
        <f t="shared" si="128"/>
        <v>0</v>
      </c>
      <c r="Z214" s="29">
        <f t="shared" si="129"/>
        <v>9686</v>
      </c>
    </row>
    <row r="215" spans="1:26" x14ac:dyDescent="0.3">
      <c r="A215" s="5" t="s">
        <v>1659</v>
      </c>
      <c r="B215" s="5" t="s">
        <v>1660</v>
      </c>
      <c r="C215" s="5">
        <v>160</v>
      </c>
      <c r="D215" s="6">
        <v>34952</v>
      </c>
      <c r="E215" s="17">
        <f>VLOOKUP(A215,'forecast data dump'!$A$1:$H$3450,4,FALSE)</f>
        <v>44726</v>
      </c>
      <c r="F215" s="17">
        <f>VLOOKUP(A215,'forecast data dump'!$A$1:$H$3450,5,FALSE)</f>
        <v>44747</v>
      </c>
      <c r="G215" s="42">
        <f>VLOOKUP(A215,'forecast data dump'!$A$1:$H$3450,8,FALSE)</f>
        <v>0</v>
      </c>
      <c r="H215" s="5" t="s">
        <v>3732</v>
      </c>
      <c r="I215" s="39">
        <f t="shared" si="134"/>
        <v>160</v>
      </c>
      <c r="J215" s="5"/>
      <c r="K215" s="5"/>
      <c r="L215" s="33">
        <f t="shared" si="135"/>
        <v>34952</v>
      </c>
      <c r="M215" s="33">
        <f t="shared" si="136"/>
        <v>34952</v>
      </c>
      <c r="N215" s="33">
        <f t="shared" si="137"/>
        <v>0</v>
      </c>
      <c r="T215">
        <v>1</v>
      </c>
      <c r="U215" s="29">
        <f t="shared" si="124"/>
        <v>0</v>
      </c>
      <c r="V215" s="29">
        <f t="shared" si="125"/>
        <v>0</v>
      </c>
      <c r="W215" s="29">
        <f t="shared" si="126"/>
        <v>0</v>
      </c>
      <c r="X215" s="29">
        <f t="shared" si="127"/>
        <v>0</v>
      </c>
      <c r="Y215" s="29">
        <f t="shared" si="128"/>
        <v>0</v>
      </c>
      <c r="Z215" s="29">
        <f t="shared" si="129"/>
        <v>34952</v>
      </c>
    </row>
    <row r="216" spans="1:26" x14ac:dyDescent="0.3">
      <c r="A216" s="5" t="s">
        <v>1659</v>
      </c>
      <c r="B216" s="5" t="s">
        <v>1660</v>
      </c>
      <c r="C216" s="5">
        <v>80</v>
      </c>
      <c r="D216" s="6">
        <v>10737</v>
      </c>
      <c r="E216" s="17">
        <f>VLOOKUP(A216,'forecast data dump'!$A$1:$H$3450,4,FALSE)</f>
        <v>44726</v>
      </c>
      <c r="F216" s="17">
        <f>VLOOKUP(A216,'forecast data dump'!$A$1:$H$3450,5,FALSE)</f>
        <v>44747</v>
      </c>
      <c r="G216" s="42">
        <f>VLOOKUP(A216,'forecast data dump'!$A$1:$H$3450,8,FALSE)</f>
        <v>0</v>
      </c>
      <c r="H216" s="5" t="s">
        <v>3746</v>
      </c>
      <c r="I216" s="39">
        <f t="shared" si="134"/>
        <v>80</v>
      </c>
      <c r="J216" s="5"/>
      <c r="K216" s="5"/>
      <c r="L216" s="33">
        <f t="shared" si="135"/>
        <v>10737</v>
      </c>
      <c r="M216" s="33">
        <f t="shared" si="136"/>
        <v>10737</v>
      </c>
      <c r="N216" s="33">
        <f t="shared" si="137"/>
        <v>0</v>
      </c>
      <c r="T216">
        <v>1</v>
      </c>
      <c r="U216" s="29">
        <f t="shared" si="124"/>
        <v>0</v>
      </c>
      <c r="V216" s="29">
        <f t="shared" si="125"/>
        <v>0</v>
      </c>
      <c r="W216" s="29">
        <f t="shared" si="126"/>
        <v>0</v>
      </c>
      <c r="X216" s="29">
        <f t="shared" si="127"/>
        <v>0</v>
      </c>
      <c r="Y216" s="29">
        <f t="shared" si="128"/>
        <v>0</v>
      </c>
      <c r="Z216" s="29">
        <f t="shared" si="129"/>
        <v>10737</v>
      </c>
    </row>
    <row r="217" spans="1:26" x14ac:dyDescent="0.3">
      <c r="A217" s="5" t="s">
        <v>1659</v>
      </c>
      <c r="B217" s="5" t="s">
        <v>1660</v>
      </c>
      <c r="C217" s="5">
        <v>160</v>
      </c>
      <c r="D217" s="6">
        <v>19372</v>
      </c>
      <c r="E217" s="17">
        <f>VLOOKUP(A217,'forecast data dump'!$A$1:$H$3450,4,FALSE)</f>
        <v>44726</v>
      </c>
      <c r="F217" s="17">
        <f>VLOOKUP(A217,'forecast data dump'!$A$1:$H$3450,5,FALSE)</f>
        <v>44747</v>
      </c>
      <c r="G217" s="42">
        <f>VLOOKUP(A217,'forecast data dump'!$A$1:$H$3450,8,FALSE)</f>
        <v>0</v>
      </c>
      <c r="H217" s="5" t="s">
        <v>3742</v>
      </c>
      <c r="I217" s="39">
        <f t="shared" si="134"/>
        <v>160</v>
      </c>
      <c r="J217" s="5"/>
      <c r="K217" s="5"/>
      <c r="L217" s="33">
        <f t="shared" si="135"/>
        <v>19372</v>
      </c>
      <c r="M217" s="33">
        <f t="shared" si="136"/>
        <v>19372</v>
      </c>
      <c r="N217" s="33">
        <f t="shared" si="137"/>
        <v>0</v>
      </c>
      <c r="T217">
        <v>1</v>
      </c>
      <c r="U217" s="29">
        <f t="shared" si="124"/>
        <v>0</v>
      </c>
      <c r="V217" s="29">
        <f t="shared" si="125"/>
        <v>0</v>
      </c>
      <c r="W217" s="29">
        <f t="shared" si="126"/>
        <v>0</v>
      </c>
      <c r="X217" s="29">
        <f t="shared" si="127"/>
        <v>0</v>
      </c>
      <c r="Y217" s="29">
        <f t="shared" si="128"/>
        <v>0</v>
      </c>
      <c r="Z217" s="29">
        <f t="shared" si="129"/>
        <v>19372</v>
      </c>
    </row>
    <row r="218" spans="1:26" x14ac:dyDescent="0.3">
      <c r="A218" s="5" t="s">
        <v>1661</v>
      </c>
      <c r="B218" s="5" t="s">
        <v>1662</v>
      </c>
      <c r="C218" s="5">
        <v>8</v>
      </c>
      <c r="D218" s="6">
        <v>1697</v>
      </c>
      <c r="E218" s="17" t="str">
        <f>VLOOKUP(A218,'forecast data dump'!$A$1:$H$3450,4,FALSE)</f>
        <v>22-Feb-21 A</v>
      </c>
      <c r="F218" s="17">
        <f>VLOOKUP(A218,'forecast data dump'!$A$1:$H$3450,5,FALSE)</f>
        <v>44474</v>
      </c>
      <c r="G218" s="42">
        <f>VLOOKUP(A218,'forecast data dump'!$A$1:$H$3450,8,FALSE)</f>
        <v>0.2</v>
      </c>
      <c r="H218" s="5" t="s">
        <v>3732</v>
      </c>
      <c r="I218" s="39">
        <f t="shared" si="134"/>
        <v>6.4</v>
      </c>
      <c r="J218" s="5"/>
      <c r="K218" s="5"/>
      <c r="L218" s="33">
        <f t="shared" si="135"/>
        <v>1357.6000000000001</v>
      </c>
      <c r="M218" s="33">
        <f t="shared" si="136"/>
        <v>1357.6000000000001</v>
      </c>
      <c r="N218" s="33">
        <f t="shared" si="137"/>
        <v>0</v>
      </c>
      <c r="R218">
        <v>1</v>
      </c>
      <c r="U218" s="29">
        <f t="shared" si="124"/>
        <v>0</v>
      </c>
      <c r="V218" s="29">
        <f t="shared" si="125"/>
        <v>0</v>
      </c>
      <c r="W218" s="29">
        <f t="shared" si="126"/>
        <v>0</v>
      </c>
      <c r="X218" s="29">
        <f t="shared" si="127"/>
        <v>1357.6000000000001</v>
      </c>
      <c r="Y218" s="29">
        <f t="shared" si="128"/>
        <v>0</v>
      </c>
      <c r="Z218" s="29">
        <f t="shared" si="129"/>
        <v>0</v>
      </c>
    </row>
    <row r="219" spans="1:26" x14ac:dyDescent="0.3">
      <c r="A219" s="5" t="s">
        <v>1663</v>
      </c>
      <c r="B219" s="5" t="s">
        <v>1664</v>
      </c>
      <c r="C219" s="5">
        <v>32</v>
      </c>
      <c r="D219" s="6">
        <v>6787</v>
      </c>
      <c r="E219" s="17" t="str">
        <f>VLOOKUP(A219,'forecast data dump'!$A$1:$H$3450,4,FALSE)</f>
        <v>01-Oct-20 A</v>
      </c>
      <c r="F219" s="17">
        <f>VLOOKUP(A219,'forecast data dump'!$A$1:$H$3450,5,FALSE)</f>
        <v>44468</v>
      </c>
      <c r="G219" s="42">
        <f>VLOOKUP(A219,'forecast data dump'!$A$1:$H$3450,8,FALSE)</f>
        <v>0.6</v>
      </c>
      <c r="H219" s="5" t="s">
        <v>3732</v>
      </c>
      <c r="I219" s="39">
        <f t="shared" si="134"/>
        <v>12.8</v>
      </c>
      <c r="J219" s="5"/>
      <c r="K219" s="5"/>
      <c r="L219" s="33">
        <f t="shared" si="135"/>
        <v>2714.8</v>
      </c>
      <c r="M219" s="33">
        <f t="shared" si="136"/>
        <v>2714.8</v>
      </c>
      <c r="N219" s="33">
        <f t="shared" si="137"/>
        <v>0</v>
      </c>
      <c r="R219">
        <v>1</v>
      </c>
      <c r="U219" s="29">
        <f t="shared" si="124"/>
        <v>0</v>
      </c>
      <c r="V219" s="29">
        <f t="shared" si="125"/>
        <v>0</v>
      </c>
      <c r="W219" s="29">
        <f t="shared" si="126"/>
        <v>0</v>
      </c>
      <c r="X219" s="29">
        <f t="shared" si="127"/>
        <v>2714.8</v>
      </c>
      <c r="Y219" s="29">
        <f t="shared" si="128"/>
        <v>0</v>
      </c>
      <c r="Z219" s="29">
        <f t="shared" si="129"/>
        <v>0</v>
      </c>
    </row>
    <row r="220" spans="1:26" x14ac:dyDescent="0.3">
      <c r="A220" s="5" t="s">
        <v>1665</v>
      </c>
      <c r="B220" s="5" t="s">
        <v>1666</v>
      </c>
      <c r="C220" s="5">
        <v>100</v>
      </c>
      <c r="D220" s="6">
        <v>21208</v>
      </c>
      <c r="E220" s="17" t="str">
        <f>VLOOKUP(A220,'forecast data dump'!$A$1:$H$3450,4,FALSE)</f>
        <v>30-Oct-20 A</v>
      </c>
      <c r="F220" s="17">
        <f>VLOOKUP(A220,'forecast data dump'!$A$1:$H$3450,5,FALSE)</f>
        <v>44530</v>
      </c>
      <c r="G220" s="42">
        <f>VLOOKUP(A220,'forecast data dump'!$A$1:$H$3450,8,FALSE)</f>
        <v>0.5</v>
      </c>
      <c r="H220" s="5" t="s">
        <v>3732</v>
      </c>
      <c r="I220" s="39">
        <f t="shared" si="134"/>
        <v>50</v>
      </c>
      <c r="J220" s="5"/>
      <c r="K220" s="5"/>
      <c r="L220" s="33">
        <f t="shared" si="135"/>
        <v>10604</v>
      </c>
      <c r="M220" s="33">
        <f t="shared" si="136"/>
        <v>10604</v>
      </c>
      <c r="N220" s="33">
        <f t="shared" si="137"/>
        <v>0</v>
      </c>
      <c r="R220">
        <v>1</v>
      </c>
      <c r="U220" s="29">
        <f t="shared" si="124"/>
        <v>0</v>
      </c>
      <c r="V220" s="29">
        <f t="shared" si="125"/>
        <v>0</v>
      </c>
      <c r="W220" s="29">
        <f t="shared" si="126"/>
        <v>0</v>
      </c>
      <c r="X220" s="29">
        <f t="shared" si="127"/>
        <v>10604</v>
      </c>
      <c r="Y220" s="29">
        <f t="shared" si="128"/>
        <v>0</v>
      </c>
      <c r="Z220" s="29">
        <f t="shared" si="129"/>
        <v>0</v>
      </c>
    </row>
    <row r="221" spans="1:26" x14ac:dyDescent="0.3">
      <c r="A221" s="5" t="s">
        <v>1667</v>
      </c>
      <c r="B221" s="5" t="s">
        <v>1668</v>
      </c>
      <c r="C221" s="5">
        <v>63000</v>
      </c>
      <c r="D221" s="6">
        <v>73123</v>
      </c>
      <c r="E221" s="17">
        <f>VLOOKUP(A221,'forecast data dump'!$A$1:$H$3450,4,FALSE)</f>
        <v>44469</v>
      </c>
      <c r="F221" s="17">
        <f>VLOOKUP(A221,'forecast data dump'!$A$1:$H$3450,5,FALSE)</f>
        <v>44620</v>
      </c>
      <c r="G221" s="42">
        <f>VLOOKUP(A221,'forecast data dump'!$A$1:$H$3450,8,FALSE)</f>
        <v>0</v>
      </c>
      <c r="H221" s="5" t="s">
        <v>3762</v>
      </c>
      <c r="I221" s="39">
        <f t="shared" si="134"/>
        <v>63000</v>
      </c>
      <c r="J221" s="5"/>
      <c r="K221" s="5"/>
      <c r="L221" s="33">
        <f t="shared" si="135"/>
        <v>73123</v>
      </c>
      <c r="M221" s="33">
        <f t="shared" si="136"/>
        <v>73123</v>
      </c>
      <c r="N221" s="33">
        <f t="shared" si="137"/>
        <v>0</v>
      </c>
      <c r="Q221">
        <v>1</v>
      </c>
      <c r="U221" s="29">
        <f t="shared" si="124"/>
        <v>0</v>
      </c>
      <c r="V221" s="29">
        <f t="shared" si="125"/>
        <v>0</v>
      </c>
      <c r="W221" s="29">
        <f t="shared" si="126"/>
        <v>73123</v>
      </c>
      <c r="X221" s="29">
        <f t="shared" si="127"/>
        <v>0</v>
      </c>
      <c r="Y221" s="29">
        <f t="shared" si="128"/>
        <v>0</v>
      </c>
      <c r="Z221" s="29">
        <f t="shared" si="129"/>
        <v>0</v>
      </c>
    </row>
    <row r="222" spans="1:26" x14ac:dyDescent="0.3">
      <c r="A222" s="5" t="s">
        <v>1669</v>
      </c>
      <c r="B222" s="5" t="s">
        <v>1670</v>
      </c>
      <c r="C222" s="5">
        <v>60</v>
      </c>
      <c r="D222" s="6">
        <v>9101</v>
      </c>
      <c r="E222" s="17" t="str">
        <f>VLOOKUP(A222,'forecast data dump'!$A$1:$H$3450,4,FALSE)</f>
        <v>23-Nov-20 A</v>
      </c>
      <c r="F222" s="17">
        <f>VLOOKUP(A222,'forecast data dump'!$A$1:$H$3450,5,FALSE)</f>
        <v>44470</v>
      </c>
      <c r="G222" s="42">
        <f>VLOOKUP(A222,'forecast data dump'!$A$1:$H$3450,8,FALSE)</f>
        <v>0.35</v>
      </c>
      <c r="H222" s="5" t="s">
        <v>3733</v>
      </c>
      <c r="I222" s="39">
        <f t="shared" si="134"/>
        <v>39</v>
      </c>
      <c r="J222" s="5"/>
      <c r="K222" s="5"/>
      <c r="L222" s="33">
        <f t="shared" si="135"/>
        <v>5915.6500000000005</v>
      </c>
      <c r="M222" s="33">
        <f t="shared" si="136"/>
        <v>5915.6500000000005</v>
      </c>
      <c r="N222" s="33">
        <f t="shared" si="137"/>
        <v>0</v>
      </c>
      <c r="T222">
        <v>1</v>
      </c>
      <c r="U222" s="29">
        <f t="shared" si="124"/>
        <v>0</v>
      </c>
      <c r="V222" s="29">
        <f t="shared" si="125"/>
        <v>0</v>
      </c>
      <c r="W222" s="29">
        <f t="shared" si="126"/>
        <v>0</v>
      </c>
      <c r="X222" s="29">
        <f t="shared" si="127"/>
        <v>0</v>
      </c>
      <c r="Y222" s="29">
        <f t="shared" si="128"/>
        <v>0</v>
      </c>
      <c r="Z222" s="29">
        <f t="shared" si="129"/>
        <v>5915.6500000000005</v>
      </c>
    </row>
    <row r="223" spans="1:26" x14ac:dyDescent="0.3">
      <c r="A223" s="5" t="s">
        <v>1669</v>
      </c>
      <c r="B223" s="5" t="s">
        <v>1670</v>
      </c>
      <c r="C223" s="5">
        <v>30</v>
      </c>
      <c r="D223" s="6">
        <v>3526</v>
      </c>
      <c r="E223" s="17" t="str">
        <f>VLOOKUP(A223,'forecast data dump'!$A$1:$H$3450,4,FALSE)</f>
        <v>23-Nov-20 A</v>
      </c>
      <c r="F223" s="17">
        <f>VLOOKUP(A223,'forecast data dump'!$A$1:$H$3450,5,FALSE)</f>
        <v>44470</v>
      </c>
      <c r="G223" s="42">
        <f>VLOOKUP(A223,'forecast data dump'!$A$1:$H$3450,8,FALSE)</f>
        <v>0.35</v>
      </c>
      <c r="H223" s="5" t="s">
        <v>3745</v>
      </c>
      <c r="I223" s="39">
        <f t="shared" si="134"/>
        <v>19.5</v>
      </c>
      <c r="J223" s="5"/>
      <c r="K223" s="5"/>
      <c r="L223" s="33">
        <f t="shared" si="135"/>
        <v>2291.9</v>
      </c>
      <c r="M223" s="33">
        <f t="shared" si="136"/>
        <v>2291.9</v>
      </c>
      <c r="N223" s="33">
        <f t="shared" si="137"/>
        <v>0</v>
      </c>
      <c r="T223">
        <v>1</v>
      </c>
      <c r="U223" s="29">
        <f t="shared" si="124"/>
        <v>0</v>
      </c>
      <c r="V223" s="29">
        <f t="shared" si="125"/>
        <v>0</v>
      </c>
      <c r="W223" s="29">
        <f t="shared" si="126"/>
        <v>0</v>
      </c>
      <c r="X223" s="29">
        <f t="shared" si="127"/>
        <v>0</v>
      </c>
      <c r="Y223" s="29">
        <f t="shared" si="128"/>
        <v>0</v>
      </c>
      <c r="Z223" s="29">
        <f t="shared" si="129"/>
        <v>2291.9</v>
      </c>
    </row>
    <row r="224" spans="1:26" x14ac:dyDescent="0.3">
      <c r="A224" s="5" t="s">
        <v>1671</v>
      </c>
      <c r="B224" s="5" t="s">
        <v>1672</v>
      </c>
      <c r="C224" s="5">
        <v>16</v>
      </c>
      <c r="D224" s="6">
        <v>2427</v>
      </c>
      <c r="E224" s="17">
        <f>VLOOKUP(A224,'forecast data dump'!$A$1:$H$3450,4,FALSE)</f>
        <v>44469</v>
      </c>
      <c r="F224" s="17">
        <f>VLOOKUP(A224,'forecast data dump'!$A$1:$H$3450,5,FALSE)</f>
        <v>44475</v>
      </c>
      <c r="G224" s="42">
        <f>VLOOKUP(A224,'forecast data dump'!$A$1:$H$3450,8,FALSE)</f>
        <v>0</v>
      </c>
      <c r="H224" s="5" t="s">
        <v>3733</v>
      </c>
      <c r="I224" s="39">
        <f t="shared" si="134"/>
        <v>16</v>
      </c>
      <c r="J224" s="5"/>
      <c r="K224" s="5"/>
      <c r="L224" s="33">
        <f t="shared" si="135"/>
        <v>2427</v>
      </c>
      <c r="M224" s="33">
        <f t="shared" si="136"/>
        <v>2427</v>
      </c>
      <c r="N224" s="33">
        <f t="shared" si="137"/>
        <v>0</v>
      </c>
      <c r="T224">
        <v>1</v>
      </c>
      <c r="U224" s="29">
        <f t="shared" si="124"/>
        <v>0</v>
      </c>
      <c r="V224" s="29">
        <f t="shared" si="125"/>
        <v>0</v>
      </c>
      <c r="W224" s="29">
        <f t="shared" si="126"/>
        <v>0</v>
      </c>
      <c r="X224" s="29">
        <f t="shared" si="127"/>
        <v>0</v>
      </c>
      <c r="Y224" s="29">
        <f t="shared" si="128"/>
        <v>0</v>
      </c>
      <c r="Z224" s="29">
        <f t="shared" si="129"/>
        <v>2427</v>
      </c>
    </row>
    <row r="225" spans="1:27" x14ac:dyDescent="0.3">
      <c r="A225" s="5" t="s">
        <v>1671</v>
      </c>
      <c r="B225" s="5" t="s">
        <v>1672</v>
      </c>
      <c r="C225" s="5">
        <v>16</v>
      </c>
      <c r="D225" s="6">
        <v>1881</v>
      </c>
      <c r="E225" s="17">
        <f>VLOOKUP(A225,'forecast data dump'!$A$1:$H$3450,4,FALSE)</f>
        <v>44469</v>
      </c>
      <c r="F225" s="17">
        <f>VLOOKUP(A225,'forecast data dump'!$A$1:$H$3450,5,FALSE)</f>
        <v>44475</v>
      </c>
      <c r="G225" s="42">
        <f>VLOOKUP(A225,'forecast data dump'!$A$1:$H$3450,8,FALSE)</f>
        <v>0</v>
      </c>
      <c r="H225" s="5" t="s">
        <v>3745</v>
      </c>
      <c r="I225" s="39">
        <f t="shared" si="134"/>
        <v>16</v>
      </c>
      <c r="J225" s="5"/>
      <c r="K225" s="5"/>
      <c r="L225" s="33">
        <f t="shared" si="135"/>
        <v>1881</v>
      </c>
      <c r="M225" s="33">
        <f t="shared" si="136"/>
        <v>1881</v>
      </c>
      <c r="N225" s="33">
        <f t="shared" si="137"/>
        <v>0</v>
      </c>
      <c r="T225">
        <v>1</v>
      </c>
      <c r="U225" s="29">
        <f t="shared" si="124"/>
        <v>0</v>
      </c>
      <c r="V225" s="29">
        <f t="shared" si="125"/>
        <v>0</v>
      </c>
      <c r="W225" s="29">
        <f t="shared" si="126"/>
        <v>0</v>
      </c>
      <c r="X225" s="29">
        <f t="shared" si="127"/>
        <v>0</v>
      </c>
      <c r="Y225" s="29">
        <f t="shared" si="128"/>
        <v>0</v>
      </c>
      <c r="Z225" s="29">
        <f t="shared" si="129"/>
        <v>1881</v>
      </c>
    </row>
    <row r="226" spans="1:27" x14ac:dyDescent="0.3">
      <c r="A226" s="5" t="s">
        <v>1671</v>
      </c>
      <c r="B226" s="5" t="s">
        <v>1672</v>
      </c>
      <c r="C226" s="5">
        <v>10</v>
      </c>
      <c r="D226" s="6">
        <v>2121</v>
      </c>
      <c r="E226" s="17">
        <f>VLOOKUP(A226,'forecast data dump'!$A$1:$H$3450,4,FALSE)</f>
        <v>44469</v>
      </c>
      <c r="F226" s="17">
        <f>VLOOKUP(A226,'forecast data dump'!$A$1:$H$3450,5,FALSE)</f>
        <v>44475</v>
      </c>
      <c r="G226" s="42">
        <f>VLOOKUP(A226,'forecast data dump'!$A$1:$H$3450,8,FALSE)</f>
        <v>0</v>
      </c>
      <c r="H226" s="5" t="s">
        <v>3732</v>
      </c>
      <c r="I226" s="39">
        <f t="shared" si="134"/>
        <v>10</v>
      </c>
      <c r="J226" s="5"/>
      <c r="K226" s="5"/>
      <c r="L226" s="33">
        <f t="shared" si="135"/>
        <v>2121</v>
      </c>
      <c r="M226" s="33">
        <f t="shared" si="136"/>
        <v>2121</v>
      </c>
      <c r="N226" s="33">
        <f t="shared" si="137"/>
        <v>0</v>
      </c>
      <c r="T226">
        <v>1</v>
      </c>
      <c r="U226" s="29">
        <f t="shared" si="124"/>
        <v>0</v>
      </c>
      <c r="V226" s="29">
        <f t="shared" si="125"/>
        <v>0</v>
      </c>
      <c r="W226" s="29">
        <f t="shared" si="126"/>
        <v>0</v>
      </c>
      <c r="X226" s="29">
        <f t="shared" si="127"/>
        <v>0</v>
      </c>
      <c r="Y226" s="29">
        <f t="shared" si="128"/>
        <v>0</v>
      </c>
      <c r="Z226" s="29">
        <f t="shared" si="129"/>
        <v>2121</v>
      </c>
    </row>
    <row r="227" spans="1:27" x14ac:dyDescent="0.3">
      <c r="A227" s="5" t="s">
        <v>1673</v>
      </c>
      <c r="B227" s="5" t="s">
        <v>1674</v>
      </c>
      <c r="C227" s="5">
        <v>32</v>
      </c>
      <c r="D227" s="6">
        <v>3761</v>
      </c>
      <c r="E227" s="17" t="str">
        <f>VLOOKUP(A227,'forecast data dump'!$A$1:$H$3450,4,FALSE)</f>
        <v>08-Mar-21 A</v>
      </c>
      <c r="F227" s="17">
        <f>VLOOKUP(A227,'forecast data dump'!$A$1:$H$3450,5,FALSE)</f>
        <v>44490</v>
      </c>
      <c r="G227" s="42">
        <f>VLOOKUP(A227,'forecast data dump'!$A$1:$H$3450,8,FALSE)</f>
        <v>0.05</v>
      </c>
      <c r="H227" s="5" t="s">
        <v>3741</v>
      </c>
      <c r="I227" s="39">
        <f t="shared" si="134"/>
        <v>30.4</v>
      </c>
      <c r="J227" s="5"/>
      <c r="K227" s="5"/>
      <c r="L227" s="33">
        <f t="shared" si="135"/>
        <v>3572.95</v>
      </c>
      <c r="M227" s="33">
        <f t="shared" si="136"/>
        <v>3572.95</v>
      </c>
      <c r="N227" s="33">
        <f t="shared" si="137"/>
        <v>0</v>
      </c>
      <c r="T227">
        <v>1</v>
      </c>
      <c r="U227" s="29">
        <f t="shared" si="124"/>
        <v>0</v>
      </c>
      <c r="V227" s="29">
        <f t="shared" si="125"/>
        <v>0</v>
      </c>
      <c r="W227" s="29">
        <f t="shared" si="126"/>
        <v>0</v>
      </c>
      <c r="X227" s="29">
        <f t="shared" si="127"/>
        <v>0</v>
      </c>
      <c r="Y227" s="29">
        <f t="shared" si="128"/>
        <v>0</v>
      </c>
      <c r="Z227" s="29">
        <f t="shared" si="129"/>
        <v>3572.95</v>
      </c>
    </row>
    <row r="228" spans="1:27" x14ac:dyDescent="0.3">
      <c r="A228" s="5" t="s">
        <v>1675</v>
      </c>
      <c r="B228" s="5" t="s">
        <v>1676</v>
      </c>
      <c r="C228" s="5">
        <v>16</v>
      </c>
      <c r="D228" s="6">
        <v>3495</v>
      </c>
      <c r="E228" s="17" t="str">
        <f>VLOOKUP(A228,'forecast data dump'!$A$1:$H$3450,4,FALSE)</f>
        <v>08-Jul-22*</v>
      </c>
      <c r="F228" s="17">
        <f>VLOOKUP(A228,'forecast data dump'!$A$1:$H$3450,5,FALSE)</f>
        <v>44777</v>
      </c>
      <c r="G228" s="42">
        <f>VLOOKUP(A228,'forecast data dump'!$A$1:$H$3450,8,FALSE)</f>
        <v>0</v>
      </c>
      <c r="H228" s="5" t="s">
        <v>3732</v>
      </c>
      <c r="I228" s="39">
        <f t="shared" si="134"/>
        <v>16</v>
      </c>
      <c r="J228" s="5"/>
      <c r="K228" s="5"/>
      <c r="L228" s="33">
        <f t="shared" si="135"/>
        <v>3495</v>
      </c>
      <c r="M228" s="33">
        <f t="shared" si="136"/>
        <v>3495</v>
      </c>
      <c r="N228" s="33">
        <f t="shared" si="137"/>
        <v>0</v>
      </c>
      <c r="T228">
        <v>1</v>
      </c>
      <c r="U228" s="29">
        <f t="shared" si="124"/>
        <v>0</v>
      </c>
      <c r="V228" s="29">
        <f t="shared" si="125"/>
        <v>0</v>
      </c>
      <c r="W228" s="29">
        <f t="shared" si="126"/>
        <v>0</v>
      </c>
      <c r="X228" s="29">
        <f t="shared" si="127"/>
        <v>0</v>
      </c>
      <c r="Y228" s="29">
        <f t="shared" si="128"/>
        <v>0</v>
      </c>
      <c r="Z228" s="29">
        <f t="shared" si="129"/>
        <v>3495</v>
      </c>
    </row>
    <row r="229" spans="1:27" x14ac:dyDescent="0.3">
      <c r="A229" s="3" t="s">
        <v>7873</v>
      </c>
      <c r="B229" s="3"/>
      <c r="C229" s="3"/>
      <c r="D229" s="4"/>
      <c r="E229" s="15"/>
      <c r="F229" s="15"/>
      <c r="G229" s="41"/>
      <c r="H229" s="3"/>
      <c r="I229" s="38"/>
      <c r="J229" s="3"/>
      <c r="K229" s="3"/>
      <c r="L229" s="32"/>
      <c r="M229" s="32"/>
      <c r="N229" s="32"/>
      <c r="U229" s="29"/>
      <c r="V229" s="29"/>
      <c r="W229" s="29"/>
      <c r="X229" s="29"/>
      <c r="Y229" s="29"/>
      <c r="Z229" s="29"/>
      <c r="AA229" s="109">
        <f>SUM(U230:U269)</f>
        <v>0</v>
      </c>
    </row>
    <row r="230" spans="1:27" x14ac:dyDescent="0.3">
      <c r="A230" s="5" t="s">
        <v>3248</v>
      </c>
      <c r="B230" s="5" t="s">
        <v>3249</v>
      </c>
      <c r="C230" s="5">
        <v>120</v>
      </c>
      <c r="D230" s="6">
        <v>13695</v>
      </c>
      <c r="E230" s="17" t="str">
        <f>VLOOKUP(A230,'forecast data dump'!$A$1:$H$3450,4,FALSE)</f>
        <v>17-Dec-19 A</v>
      </c>
      <c r="F230" s="17">
        <f>VLOOKUP(A230,'forecast data dump'!$A$1:$H$3450,5,FALSE)</f>
        <v>44393</v>
      </c>
      <c r="G230" s="42">
        <f>VLOOKUP(A230,'forecast data dump'!$A$1:$H$3450,8,FALSE)</f>
        <v>0.95</v>
      </c>
      <c r="H230" s="5" t="s">
        <v>3745</v>
      </c>
      <c r="I230" s="39">
        <f t="shared" ref="I230:I269" si="138">C230*(1-G230)</f>
        <v>6.0000000000000053</v>
      </c>
      <c r="J230" s="5"/>
      <c r="K230" s="5"/>
      <c r="L230" s="33">
        <f t="shared" ref="L230:L269" si="139">D230*(1-G230)</f>
        <v>684.75000000000057</v>
      </c>
      <c r="M230" s="33">
        <f t="shared" ref="M230:M269" si="140">IF(J230="",L230,(D230/C230)*J230)</f>
        <v>684.75000000000057</v>
      </c>
      <c r="N230" s="33">
        <f t="shared" ref="N230:N269" si="141">L230-M230</f>
        <v>0</v>
      </c>
      <c r="R230">
        <v>1</v>
      </c>
      <c r="U230" s="29">
        <f t="shared" si="124"/>
        <v>0</v>
      </c>
      <c r="V230" s="29">
        <f t="shared" si="125"/>
        <v>0</v>
      </c>
      <c r="W230" s="29">
        <f t="shared" si="126"/>
        <v>0</v>
      </c>
      <c r="X230" s="29">
        <f t="shared" si="127"/>
        <v>684.75000000000057</v>
      </c>
      <c r="Y230" s="29">
        <f t="shared" si="128"/>
        <v>0</v>
      </c>
      <c r="Z230" s="29">
        <f t="shared" si="129"/>
        <v>0</v>
      </c>
      <c r="AA230" s="103" t="s">
        <v>8359</v>
      </c>
    </row>
    <row r="231" spans="1:27" x14ac:dyDescent="0.3">
      <c r="A231" s="5" t="s">
        <v>3250</v>
      </c>
      <c r="B231" s="5" t="s">
        <v>3251</v>
      </c>
      <c r="C231" s="5">
        <v>20</v>
      </c>
      <c r="D231" s="6">
        <v>2282</v>
      </c>
      <c r="E231" s="17">
        <f>VLOOKUP(A231,'forecast data dump'!$A$1:$H$3450,4,FALSE)</f>
        <v>44396</v>
      </c>
      <c r="F231" s="17">
        <f>VLOOKUP(A231,'forecast data dump'!$A$1:$H$3450,5,FALSE)</f>
        <v>44400</v>
      </c>
      <c r="G231" s="42">
        <f>VLOOKUP(A231,'forecast data dump'!$A$1:$H$3450,8,FALSE)</f>
        <v>0</v>
      </c>
      <c r="H231" s="5" t="s">
        <v>3745</v>
      </c>
      <c r="I231" s="39">
        <f t="shared" si="138"/>
        <v>20</v>
      </c>
      <c r="J231" s="5"/>
      <c r="K231" s="5"/>
      <c r="L231" s="33">
        <f t="shared" si="139"/>
        <v>2282</v>
      </c>
      <c r="M231" s="33">
        <f t="shared" si="140"/>
        <v>2282</v>
      </c>
      <c r="N231" s="33">
        <f t="shared" si="141"/>
        <v>0</v>
      </c>
      <c r="T231">
        <v>1</v>
      </c>
      <c r="U231" s="29">
        <f t="shared" si="124"/>
        <v>0</v>
      </c>
      <c r="V231" s="29">
        <f t="shared" si="125"/>
        <v>0</v>
      </c>
      <c r="W231" s="29">
        <f t="shared" si="126"/>
        <v>0</v>
      </c>
      <c r="X231" s="29">
        <f t="shared" si="127"/>
        <v>0</v>
      </c>
      <c r="Y231" s="29">
        <f t="shared" si="128"/>
        <v>0</v>
      </c>
      <c r="Z231" s="29">
        <f t="shared" si="129"/>
        <v>2282</v>
      </c>
      <c r="AA231" s="103" t="s">
        <v>8360</v>
      </c>
    </row>
    <row r="232" spans="1:27" x14ac:dyDescent="0.3">
      <c r="A232" s="5" t="s">
        <v>3252</v>
      </c>
      <c r="B232" s="5" t="s">
        <v>3253</v>
      </c>
      <c r="C232" s="5">
        <v>20</v>
      </c>
      <c r="D232" s="6">
        <v>2282</v>
      </c>
      <c r="E232" s="17">
        <f>VLOOKUP(A232,'forecast data dump'!$A$1:$H$3450,4,FALSE)</f>
        <v>44403</v>
      </c>
      <c r="F232" s="17">
        <f>VLOOKUP(A232,'forecast data dump'!$A$1:$H$3450,5,FALSE)</f>
        <v>44407</v>
      </c>
      <c r="G232" s="42">
        <f>VLOOKUP(A232,'forecast data dump'!$A$1:$H$3450,8,FALSE)</f>
        <v>0</v>
      </c>
      <c r="H232" s="5" t="s">
        <v>3745</v>
      </c>
      <c r="I232" s="39">
        <f t="shared" si="138"/>
        <v>20</v>
      </c>
      <c r="J232" s="5"/>
      <c r="K232" s="5"/>
      <c r="L232" s="33">
        <f t="shared" si="139"/>
        <v>2282</v>
      </c>
      <c r="M232" s="33">
        <f t="shared" si="140"/>
        <v>2282</v>
      </c>
      <c r="N232" s="33">
        <f t="shared" si="141"/>
        <v>0</v>
      </c>
      <c r="T232">
        <v>1</v>
      </c>
      <c r="U232" s="29">
        <f t="shared" si="124"/>
        <v>0</v>
      </c>
      <c r="V232" s="29">
        <f t="shared" si="125"/>
        <v>0</v>
      </c>
      <c r="W232" s="29">
        <f t="shared" si="126"/>
        <v>0</v>
      </c>
      <c r="X232" s="29">
        <f t="shared" si="127"/>
        <v>0</v>
      </c>
      <c r="Y232" s="29">
        <f t="shared" si="128"/>
        <v>0</v>
      </c>
      <c r="Z232" s="29">
        <f t="shared" si="129"/>
        <v>2282</v>
      </c>
    </row>
    <row r="233" spans="1:27" x14ac:dyDescent="0.3">
      <c r="A233" s="5" t="s">
        <v>3254</v>
      </c>
      <c r="B233" s="5" t="s">
        <v>3255</v>
      </c>
      <c r="C233" s="5">
        <v>20</v>
      </c>
      <c r="D233" s="6">
        <v>2282</v>
      </c>
      <c r="E233" s="17">
        <f>VLOOKUP(A233,'forecast data dump'!$A$1:$H$3450,4,FALSE)</f>
        <v>44410</v>
      </c>
      <c r="F233" s="17">
        <f>VLOOKUP(A233,'forecast data dump'!$A$1:$H$3450,5,FALSE)</f>
        <v>44414</v>
      </c>
      <c r="G233" s="42">
        <f>VLOOKUP(A233,'forecast data dump'!$A$1:$H$3450,8,FALSE)</f>
        <v>0</v>
      </c>
      <c r="H233" s="5" t="s">
        <v>3745</v>
      </c>
      <c r="I233" s="39">
        <f t="shared" si="138"/>
        <v>20</v>
      </c>
      <c r="J233" s="5"/>
      <c r="K233" s="5"/>
      <c r="L233" s="33">
        <f t="shared" si="139"/>
        <v>2282</v>
      </c>
      <c r="M233" s="33">
        <f t="shared" si="140"/>
        <v>2282</v>
      </c>
      <c r="N233" s="33">
        <f t="shared" si="141"/>
        <v>0</v>
      </c>
      <c r="T233">
        <v>1</v>
      </c>
      <c r="U233" s="29">
        <f t="shared" si="124"/>
        <v>0</v>
      </c>
      <c r="V233" s="29">
        <f t="shared" si="125"/>
        <v>0</v>
      </c>
      <c r="W233" s="29">
        <f t="shared" si="126"/>
        <v>0</v>
      </c>
      <c r="X233" s="29">
        <f t="shared" si="127"/>
        <v>0</v>
      </c>
      <c r="Y233" s="29">
        <f t="shared" si="128"/>
        <v>0</v>
      </c>
      <c r="Z233" s="29">
        <f t="shared" si="129"/>
        <v>2282</v>
      </c>
    </row>
    <row r="234" spans="1:27" x14ac:dyDescent="0.3">
      <c r="A234" s="5" t="s">
        <v>3256</v>
      </c>
      <c r="B234" s="5" t="s">
        <v>3257</v>
      </c>
      <c r="C234" s="5">
        <v>20</v>
      </c>
      <c r="D234" s="6">
        <v>2282</v>
      </c>
      <c r="E234" s="17">
        <f>VLOOKUP(A234,'forecast data dump'!$A$1:$H$3450,4,FALSE)</f>
        <v>44417</v>
      </c>
      <c r="F234" s="17">
        <f>VLOOKUP(A234,'forecast data dump'!$A$1:$H$3450,5,FALSE)</f>
        <v>44421</v>
      </c>
      <c r="G234" s="42">
        <f>VLOOKUP(A234,'forecast data dump'!$A$1:$H$3450,8,FALSE)</f>
        <v>0</v>
      </c>
      <c r="H234" s="5" t="s">
        <v>3745</v>
      </c>
      <c r="I234" s="39">
        <f t="shared" si="138"/>
        <v>20</v>
      </c>
      <c r="J234" s="5"/>
      <c r="K234" s="5"/>
      <c r="L234" s="33">
        <f t="shared" si="139"/>
        <v>2282</v>
      </c>
      <c r="M234" s="33">
        <f t="shared" si="140"/>
        <v>2282</v>
      </c>
      <c r="N234" s="33">
        <f t="shared" si="141"/>
        <v>0</v>
      </c>
      <c r="T234">
        <v>1</v>
      </c>
      <c r="U234" s="29">
        <f t="shared" si="124"/>
        <v>0</v>
      </c>
      <c r="V234" s="29">
        <f t="shared" si="125"/>
        <v>0</v>
      </c>
      <c r="W234" s="29">
        <f t="shared" si="126"/>
        <v>0</v>
      </c>
      <c r="X234" s="29">
        <f t="shared" si="127"/>
        <v>0</v>
      </c>
      <c r="Y234" s="29">
        <f t="shared" si="128"/>
        <v>0</v>
      </c>
      <c r="Z234" s="29">
        <f t="shared" si="129"/>
        <v>2282</v>
      </c>
    </row>
    <row r="235" spans="1:27" x14ac:dyDescent="0.3">
      <c r="A235" s="5" t="s">
        <v>3280</v>
      </c>
      <c r="B235" s="5" t="s">
        <v>3281</v>
      </c>
      <c r="C235" s="5">
        <v>18</v>
      </c>
      <c r="D235" s="6">
        <v>2054</v>
      </c>
      <c r="E235" s="17">
        <f>VLOOKUP(A235,'forecast data dump'!$A$1:$H$3450,4,FALSE)</f>
        <v>44482</v>
      </c>
      <c r="F235" s="17">
        <f>VLOOKUP(A235,'forecast data dump'!$A$1:$H$3450,5,FALSE)</f>
        <v>44524</v>
      </c>
      <c r="G235" s="42">
        <f>VLOOKUP(A235,'forecast data dump'!$A$1:$H$3450,8,FALSE)</f>
        <v>0</v>
      </c>
      <c r="H235" s="5" t="s">
        <v>3745</v>
      </c>
      <c r="I235" s="39">
        <f t="shared" si="138"/>
        <v>18</v>
      </c>
      <c r="J235" s="5"/>
      <c r="K235" s="5"/>
      <c r="L235" s="33">
        <f t="shared" si="139"/>
        <v>2054</v>
      </c>
      <c r="M235" s="33">
        <f t="shared" si="140"/>
        <v>2054</v>
      </c>
      <c r="N235" s="33">
        <f t="shared" si="141"/>
        <v>0</v>
      </c>
      <c r="T235">
        <v>1</v>
      </c>
      <c r="U235" s="29">
        <f t="shared" si="124"/>
        <v>0</v>
      </c>
      <c r="V235" s="29">
        <f t="shared" si="125"/>
        <v>0</v>
      </c>
      <c r="W235" s="29">
        <f t="shared" si="126"/>
        <v>0</v>
      </c>
      <c r="X235" s="29">
        <f t="shared" si="127"/>
        <v>0</v>
      </c>
      <c r="Y235" s="29">
        <f t="shared" si="128"/>
        <v>0</v>
      </c>
      <c r="Z235" s="29">
        <f t="shared" si="129"/>
        <v>2054</v>
      </c>
    </row>
    <row r="236" spans="1:27" x14ac:dyDescent="0.3">
      <c r="A236" s="5" t="s">
        <v>3280</v>
      </c>
      <c r="B236" s="5" t="s">
        <v>3281</v>
      </c>
      <c r="C236" s="5">
        <v>36</v>
      </c>
      <c r="D236" s="6">
        <v>4108</v>
      </c>
      <c r="E236" s="17">
        <f>VLOOKUP(A236,'forecast data dump'!$A$1:$H$3450,4,FALSE)</f>
        <v>44482</v>
      </c>
      <c r="F236" s="17">
        <f>VLOOKUP(A236,'forecast data dump'!$A$1:$H$3450,5,FALSE)</f>
        <v>44524</v>
      </c>
      <c r="G236" s="42">
        <f>VLOOKUP(A236,'forecast data dump'!$A$1:$H$3450,8,FALSE)</f>
        <v>0</v>
      </c>
      <c r="H236" s="5" t="s">
        <v>3741</v>
      </c>
      <c r="I236" s="39">
        <f t="shared" si="138"/>
        <v>36</v>
      </c>
      <c r="J236" s="5"/>
      <c r="K236" s="5"/>
      <c r="L236" s="33">
        <f t="shared" si="139"/>
        <v>4108</v>
      </c>
      <c r="M236" s="33">
        <f t="shared" si="140"/>
        <v>4108</v>
      </c>
      <c r="N236" s="33">
        <f t="shared" si="141"/>
        <v>0</v>
      </c>
      <c r="T236">
        <v>1</v>
      </c>
      <c r="U236" s="29">
        <f t="shared" si="124"/>
        <v>0</v>
      </c>
      <c r="V236" s="29">
        <f t="shared" si="125"/>
        <v>0</v>
      </c>
      <c r="W236" s="29">
        <f t="shared" si="126"/>
        <v>0</v>
      </c>
      <c r="X236" s="29">
        <f t="shared" si="127"/>
        <v>0</v>
      </c>
      <c r="Y236" s="29">
        <f t="shared" si="128"/>
        <v>0</v>
      </c>
      <c r="Z236" s="29">
        <f t="shared" si="129"/>
        <v>4108</v>
      </c>
    </row>
    <row r="237" spans="1:27" x14ac:dyDescent="0.3">
      <c r="A237" s="5" t="s">
        <v>3282</v>
      </c>
      <c r="B237" s="5" t="s">
        <v>3283</v>
      </c>
      <c r="C237" s="5">
        <v>10</v>
      </c>
      <c r="D237" s="6">
        <v>1160</v>
      </c>
      <c r="E237" s="17">
        <f>VLOOKUP(A237,'forecast data dump'!$A$1:$H$3450,4,FALSE)</f>
        <v>44530</v>
      </c>
      <c r="F237" s="17">
        <f>VLOOKUP(A237,'forecast data dump'!$A$1:$H$3450,5,FALSE)</f>
        <v>44789</v>
      </c>
      <c r="G237" s="42">
        <f>VLOOKUP(A237,'forecast data dump'!$A$1:$H$3450,8,FALSE)</f>
        <v>0</v>
      </c>
      <c r="H237" s="5" t="s">
        <v>3745</v>
      </c>
      <c r="I237" s="39">
        <f t="shared" si="138"/>
        <v>10</v>
      </c>
      <c r="J237" s="5"/>
      <c r="K237" s="5"/>
      <c r="L237" s="33">
        <f t="shared" si="139"/>
        <v>1160</v>
      </c>
      <c r="M237" s="33">
        <f t="shared" si="140"/>
        <v>1160</v>
      </c>
      <c r="N237" s="33">
        <f t="shared" si="141"/>
        <v>0</v>
      </c>
      <c r="T237">
        <v>1</v>
      </c>
      <c r="U237" s="29">
        <f t="shared" si="124"/>
        <v>0</v>
      </c>
      <c r="V237" s="29">
        <f t="shared" si="125"/>
        <v>0</v>
      </c>
      <c r="W237" s="29">
        <f t="shared" si="126"/>
        <v>0</v>
      </c>
      <c r="X237" s="29">
        <f t="shared" si="127"/>
        <v>0</v>
      </c>
      <c r="Y237" s="29">
        <f t="shared" si="128"/>
        <v>0</v>
      </c>
      <c r="Z237" s="29">
        <f t="shared" si="129"/>
        <v>1160</v>
      </c>
    </row>
    <row r="238" spans="1:27" x14ac:dyDescent="0.3">
      <c r="A238" s="5" t="s">
        <v>3282</v>
      </c>
      <c r="B238" s="5" t="s">
        <v>3283</v>
      </c>
      <c r="C238" s="5">
        <v>40</v>
      </c>
      <c r="D238" s="6">
        <v>4642</v>
      </c>
      <c r="E238" s="17">
        <f>VLOOKUP(A238,'forecast data dump'!$A$1:$H$3450,4,FALSE)</f>
        <v>44530</v>
      </c>
      <c r="F238" s="17">
        <f>VLOOKUP(A238,'forecast data dump'!$A$1:$H$3450,5,FALSE)</f>
        <v>44789</v>
      </c>
      <c r="G238" s="42">
        <f>VLOOKUP(A238,'forecast data dump'!$A$1:$H$3450,8,FALSE)</f>
        <v>0</v>
      </c>
      <c r="H238" s="5" t="s">
        <v>3741</v>
      </c>
      <c r="I238" s="39">
        <f t="shared" si="138"/>
        <v>40</v>
      </c>
      <c r="J238" s="5"/>
      <c r="K238" s="5"/>
      <c r="L238" s="33">
        <f t="shared" si="139"/>
        <v>4642</v>
      </c>
      <c r="M238" s="33">
        <f t="shared" si="140"/>
        <v>4642</v>
      </c>
      <c r="N238" s="33">
        <f t="shared" si="141"/>
        <v>0</v>
      </c>
      <c r="T238">
        <v>1</v>
      </c>
      <c r="U238" s="29">
        <f t="shared" si="124"/>
        <v>0</v>
      </c>
      <c r="V238" s="29">
        <f t="shared" si="125"/>
        <v>0</v>
      </c>
      <c r="W238" s="29">
        <f t="shared" si="126"/>
        <v>0</v>
      </c>
      <c r="X238" s="29">
        <f t="shared" si="127"/>
        <v>0</v>
      </c>
      <c r="Y238" s="29">
        <f t="shared" si="128"/>
        <v>0</v>
      </c>
      <c r="Z238" s="29">
        <f t="shared" si="129"/>
        <v>4642</v>
      </c>
    </row>
    <row r="239" spans="1:27" x14ac:dyDescent="0.3">
      <c r="A239" s="5" t="s">
        <v>3284</v>
      </c>
      <c r="B239" s="5" t="s">
        <v>3285</v>
      </c>
      <c r="C239" s="5">
        <v>4</v>
      </c>
      <c r="D239" s="6">
        <v>470</v>
      </c>
      <c r="E239" s="17">
        <f>VLOOKUP(A239,'forecast data dump'!$A$1:$H$3450,4,FALSE)</f>
        <v>44790</v>
      </c>
      <c r="F239" s="17">
        <f>VLOOKUP(A239,'forecast data dump'!$A$1:$H$3450,5,FALSE)</f>
        <v>44796</v>
      </c>
      <c r="G239" s="42">
        <f>VLOOKUP(A239,'forecast data dump'!$A$1:$H$3450,8,FALSE)</f>
        <v>0</v>
      </c>
      <c r="H239" s="5" t="s">
        <v>3745</v>
      </c>
      <c r="I239" s="39">
        <f t="shared" si="138"/>
        <v>4</v>
      </c>
      <c r="J239" s="5"/>
      <c r="K239" s="5"/>
      <c r="L239" s="33">
        <f t="shared" si="139"/>
        <v>470</v>
      </c>
      <c r="M239" s="33">
        <f t="shared" si="140"/>
        <v>470</v>
      </c>
      <c r="N239" s="33">
        <f t="shared" si="141"/>
        <v>0</v>
      </c>
      <c r="T239">
        <v>1</v>
      </c>
      <c r="U239" s="29">
        <f t="shared" si="124"/>
        <v>0</v>
      </c>
      <c r="V239" s="29">
        <f t="shared" si="125"/>
        <v>0</v>
      </c>
      <c r="W239" s="29">
        <f t="shared" si="126"/>
        <v>0</v>
      </c>
      <c r="X239" s="29">
        <f t="shared" si="127"/>
        <v>0</v>
      </c>
      <c r="Y239" s="29">
        <f t="shared" si="128"/>
        <v>0</v>
      </c>
      <c r="Z239" s="29">
        <f t="shared" si="129"/>
        <v>470</v>
      </c>
    </row>
    <row r="240" spans="1:27" x14ac:dyDescent="0.3">
      <c r="A240" s="5" t="s">
        <v>3284</v>
      </c>
      <c r="B240" s="5" t="s">
        <v>3285</v>
      </c>
      <c r="C240" s="5">
        <v>20</v>
      </c>
      <c r="D240" s="6">
        <v>2351</v>
      </c>
      <c r="E240" s="17">
        <f>VLOOKUP(A240,'forecast data dump'!$A$1:$H$3450,4,FALSE)</f>
        <v>44790</v>
      </c>
      <c r="F240" s="17">
        <f>VLOOKUP(A240,'forecast data dump'!$A$1:$H$3450,5,FALSE)</f>
        <v>44796</v>
      </c>
      <c r="G240" s="42">
        <f>VLOOKUP(A240,'forecast data dump'!$A$1:$H$3450,8,FALSE)</f>
        <v>0</v>
      </c>
      <c r="H240" s="5" t="s">
        <v>3741</v>
      </c>
      <c r="I240" s="39">
        <f t="shared" si="138"/>
        <v>20</v>
      </c>
      <c r="J240" s="5"/>
      <c r="K240" s="5"/>
      <c r="L240" s="33">
        <f t="shared" si="139"/>
        <v>2351</v>
      </c>
      <c r="M240" s="33">
        <f t="shared" si="140"/>
        <v>2351</v>
      </c>
      <c r="N240" s="33">
        <f t="shared" si="141"/>
        <v>0</v>
      </c>
      <c r="T240">
        <v>1</v>
      </c>
      <c r="U240" s="29">
        <f t="shared" si="124"/>
        <v>0</v>
      </c>
      <c r="V240" s="29">
        <f t="shared" si="125"/>
        <v>0</v>
      </c>
      <c r="W240" s="29">
        <f t="shared" si="126"/>
        <v>0</v>
      </c>
      <c r="X240" s="29">
        <f t="shared" si="127"/>
        <v>0</v>
      </c>
      <c r="Y240" s="29">
        <f t="shared" si="128"/>
        <v>0</v>
      </c>
      <c r="Z240" s="29">
        <f t="shared" si="129"/>
        <v>2351</v>
      </c>
    </row>
    <row r="241" spans="1:26" x14ac:dyDescent="0.3">
      <c r="A241" s="5" t="s">
        <v>3286</v>
      </c>
      <c r="B241" s="5" t="s">
        <v>3287</v>
      </c>
      <c r="C241" s="5">
        <v>8</v>
      </c>
      <c r="D241" s="6">
        <v>1361</v>
      </c>
      <c r="E241" s="17">
        <f>VLOOKUP(A241,'forecast data dump'!$A$1:$H$3450,4,FALSE)</f>
        <v>44424</v>
      </c>
      <c r="F241" s="17">
        <f>VLOOKUP(A241,'forecast data dump'!$A$1:$H$3450,5,FALSE)</f>
        <v>44428</v>
      </c>
      <c r="G241" s="42">
        <f>VLOOKUP(A241,'forecast data dump'!$A$1:$H$3450,8,FALSE)</f>
        <v>0</v>
      </c>
      <c r="H241" s="5" t="s">
        <v>3731</v>
      </c>
      <c r="I241" s="39">
        <f t="shared" si="138"/>
        <v>8</v>
      </c>
      <c r="J241" s="5"/>
      <c r="K241" s="5"/>
      <c r="L241" s="33">
        <f t="shared" si="139"/>
        <v>1361</v>
      </c>
      <c r="M241" s="33">
        <f t="shared" si="140"/>
        <v>1361</v>
      </c>
      <c r="N241" s="33">
        <f t="shared" si="141"/>
        <v>0</v>
      </c>
      <c r="T241">
        <v>1</v>
      </c>
      <c r="U241" s="29">
        <f t="shared" si="124"/>
        <v>0</v>
      </c>
      <c r="V241" s="29">
        <f t="shared" si="125"/>
        <v>0</v>
      </c>
      <c r="W241" s="29">
        <f t="shared" si="126"/>
        <v>0</v>
      </c>
      <c r="X241" s="29">
        <f t="shared" si="127"/>
        <v>0</v>
      </c>
      <c r="Y241" s="29">
        <f t="shared" si="128"/>
        <v>0</v>
      </c>
      <c r="Z241" s="29">
        <f t="shared" si="129"/>
        <v>1361</v>
      </c>
    </row>
    <row r="242" spans="1:26" x14ac:dyDescent="0.3">
      <c r="A242" s="5" t="s">
        <v>3288</v>
      </c>
      <c r="B242" s="5" t="s">
        <v>3289</v>
      </c>
      <c r="C242" s="5">
        <v>18</v>
      </c>
      <c r="D242" s="6">
        <v>2054</v>
      </c>
      <c r="E242" s="17">
        <f>VLOOKUP(A242,'forecast data dump'!$A$1:$H$3450,4,FALSE)</f>
        <v>44438</v>
      </c>
      <c r="F242" s="17">
        <f>VLOOKUP(A242,'forecast data dump'!$A$1:$H$3450,5,FALSE)</f>
        <v>44481</v>
      </c>
      <c r="G242" s="42">
        <f>VLOOKUP(A242,'forecast data dump'!$A$1:$H$3450,8,FALSE)</f>
        <v>0</v>
      </c>
      <c r="H242" s="5" t="s">
        <v>3745</v>
      </c>
      <c r="I242" s="39">
        <f t="shared" si="138"/>
        <v>18</v>
      </c>
      <c r="J242" s="5"/>
      <c r="K242" s="5"/>
      <c r="L242" s="33">
        <f t="shared" si="139"/>
        <v>2054</v>
      </c>
      <c r="M242" s="33">
        <f t="shared" si="140"/>
        <v>2054</v>
      </c>
      <c r="N242" s="33">
        <f t="shared" si="141"/>
        <v>0</v>
      </c>
      <c r="T242">
        <v>1</v>
      </c>
      <c r="U242" s="29">
        <f t="shared" si="124"/>
        <v>0</v>
      </c>
      <c r="V242" s="29">
        <f t="shared" si="125"/>
        <v>0</v>
      </c>
      <c r="W242" s="29">
        <f t="shared" si="126"/>
        <v>0</v>
      </c>
      <c r="X242" s="29">
        <f t="shared" si="127"/>
        <v>0</v>
      </c>
      <c r="Y242" s="29">
        <f t="shared" si="128"/>
        <v>0</v>
      </c>
      <c r="Z242" s="29">
        <f t="shared" si="129"/>
        <v>2054</v>
      </c>
    </row>
    <row r="243" spans="1:26" x14ac:dyDescent="0.3">
      <c r="A243" s="5" t="s">
        <v>3316</v>
      </c>
      <c r="B243" s="5" t="s">
        <v>3317</v>
      </c>
      <c r="C243" s="5">
        <v>80</v>
      </c>
      <c r="D243" s="6">
        <v>11781</v>
      </c>
      <c r="E243" s="17" t="str">
        <f>VLOOKUP(A243,'forecast data dump'!$A$1:$H$3450,4,FALSE)</f>
        <v>17-Dec-19 A</v>
      </c>
      <c r="F243" s="17">
        <f>VLOOKUP(A243,'forecast data dump'!$A$1:$H$3450,5,FALSE)</f>
        <v>44393</v>
      </c>
      <c r="G243" s="42">
        <f>VLOOKUP(A243,'forecast data dump'!$A$1:$H$3450,8,FALSE)</f>
        <v>0.95</v>
      </c>
      <c r="H243" s="5" t="s">
        <v>3763</v>
      </c>
      <c r="I243" s="39">
        <f t="shared" si="138"/>
        <v>4.0000000000000036</v>
      </c>
      <c r="J243" s="5"/>
      <c r="K243" s="5"/>
      <c r="L243" s="33">
        <f t="shared" si="139"/>
        <v>589.05000000000052</v>
      </c>
      <c r="M243" s="33">
        <f t="shared" si="140"/>
        <v>589.05000000000052</v>
      </c>
      <c r="N243" s="33">
        <f t="shared" si="141"/>
        <v>0</v>
      </c>
      <c r="R243">
        <v>1</v>
      </c>
      <c r="U243" s="29">
        <f t="shared" si="124"/>
        <v>0</v>
      </c>
      <c r="V243" s="29">
        <f t="shared" si="125"/>
        <v>0</v>
      </c>
      <c r="W243" s="29">
        <f t="shared" si="126"/>
        <v>0</v>
      </c>
      <c r="X243" s="29">
        <f t="shared" si="127"/>
        <v>589.05000000000052</v>
      </c>
      <c r="Y243" s="29">
        <f t="shared" si="128"/>
        <v>0</v>
      </c>
      <c r="Z243" s="29">
        <f t="shared" si="129"/>
        <v>0</v>
      </c>
    </row>
    <row r="244" spans="1:26" x14ac:dyDescent="0.3">
      <c r="A244" s="5" t="s">
        <v>3316</v>
      </c>
      <c r="B244" s="5" t="s">
        <v>3317</v>
      </c>
      <c r="C244" s="5">
        <v>40</v>
      </c>
      <c r="D244" s="6">
        <v>6803</v>
      </c>
      <c r="E244" s="17" t="str">
        <f>VLOOKUP(A244,'forecast data dump'!$A$1:$H$3450,4,FALSE)</f>
        <v>17-Dec-19 A</v>
      </c>
      <c r="F244" s="17">
        <f>VLOOKUP(A244,'forecast data dump'!$A$1:$H$3450,5,FALSE)</f>
        <v>44393</v>
      </c>
      <c r="G244" s="42">
        <f>VLOOKUP(A244,'forecast data dump'!$A$1:$H$3450,8,FALSE)</f>
        <v>0.95</v>
      </c>
      <c r="H244" s="5" t="s">
        <v>3731</v>
      </c>
      <c r="I244" s="39">
        <f t="shared" si="138"/>
        <v>2.0000000000000018</v>
      </c>
      <c r="J244" s="5"/>
      <c r="K244" s="5"/>
      <c r="L244" s="33">
        <f t="shared" si="139"/>
        <v>340.15000000000032</v>
      </c>
      <c r="M244" s="33">
        <f t="shared" si="140"/>
        <v>340.15000000000032</v>
      </c>
      <c r="N244" s="33">
        <f t="shared" si="141"/>
        <v>0</v>
      </c>
      <c r="R244">
        <v>1</v>
      </c>
      <c r="U244" s="29">
        <f t="shared" si="124"/>
        <v>0</v>
      </c>
      <c r="V244" s="29">
        <f t="shared" si="125"/>
        <v>0</v>
      </c>
      <c r="W244" s="29">
        <f t="shared" si="126"/>
        <v>0</v>
      </c>
      <c r="X244" s="29">
        <f t="shared" si="127"/>
        <v>340.15000000000032</v>
      </c>
      <c r="Y244" s="29">
        <f t="shared" si="128"/>
        <v>0</v>
      </c>
      <c r="Z244" s="29">
        <f t="shared" si="129"/>
        <v>0</v>
      </c>
    </row>
    <row r="245" spans="1:26" x14ac:dyDescent="0.3">
      <c r="A245" s="5" t="s">
        <v>3316</v>
      </c>
      <c r="B245" s="5" t="s">
        <v>3317</v>
      </c>
      <c r="C245" s="5">
        <v>120</v>
      </c>
      <c r="D245" s="6">
        <v>13695</v>
      </c>
      <c r="E245" s="17" t="str">
        <f>VLOOKUP(A245,'forecast data dump'!$A$1:$H$3450,4,FALSE)</f>
        <v>17-Dec-19 A</v>
      </c>
      <c r="F245" s="17">
        <f>VLOOKUP(A245,'forecast data dump'!$A$1:$H$3450,5,FALSE)</f>
        <v>44393</v>
      </c>
      <c r="G245" s="42">
        <f>VLOOKUP(A245,'forecast data dump'!$A$1:$H$3450,8,FALSE)</f>
        <v>0.95</v>
      </c>
      <c r="H245" s="5" t="s">
        <v>3759</v>
      </c>
      <c r="I245" s="39">
        <f t="shared" si="138"/>
        <v>6.0000000000000053</v>
      </c>
      <c r="J245" s="5"/>
      <c r="K245" s="5"/>
      <c r="L245" s="33">
        <f t="shared" si="139"/>
        <v>684.75000000000057</v>
      </c>
      <c r="M245" s="33">
        <f t="shared" si="140"/>
        <v>684.75000000000057</v>
      </c>
      <c r="N245" s="33">
        <f t="shared" si="141"/>
        <v>0</v>
      </c>
      <c r="R245">
        <v>1</v>
      </c>
      <c r="U245" s="29">
        <f t="shared" si="124"/>
        <v>0</v>
      </c>
      <c r="V245" s="29">
        <f t="shared" si="125"/>
        <v>0</v>
      </c>
      <c r="W245" s="29">
        <f t="shared" si="126"/>
        <v>0</v>
      </c>
      <c r="X245" s="29">
        <f t="shared" si="127"/>
        <v>684.75000000000057</v>
      </c>
      <c r="Y245" s="29">
        <f t="shared" si="128"/>
        <v>0</v>
      </c>
      <c r="Z245" s="29">
        <f t="shared" si="129"/>
        <v>0</v>
      </c>
    </row>
    <row r="246" spans="1:26" x14ac:dyDescent="0.3">
      <c r="A246" s="5" t="s">
        <v>3318</v>
      </c>
      <c r="B246" s="5" t="s">
        <v>3319</v>
      </c>
      <c r="C246" s="5">
        <v>40</v>
      </c>
      <c r="D246" s="6">
        <v>5891</v>
      </c>
      <c r="E246" s="17">
        <f>VLOOKUP(A246,'forecast data dump'!$A$1:$H$3450,4,FALSE)</f>
        <v>44396</v>
      </c>
      <c r="F246" s="17">
        <f>VLOOKUP(A246,'forecast data dump'!$A$1:$H$3450,5,FALSE)</f>
        <v>44400</v>
      </c>
      <c r="G246" s="42">
        <f>VLOOKUP(A246,'forecast data dump'!$A$1:$H$3450,8,FALSE)</f>
        <v>0</v>
      </c>
      <c r="H246" s="5" t="s">
        <v>3763</v>
      </c>
      <c r="I246" s="39">
        <f t="shared" si="138"/>
        <v>40</v>
      </c>
      <c r="J246" s="5"/>
      <c r="K246" s="5"/>
      <c r="L246" s="33">
        <f t="shared" si="139"/>
        <v>5891</v>
      </c>
      <c r="M246" s="33">
        <f t="shared" si="140"/>
        <v>5891</v>
      </c>
      <c r="N246" s="33">
        <f t="shared" si="141"/>
        <v>0</v>
      </c>
      <c r="T246">
        <v>1</v>
      </c>
      <c r="U246" s="29">
        <f t="shared" si="124"/>
        <v>0</v>
      </c>
      <c r="V246" s="29">
        <f t="shared" si="125"/>
        <v>0</v>
      </c>
      <c r="W246" s="29">
        <f t="shared" si="126"/>
        <v>0</v>
      </c>
      <c r="X246" s="29">
        <f t="shared" si="127"/>
        <v>0</v>
      </c>
      <c r="Y246" s="29">
        <f t="shared" si="128"/>
        <v>0</v>
      </c>
      <c r="Z246" s="29">
        <f t="shared" si="129"/>
        <v>5891</v>
      </c>
    </row>
    <row r="247" spans="1:26" x14ac:dyDescent="0.3">
      <c r="A247" s="5" t="s">
        <v>3318</v>
      </c>
      <c r="B247" s="5" t="s">
        <v>3319</v>
      </c>
      <c r="C247" s="5">
        <v>20</v>
      </c>
      <c r="D247" s="6">
        <v>2282</v>
      </c>
      <c r="E247" s="17">
        <f>VLOOKUP(A247,'forecast data dump'!$A$1:$H$3450,4,FALSE)</f>
        <v>44396</v>
      </c>
      <c r="F247" s="17">
        <f>VLOOKUP(A247,'forecast data dump'!$A$1:$H$3450,5,FALSE)</f>
        <v>44400</v>
      </c>
      <c r="G247" s="42">
        <f>VLOOKUP(A247,'forecast data dump'!$A$1:$H$3450,8,FALSE)</f>
        <v>0</v>
      </c>
      <c r="H247" s="5" t="s">
        <v>3759</v>
      </c>
      <c r="I247" s="39">
        <f t="shared" si="138"/>
        <v>20</v>
      </c>
      <c r="J247" s="5"/>
      <c r="K247" s="5"/>
      <c r="L247" s="33">
        <f t="shared" si="139"/>
        <v>2282</v>
      </c>
      <c r="M247" s="33">
        <f t="shared" si="140"/>
        <v>2282</v>
      </c>
      <c r="N247" s="33">
        <f t="shared" si="141"/>
        <v>0</v>
      </c>
      <c r="T247">
        <v>1</v>
      </c>
      <c r="U247" s="29">
        <f t="shared" si="124"/>
        <v>0</v>
      </c>
      <c r="V247" s="29">
        <f t="shared" si="125"/>
        <v>0</v>
      </c>
      <c r="W247" s="29">
        <f t="shared" si="126"/>
        <v>0</v>
      </c>
      <c r="X247" s="29">
        <f t="shared" si="127"/>
        <v>0</v>
      </c>
      <c r="Y247" s="29">
        <f t="shared" si="128"/>
        <v>0</v>
      </c>
      <c r="Z247" s="29">
        <f t="shared" si="129"/>
        <v>2282</v>
      </c>
    </row>
    <row r="248" spans="1:26" x14ac:dyDescent="0.3">
      <c r="A248" s="5" t="s">
        <v>3320</v>
      </c>
      <c r="B248" s="5" t="s">
        <v>3321</v>
      </c>
      <c r="C248" s="5">
        <v>40</v>
      </c>
      <c r="D248" s="6">
        <v>5891</v>
      </c>
      <c r="E248" s="17">
        <f>VLOOKUP(A248,'forecast data dump'!$A$1:$H$3450,4,FALSE)</f>
        <v>44403</v>
      </c>
      <c r="F248" s="17">
        <f>VLOOKUP(A248,'forecast data dump'!$A$1:$H$3450,5,FALSE)</f>
        <v>44407</v>
      </c>
      <c r="G248" s="42">
        <f>VLOOKUP(A248,'forecast data dump'!$A$1:$H$3450,8,FALSE)</f>
        <v>0</v>
      </c>
      <c r="H248" s="5" t="s">
        <v>3763</v>
      </c>
      <c r="I248" s="39">
        <f t="shared" si="138"/>
        <v>40</v>
      </c>
      <c r="J248" s="5"/>
      <c r="K248" s="5"/>
      <c r="L248" s="33">
        <f t="shared" si="139"/>
        <v>5891</v>
      </c>
      <c r="M248" s="33">
        <f t="shared" si="140"/>
        <v>5891</v>
      </c>
      <c r="N248" s="33">
        <f t="shared" si="141"/>
        <v>0</v>
      </c>
      <c r="T248">
        <v>1</v>
      </c>
      <c r="U248" s="29">
        <f t="shared" si="124"/>
        <v>0</v>
      </c>
      <c r="V248" s="29">
        <f t="shared" si="125"/>
        <v>0</v>
      </c>
      <c r="W248" s="29">
        <f t="shared" si="126"/>
        <v>0</v>
      </c>
      <c r="X248" s="29">
        <f t="shared" si="127"/>
        <v>0</v>
      </c>
      <c r="Y248" s="29">
        <f t="shared" si="128"/>
        <v>0</v>
      </c>
      <c r="Z248" s="29">
        <f t="shared" si="129"/>
        <v>5891</v>
      </c>
    </row>
    <row r="249" spans="1:26" x14ac:dyDescent="0.3">
      <c r="A249" s="5" t="s">
        <v>3320</v>
      </c>
      <c r="B249" s="5" t="s">
        <v>3321</v>
      </c>
      <c r="C249" s="5">
        <v>20</v>
      </c>
      <c r="D249" s="6">
        <v>3401</v>
      </c>
      <c r="E249" s="17">
        <f>VLOOKUP(A249,'forecast data dump'!$A$1:$H$3450,4,FALSE)</f>
        <v>44403</v>
      </c>
      <c r="F249" s="17">
        <f>VLOOKUP(A249,'forecast data dump'!$A$1:$H$3450,5,FALSE)</f>
        <v>44407</v>
      </c>
      <c r="G249" s="42">
        <f>VLOOKUP(A249,'forecast data dump'!$A$1:$H$3450,8,FALSE)</f>
        <v>0</v>
      </c>
      <c r="H249" s="5" t="s">
        <v>3731</v>
      </c>
      <c r="I249" s="39">
        <f t="shared" si="138"/>
        <v>20</v>
      </c>
      <c r="J249" s="5"/>
      <c r="K249" s="5"/>
      <c r="L249" s="33">
        <f t="shared" si="139"/>
        <v>3401</v>
      </c>
      <c r="M249" s="33">
        <f t="shared" si="140"/>
        <v>3401</v>
      </c>
      <c r="N249" s="33">
        <f t="shared" si="141"/>
        <v>0</v>
      </c>
      <c r="T249">
        <v>1</v>
      </c>
      <c r="U249" s="29">
        <f t="shared" si="124"/>
        <v>0</v>
      </c>
      <c r="V249" s="29">
        <f t="shared" si="125"/>
        <v>0</v>
      </c>
      <c r="W249" s="29">
        <f t="shared" si="126"/>
        <v>0</v>
      </c>
      <c r="X249" s="29">
        <f t="shared" si="127"/>
        <v>0</v>
      </c>
      <c r="Y249" s="29">
        <f t="shared" si="128"/>
        <v>0</v>
      </c>
      <c r="Z249" s="29">
        <f t="shared" si="129"/>
        <v>3401</v>
      </c>
    </row>
    <row r="250" spans="1:26" x14ac:dyDescent="0.3">
      <c r="A250" s="5" t="s">
        <v>3320</v>
      </c>
      <c r="B250" s="5" t="s">
        <v>3321</v>
      </c>
      <c r="C250" s="5">
        <v>20</v>
      </c>
      <c r="D250" s="6">
        <v>2282</v>
      </c>
      <c r="E250" s="17">
        <f>VLOOKUP(A250,'forecast data dump'!$A$1:$H$3450,4,FALSE)</f>
        <v>44403</v>
      </c>
      <c r="F250" s="17">
        <f>VLOOKUP(A250,'forecast data dump'!$A$1:$H$3450,5,FALSE)</f>
        <v>44407</v>
      </c>
      <c r="G250" s="42">
        <f>VLOOKUP(A250,'forecast data dump'!$A$1:$H$3450,8,FALSE)</f>
        <v>0</v>
      </c>
      <c r="H250" s="5" t="s">
        <v>3759</v>
      </c>
      <c r="I250" s="39">
        <f t="shared" si="138"/>
        <v>20</v>
      </c>
      <c r="J250" s="5"/>
      <c r="K250" s="5"/>
      <c r="L250" s="33">
        <f t="shared" si="139"/>
        <v>2282</v>
      </c>
      <c r="M250" s="33">
        <f t="shared" si="140"/>
        <v>2282</v>
      </c>
      <c r="N250" s="33">
        <f t="shared" si="141"/>
        <v>0</v>
      </c>
      <c r="T250">
        <v>1</v>
      </c>
      <c r="U250" s="29">
        <f t="shared" si="124"/>
        <v>0</v>
      </c>
      <c r="V250" s="29">
        <f t="shared" si="125"/>
        <v>0</v>
      </c>
      <c r="W250" s="29">
        <f t="shared" si="126"/>
        <v>0</v>
      </c>
      <c r="X250" s="29">
        <f t="shared" si="127"/>
        <v>0</v>
      </c>
      <c r="Y250" s="29">
        <f t="shared" si="128"/>
        <v>0</v>
      </c>
      <c r="Z250" s="29">
        <f t="shared" si="129"/>
        <v>2282</v>
      </c>
    </row>
    <row r="251" spans="1:26" x14ac:dyDescent="0.3">
      <c r="A251" s="5" t="s">
        <v>3322</v>
      </c>
      <c r="B251" s="5" t="s">
        <v>3323</v>
      </c>
      <c r="C251" s="5">
        <v>20</v>
      </c>
      <c r="D251" s="6">
        <v>2945</v>
      </c>
      <c r="E251" s="17">
        <f>VLOOKUP(A251,'forecast data dump'!$A$1:$H$3450,4,FALSE)</f>
        <v>44410</v>
      </c>
      <c r="F251" s="17">
        <f>VLOOKUP(A251,'forecast data dump'!$A$1:$H$3450,5,FALSE)</f>
        <v>44414</v>
      </c>
      <c r="G251" s="42">
        <f>VLOOKUP(A251,'forecast data dump'!$A$1:$H$3450,8,FALSE)</f>
        <v>0</v>
      </c>
      <c r="H251" s="5" t="s">
        <v>3763</v>
      </c>
      <c r="I251" s="39">
        <f t="shared" si="138"/>
        <v>20</v>
      </c>
      <c r="J251" s="5"/>
      <c r="K251" s="5"/>
      <c r="L251" s="33">
        <f t="shared" si="139"/>
        <v>2945</v>
      </c>
      <c r="M251" s="33">
        <f t="shared" si="140"/>
        <v>2945</v>
      </c>
      <c r="N251" s="33">
        <f t="shared" si="141"/>
        <v>0</v>
      </c>
      <c r="T251">
        <v>1</v>
      </c>
      <c r="U251" s="29">
        <f t="shared" si="124"/>
        <v>0</v>
      </c>
      <c r="V251" s="29">
        <f t="shared" si="125"/>
        <v>0</v>
      </c>
      <c r="W251" s="29">
        <f t="shared" si="126"/>
        <v>0</v>
      </c>
      <c r="X251" s="29">
        <f t="shared" si="127"/>
        <v>0</v>
      </c>
      <c r="Y251" s="29">
        <f t="shared" si="128"/>
        <v>0</v>
      </c>
      <c r="Z251" s="29">
        <f t="shared" si="129"/>
        <v>2945</v>
      </c>
    </row>
    <row r="252" spans="1:26" x14ac:dyDescent="0.3">
      <c r="A252" s="5" t="s">
        <v>3322</v>
      </c>
      <c r="B252" s="5" t="s">
        <v>3323</v>
      </c>
      <c r="C252" s="5">
        <v>8</v>
      </c>
      <c r="D252" s="6">
        <v>1361</v>
      </c>
      <c r="E252" s="17">
        <f>VLOOKUP(A252,'forecast data dump'!$A$1:$H$3450,4,FALSE)</f>
        <v>44410</v>
      </c>
      <c r="F252" s="17">
        <f>VLOOKUP(A252,'forecast data dump'!$A$1:$H$3450,5,FALSE)</f>
        <v>44414</v>
      </c>
      <c r="G252" s="42">
        <f>VLOOKUP(A252,'forecast data dump'!$A$1:$H$3450,8,FALSE)</f>
        <v>0</v>
      </c>
      <c r="H252" s="5" t="s">
        <v>3731</v>
      </c>
      <c r="I252" s="39">
        <f t="shared" si="138"/>
        <v>8</v>
      </c>
      <c r="J252" s="5"/>
      <c r="K252" s="5"/>
      <c r="L252" s="33">
        <f t="shared" si="139"/>
        <v>1361</v>
      </c>
      <c r="M252" s="33">
        <f t="shared" si="140"/>
        <v>1361</v>
      </c>
      <c r="N252" s="33">
        <f t="shared" si="141"/>
        <v>0</v>
      </c>
      <c r="T252">
        <v>1</v>
      </c>
      <c r="U252" s="29">
        <f t="shared" si="124"/>
        <v>0</v>
      </c>
      <c r="V252" s="29">
        <f t="shared" si="125"/>
        <v>0</v>
      </c>
      <c r="W252" s="29">
        <f t="shared" si="126"/>
        <v>0</v>
      </c>
      <c r="X252" s="29">
        <f t="shared" si="127"/>
        <v>0</v>
      </c>
      <c r="Y252" s="29">
        <f t="shared" si="128"/>
        <v>0</v>
      </c>
      <c r="Z252" s="29">
        <f t="shared" si="129"/>
        <v>1361</v>
      </c>
    </row>
    <row r="253" spans="1:26" x14ac:dyDescent="0.3">
      <c r="A253" s="5" t="s">
        <v>3322</v>
      </c>
      <c r="B253" s="5" t="s">
        <v>3323</v>
      </c>
      <c r="C253" s="5">
        <v>20</v>
      </c>
      <c r="D253" s="6">
        <v>2282</v>
      </c>
      <c r="E253" s="17">
        <f>VLOOKUP(A253,'forecast data dump'!$A$1:$H$3450,4,FALSE)</f>
        <v>44410</v>
      </c>
      <c r="F253" s="17">
        <f>VLOOKUP(A253,'forecast data dump'!$A$1:$H$3450,5,FALSE)</f>
        <v>44414</v>
      </c>
      <c r="G253" s="42">
        <f>VLOOKUP(A253,'forecast data dump'!$A$1:$H$3450,8,FALSE)</f>
        <v>0</v>
      </c>
      <c r="H253" s="5" t="s">
        <v>3759</v>
      </c>
      <c r="I253" s="39">
        <f t="shared" si="138"/>
        <v>20</v>
      </c>
      <c r="J253" s="5"/>
      <c r="K253" s="5"/>
      <c r="L253" s="33">
        <f t="shared" si="139"/>
        <v>2282</v>
      </c>
      <c r="M253" s="33">
        <f t="shared" si="140"/>
        <v>2282</v>
      </c>
      <c r="N253" s="33">
        <f t="shared" si="141"/>
        <v>0</v>
      </c>
      <c r="T253">
        <v>1</v>
      </c>
      <c r="U253" s="29">
        <f t="shared" si="124"/>
        <v>0</v>
      </c>
      <c r="V253" s="29">
        <f t="shared" si="125"/>
        <v>0</v>
      </c>
      <c r="W253" s="29">
        <f t="shared" si="126"/>
        <v>0</v>
      </c>
      <c r="X253" s="29">
        <f t="shared" si="127"/>
        <v>0</v>
      </c>
      <c r="Y253" s="29">
        <f t="shared" si="128"/>
        <v>0</v>
      </c>
      <c r="Z253" s="29">
        <f t="shared" si="129"/>
        <v>2282</v>
      </c>
    </row>
    <row r="254" spans="1:26" x14ac:dyDescent="0.3">
      <c r="A254" s="5" t="s">
        <v>3324</v>
      </c>
      <c r="B254" s="5" t="s">
        <v>3325</v>
      </c>
      <c r="C254" s="5">
        <v>20</v>
      </c>
      <c r="D254" s="6">
        <v>2945</v>
      </c>
      <c r="E254" s="17">
        <f>VLOOKUP(A254,'forecast data dump'!$A$1:$H$3450,4,FALSE)</f>
        <v>44417</v>
      </c>
      <c r="F254" s="17">
        <f>VLOOKUP(A254,'forecast data dump'!$A$1:$H$3450,5,FALSE)</f>
        <v>44421</v>
      </c>
      <c r="G254" s="42">
        <f>VLOOKUP(A254,'forecast data dump'!$A$1:$H$3450,8,FALSE)</f>
        <v>0</v>
      </c>
      <c r="H254" s="5" t="s">
        <v>3763</v>
      </c>
      <c r="I254" s="39">
        <f t="shared" si="138"/>
        <v>20</v>
      </c>
      <c r="J254" s="5"/>
      <c r="K254" s="5"/>
      <c r="L254" s="33">
        <f t="shared" si="139"/>
        <v>2945</v>
      </c>
      <c r="M254" s="33">
        <f t="shared" si="140"/>
        <v>2945</v>
      </c>
      <c r="N254" s="33">
        <f t="shared" si="141"/>
        <v>0</v>
      </c>
      <c r="T254">
        <v>1</v>
      </c>
      <c r="U254" s="29">
        <f t="shared" ref="U254:U308" si="142">O254*M254</f>
        <v>0</v>
      </c>
      <c r="V254" s="29">
        <f t="shared" ref="V254:V308" si="143">P254*M254</f>
        <v>0</v>
      </c>
      <c r="W254" s="29">
        <f t="shared" ref="W254:W308" si="144">Q254*M254</f>
        <v>0</v>
      </c>
      <c r="X254" s="29">
        <f t="shared" ref="X254:X308" si="145">R254*M254</f>
        <v>0</v>
      </c>
      <c r="Y254" s="29">
        <f t="shared" ref="Y254:Y308" si="146">S254*M254</f>
        <v>0</v>
      </c>
      <c r="Z254" s="29">
        <f t="shared" ref="Z254:Z308" si="147">T254*M254</f>
        <v>2945</v>
      </c>
    </row>
    <row r="255" spans="1:26" x14ac:dyDescent="0.3">
      <c r="A255" s="5" t="s">
        <v>3324</v>
      </c>
      <c r="B255" s="5" t="s">
        <v>3325</v>
      </c>
      <c r="C255" s="5">
        <v>8</v>
      </c>
      <c r="D255" s="6">
        <v>1361</v>
      </c>
      <c r="E255" s="17">
        <f>VLOOKUP(A255,'forecast data dump'!$A$1:$H$3450,4,FALSE)</f>
        <v>44417</v>
      </c>
      <c r="F255" s="17">
        <f>VLOOKUP(A255,'forecast data dump'!$A$1:$H$3450,5,FALSE)</f>
        <v>44421</v>
      </c>
      <c r="G255" s="42">
        <f>VLOOKUP(A255,'forecast data dump'!$A$1:$H$3450,8,FALSE)</f>
        <v>0</v>
      </c>
      <c r="H255" s="5" t="s">
        <v>3731</v>
      </c>
      <c r="I255" s="39">
        <f t="shared" si="138"/>
        <v>8</v>
      </c>
      <c r="J255" s="5"/>
      <c r="K255" s="5"/>
      <c r="L255" s="33">
        <f t="shared" si="139"/>
        <v>1361</v>
      </c>
      <c r="M255" s="33">
        <f t="shared" si="140"/>
        <v>1361</v>
      </c>
      <c r="N255" s="33">
        <f t="shared" si="141"/>
        <v>0</v>
      </c>
      <c r="T255">
        <v>1</v>
      </c>
      <c r="U255" s="29">
        <f t="shared" si="142"/>
        <v>0</v>
      </c>
      <c r="V255" s="29">
        <f t="shared" si="143"/>
        <v>0</v>
      </c>
      <c r="W255" s="29">
        <f t="shared" si="144"/>
        <v>0</v>
      </c>
      <c r="X255" s="29">
        <f t="shared" si="145"/>
        <v>0</v>
      </c>
      <c r="Y255" s="29">
        <f t="shared" si="146"/>
        <v>0</v>
      </c>
      <c r="Z255" s="29">
        <f t="shared" si="147"/>
        <v>1361</v>
      </c>
    </row>
    <row r="256" spans="1:26" x14ac:dyDescent="0.3">
      <c r="A256" s="5" t="s">
        <v>3324</v>
      </c>
      <c r="B256" s="5" t="s">
        <v>3325</v>
      </c>
      <c r="C256" s="5">
        <v>20</v>
      </c>
      <c r="D256" s="6">
        <v>2282</v>
      </c>
      <c r="E256" s="17">
        <f>VLOOKUP(A256,'forecast data dump'!$A$1:$H$3450,4,FALSE)</f>
        <v>44417</v>
      </c>
      <c r="F256" s="17">
        <f>VLOOKUP(A256,'forecast data dump'!$A$1:$H$3450,5,FALSE)</f>
        <v>44421</v>
      </c>
      <c r="G256" s="42">
        <f>VLOOKUP(A256,'forecast data dump'!$A$1:$H$3450,8,FALSE)</f>
        <v>0</v>
      </c>
      <c r="H256" s="5" t="s">
        <v>3759</v>
      </c>
      <c r="I256" s="39">
        <f t="shared" si="138"/>
        <v>20</v>
      </c>
      <c r="J256" s="5"/>
      <c r="K256" s="5"/>
      <c r="L256" s="33">
        <f t="shared" si="139"/>
        <v>2282</v>
      </c>
      <c r="M256" s="33">
        <f t="shared" si="140"/>
        <v>2282</v>
      </c>
      <c r="N256" s="33">
        <f t="shared" si="141"/>
        <v>0</v>
      </c>
      <c r="T256">
        <v>1</v>
      </c>
      <c r="U256" s="29">
        <f t="shared" si="142"/>
        <v>0</v>
      </c>
      <c r="V256" s="29">
        <f t="shared" si="143"/>
        <v>0</v>
      </c>
      <c r="W256" s="29">
        <f t="shared" si="144"/>
        <v>0</v>
      </c>
      <c r="X256" s="29">
        <f t="shared" si="145"/>
        <v>0</v>
      </c>
      <c r="Y256" s="29">
        <f t="shared" si="146"/>
        <v>0</v>
      </c>
      <c r="Z256" s="29">
        <f t="shared" si="147"/>
        <v>2282</v>
      </c>
    </row>
    <row r="257" spans="1:27" x14ac:dyDescent="0.3">
      <c r="A257" s="5" t="s">
        <v>3344</v>
      </c>
      <c r="B257" s="5" t="s">
        <v>3345</v>
      </c>
      <c r="C257" s="5">
        <v>18</v>
      </c>
      <c r="D257" s="6">
        <v>2651</v>
      </c>
      <c r="E257" s="17">
        <f>VLOOKUP(A257,'forecast data dump'!$A$1:$H$3450,4,FALSE)</f>
        <v>44482</v>
      </c>
      <c r="F257" s="17">
        <f>VLOOKUP(A257,'forecast data dump'!$A$1:$H$3450,5,FALSE)</f>
        <v>44524</v>
      </c>
      <c r="G257" s="42">
        <f>VLOOKUP(A257,'forecast data dump'!$A$1:$H$3450,8,FALSE)</f>
        <v>0</v>
      </c>
      <c r="H257" s="5" t="s">
        <v>3763</v>
      </c>
      <c r="I257" s="39">
        <f t="shared" si="138"/>
        <v>18</v>
      </c>
      <c r="J257" s="5"/>
      <c r="K257" s="5"/>
      <c r="L257" s="33">
        <f t="shared" si="139"/>
        <v>2651</v>
      </c>
      <c r="M257" s="33">
        <f t="shared" si="140"/>
        <v>2651</v>
      </c>
      <c r="N257" s="33">
        <f t="shared" si="141"/>
        <v>0</v>
      </c>
      <c r="T257">
        <v>1</v>
      </c>
      <c r="U257" s="29">
        <f t="shared" si="142"/>
        <v>0</v>
      </c>
      <c r="V257" s="29">
        <f t="shared" si="143"/>
        <v>0</v>
      </c>
      <c r="W257" s="29">
        <f t="shared" si="144"/>
        <v>0</v>
      </c>
      <c r="X257" s="29">
        <f t="shared" si="145"/>
        <v>0</v>
      </c>
      <c r="Y257" s="29">
        <f t="shared" si="146"/>
        <v>0</v>
      </c>
      <c r="Z257" s="29">
        <f t="shared" si="147"/>
        <v>2651</v>
      </c>
    </row>
    <row r="258" spans="1:27" x14ac:dyDescent="0.3">
      <c r="A258" s="5" t="s">
        <v>3344</v>
      </c>
      <c r="B258" s="5" t="s">
        <v>3345</v>
      </c>
      <c r="C258" s="5">
        <v>8</v>
      </c>
      <c r="D258" s="6">
        <v>1361</v>
      </c>
      <c r="E258" s="17">
        <f>VLOOKUP(A258,'forecast data dump'!$A$1:$H$3450,4,FALSE)</f>
        <v>44482</v>
      </c>
      <c r="F258" s="17">
        <f>VLOOKUP(A258,'forecast data dump'!$A$1:$H$3450,5,FALSE)</f>
        <v>44524</v>
      </c>
      <c r="G258" s="42">
        <f>VLOOKUP(A258,'forecast data dump'!$A$1:$H$3450,8,FALSE)</f>
        <v>0</v>
      </c>
      <c r="H258" s="5" t="s">
        <v>3731</v>
      </c>
      <c r="I258" s="39">
        <f t="shared" si="138"/>
        <v>8</v>
      </c>
      <c r="J258" s="5"/>
      <c r="K258" s="5"/>
      <c r="L258" s="33">
        <f t="shared" si="139"/>
        <v>1361</v>
      </c>
      <c r="M258" s="33">
        <f t="shared" si="140"/>
        <v>1361</v>
      </c>
      <c r="N258" s="33">
        <f t="shared" si="141"/>
        <v>0</v>
      </c>
      <c r="T258">
        <v>1</v>
      </c>
      <c r="U258" s="29">
        <f t="shared" si="142"/>
        <v>0</v>
      </c>
      <c r="V258" s="29">
        <f t="shared" si="143"/>
        <v>0</v>
      </c>
      <c r="W258" s="29">
        <f t="shared" si="144"/>
        <v>0</v>
      </c>
      <c r="X258" s="29">
        <f t="shared" si="145"/>
        <v>0</v>
      </c>
      <c r="Y258" s="29">
        <f t="shared" si="146"/>
        <v>0</v>
      </c>
      <c r="Z258" s="29">
        <f t="shared" si="147"/>
        <v>1361</v>
      </c>
    </row>
    <row r="259" spans="1:27" x14ac:dyDescent="0.3">
      <c r="A259" s="5" t="s">
        <v>3344</v>
      </c>
      <c r="B259" s="5" t="s">
        <v>3345</v>
      </c>
      <c r="C259" s="5">
        <v>18</v>
      </c>
      <c r="D259" s="6">
        <v>2054</v>
      </c>
      <c r="E259" s="17">
        <f>VLOOKUP(A259,'forecast data dump'!$A$1:$H$3450,4,FALSE)</f>
        <v>44482</v>
      </c>
      <c r="F259" s="17">
        <f>VLOOKUP(A259,'forecast data dump'!$A$1:$H$3450,5,FALSE)</f>
        <v>44524</v>
      </c>
      <c r="G259" s="42">
        <f>VLOOKUP(A259,'forecast data dump'!$A$1:$H$3450,8,FALSE)</f>
        <v>0</v>
      </c>
      <c r="H259" s="5" t="s">
        <v>3759</v>
      </c>
      <c r="I259" s="39">
        <f t="shared" si="138"/>
        <v>18</v>
      </c>
      <c r="J259" s="5"/>
      <c r="K259" s="5"/>
      <c r="L259" s="33">
        <f t="shared" si="139"/>
        <v>2054</v>
      </c>
      <c r="M259" s="33">
        <f t="shared" si="140"/>
        <v>2054</v>
      </c>
      <c r="N259" s="33">
        <f t="shared" si="141"/>
        <v>0</v>
      </c>
      <c r="T259">
        <v>1</v>
      </c>
      <c r="U259" s="29">
        <f t="shared" si="142"/>
        <v>0</v>
      </c>
      <c r="V259" s="29">
        <f t="shared" si="143"/>
        <v>0</v>
      </c>
      <c r="W259" s="29">
        <f t="shared" si="144"/>
        <v>0</v>
      </c>
      <c r="X259" s="29">
        <f t="shared" si="145"/>
        <v>0</v>
      </c>
      <c r="Y259" s="29">
        <f t="shared" si="146"/>
        <v>0</v>
      </c>
      <c r="Z259" s="29">
        <f t="shared" si="147"/>
        <v>2054</v>
      </c>
    </row>
    <row r="260" spans="1:27" x14ac:dyDescent="0.3">
      <c r="A260" s="5" t="s">
        <v>3346</v>
      </c>
      <c r="B260" s="5" t="s">
        <v>3347</v>
      </c>
      <c r="C260" s="5">
        <v>24</v>
      </c>
      <c r="D260" s="6">
        <v>3594</v>
      </c>
      <c r="E260" s="17">
        <f>VLOOKUP(A260,'forecast data dump'!$A$1:$H$3450,4,FALSE)</f>
        <v>44530</v>
      </c>
      <c r="F260" s="17">
        <f>VLOOKUP(A260,'forecast data dump'!$A$1:$H$3450,5,FALSE)</f>
        <v>44789</v>
      </c>
      <c r="G260" s="42">
        <f>VLOOKUP(A260,'forecast data dump'!$A$1:$H$3450,8,FALSE)</f>
        <v>0</v>
      </c>
      <c r="H260" s="5" t="s">
        <v>3763</v>
      </c>
      <c r="I260" s="39">
        <f t="shared" si="138"/>
        <v>24</v>
      </c>
      <c r="J260" s="5"/>
      <c r="K260" s="5"/>
      <c r="L260" s="33">
        <f t="shared" si="139"/>
        <v>3594</v>
      </c>
      <c r="M260" s="33">
        <f t="shared" si="140"/>
        <v>3594</v>
      </c>
      <c r="N260" s="33">
        <f t="shared" si="141"/>
        <v>0</v>
      </c>
      <c r="T260">
        <v>1</v>
      </c>
      <c r="U260" s="29">
        <f t="shared" si="142"/>
        <v>0</v>
      </c>
      <c r="V260" s="29">
        <f t="shared" si="143"/>
        <v>0</v>
      </c>
      <c r="W260" s="29">
        <f t="shared" si="144"/>
        <v>0</v>
      </c>
      <c r="X260" s="29">
        <f t="shared" si="145"/>
        <v>0</v>
      </c>
      <c r="Y260" s="29">
        <f t="shared" si="146"/>
        <v>0</v>
      </c>
      <c r="Z260" s="29">
        <f t="shared" si="147"/>
        <v>3594</v>
      </c>
    </row>
    <row r="261" spans="1:27" x14ac:dyDescent="0.3">
      <c r="A261" s="5" t="s">
        <v>3346</v>
      </c>
      <c r="B261" s="5" t="s">
        <v>3347</v>
      </c>
      <c r="C261" s="5">
        <v>24</v>
      </c>
      <c r="D261" s="6">
        <v>4150</v>
      </c>
      <c r="E261" s="17">
        <f>VLOOKUP(A261,'forecast data dump'!$A$1:$H$3450,4,FALSE)</f>
        <v>44530</v>
      </c>
      <c r="F261" s="17">
        <f>VLOOKUP(A261,'forecast data dump'!$A$1:$H$3450,5,FALSE)</f>
        <v>44789</v>
      </c>
      <c r="G261" s="42">
        <f>VLOOKUP(A261,'forecast data dump'!$A$1:$H$3450,8,FALSE)</f>
        <v>0</v>
      </c>
      <c r="H261" s="5" t="s">
        <v>3731</v>
      </c>
      <c r="I261" s="39">
        <f t="shared" si="138"/>
        <v>24</v>
      </c>
      <c r="J261" s="5"/>
      <c r="K261" s="5"/>
      <c r="L261" s="33">
        <f t="shared" si="139"/>
        <v>4150</v>
      </c>
      <c r="M261" s="33">
        <f t="shared" si="140"/>
        <v>4150</v>
      </c>
      <c r="N261" s="33">
        <f t="shared" si="141"/>
        <v>0</v>
      </c>
      <c r="T261">
        <v>1</v>
      </c>
      <c r="U261" s="29">
        <f t="shared" si="142"/>
        <v>0</v>
      </c>
      <c r="V261" s="29">
        <f t="shared" si="143"/>
        <v>0</v>
      </c>
      <c r="W261" s="29">
        <f t="shared" si="144"/>
        <v>0</v>
      </c>
      <c r="X261" s="29">
        <f t="shared" si="145"/>
        <v>0</v>
      </c>
      <c r="Y261" s="29">
        <f t="shared" si="146"/>
        <v>0</v>
      </c>
      <c r="Z261" s="29">
        <f t="shared" si="147"/>
        <v>4150</v>
      </c>
    </row>
    <row r="262" spans="1:27" x14ac:dyDescent="0.3">
      <c r="A262" s="5" t="s">
        <v>3346</v>
      </c>
      <c r="B262" s="5" t="s">
        <v>3347</v>
      </c>
      <c r="C262" s="5">
        <v>10</v>
      </c>
      <c r="D262" s="6">
        <v>1160</v>
      </c>
      <c r="E262" s="17">
        <f>VLOOKUP(A262,'forecast data dump'!$A$1:$H$3450,4,FALSE)</f>
        <v>44530</v>
      </c>
      <c r="F262" s="17">
        <f>VLOOKUP(A262,'forecast data dump'!$A$1:$H$3450,5,FALSE)</f>
        <v>44789</v>
      </c>
      <c r="G262" s="42">
        <f>VLOOKUP(A262,'forecast data dump'!$A$1:$H$3450,8,FALSE)</f>
        <v>0</v>
      </c>
      <c r="H262" s="5" t="s">
        <v>3759</v>
      </c>
      <c r="I262" s="39">
        <f t="shared" si="138"/>
        <v>10</v>
      </c>
      <c r="J262" s="5"/>
      <c r="K262" s="5"/>
      <c r="L262" s="33">
        <f t="shared" si="139"/>
        <v>1160</v>
      </c>
      <c r="M262" s="33">
        <f t="shared" si="140"/>
        <v>1160</v>
      </c>
      <c r="N262" s="33">
        <f t="shared" si="141"/>
        <v>0</v>
      </c>
      <c r="T262">
        <v>1</v>
      </c>
      <c r="U262" s="29">
        <f t="shared" si="142"/>
        <v>0</v>
      </c>
      <c r="V262" s="29">
        <f t="shared" si="143"/>
        <v>0</v>
      </c>
      <c r="W262" s="29">
        <f t="shared" si="144"/>
        <v>0</v>
      </c>
      <c r="X262" s="29">
        <f t="shared" si="145"/>
        <v>0</v>
      </c>
      <c r="Y262" s="29">
        <f t="shared" si="146"/>
        <v>0</v>
      </c>
      <c r="Z262" s="29">
        <f t="shared" si="147"/>
        <v>1160</v>
      </c>
    </row>
    <row r="263" spans="1:27" x14ac:dyDescent="0.3">
      <c r="A263" s="5" t="s">
        <v>3348</v>
      </c>
      <c r="B263" s="5" t="s">
        <v>3349</v>
      </c>
      <c r="C263" s="5">
        <v>2</v>
      </c>
      <c r="D263" s="6">
        <v>303</v>
      </c>
      <c r="E263" s="17">
        <f>VLOOKUP(A263,'forecast data dump'!$A$1:$H$3450,4,FALSE)</f>
        <v>44790</v>
      </c>
      <c r="F263" s="17">
        <f>VLOOKUP(A263,'forecast data dump'!$A$1:$H$3450,5,FALSE)</f>
        <v>44796</v>
      </c>
      <c r="G263" s="42">
        <f>VLOOKUP(A263,'forecast data dump'!$A$1:$H$3450,8,FALSE)</f>
        <v>0</v>
      </c>
      <c r="H263" s="5" t="s">
        <v>3763</v>
      </c>
      <c r="I263" s="39">
        <f t="shared" si="138"/>
        <v>2</v>
      </c>
      <c r="J263" s="5"/>
      <c r="K263" s="5"/>
      <c r="L263" s="33">
        <f t="shared" si="139"/>
        <v>303</v>
      </c>
      <c r="M263" s="33">
        <f t="shared" si="140"/>
        <v>303</v>
      </c>
      <c r="N263" s="33">
        <f t="shared" si="141"/>
        <v>0</v>
      </c>
      <c r="T263">
        <v>1</v>
      </c>
      <c r="U263" s="29">
        <f t="shared" si="142"/>
        <v>0</v>
      </c>
      <c r="V263" s="29">
        <f t="shared" si="143"/>
        <v>0</v>
      </c>
      <c r="W263" s="29">
        <f t="shared" si="144"/>
        <v>0</v>
      </c>
      <c r="X263" s="29">
        <f t="shared" si="145"/>
        <v>0</v>
      </c>
      <c r="Y263" s="29">
        <f t="shared" si="146"/>
        <v>0</v>
      </c>
      <c r="Z263" s="29">
        <f t="shared" si="147"/>
        <v>303</v>
      </c>
    </row>
    <row r="264" spans="1:27" x14ac:dyDescent="0.3">
      <c r="A264" s="5" t="s">
        <v>3348</v>
      </c>
      <c r="B264" s="5" t="s">
        <v>3349</v>
      </c>
      <c r="C264" s="5">
        <v>4</v>
      </c>
      <c r="D264" s="6">
        <v>701</v>
      </c>
      <c r="E264" s="17">
        <f>VLOOKUP(A264,'forecast data dump'!$A$1:$H$3450,4,FALSE)</f>
        <v>44790</v>
      </c>
      <c r="F264" s="17">
        <f>VLOOKUP(A264,'forecast data dump'!$A$1:$H$3450,5,FALSE)</f>
        <v>44796</v>
      </c>
      <c r="G264" s="42">
        <f>VLOOKUP(A264,'forecast data dump'!$A$1:$H$3450,8,FALSE)</f>
        <v>0</v>
      </c>
      <c r="H264" s="5" t="s">
        <v>3731</v>
      </c>
      <c r="I264" s="39">
        <f t="shared" si="138"/>
        <v>4</v>
      </c>
      <c r="J264" s="5"/>
      <c r="K264" s="5"/>
      <c r="L264" s="33">
        <f t="shared" si="139"/>
        <v>701</v>
      </c>
      <c r="M264" s="33">
        <f t="shared" si="140"/>
        <v>701</v>
      </c>
      <c r="N264" s="33">
        <f t="shared" si="141"/>
        <v>0</v>
      </c>
      <c r="T264">
        <v>1</v>
      </c>
      <c r="U264" s="29">
        <f t="shared" si="142"/>
        <v>0</v>
      </c>
      <c r="V264" s="29">
        <f t="shared" si="143"/>
        <v>0</v>
      </c>
      <c r="W264" s="29">
        <f t="shared" si="144"/>
        <v>0</v>
      </c>
      <c r="X264" s="29">
        <f t="shared" si="145"/>
        <v>0</v>
      </c>
      <c r="Y264" s="29">
        <f t="shared" si="146"/>
        <v>0</v>
      </c>
      <c r="Z264" s="29">
        <f t="shared" si="147"/>
        <v>701</v>
      </c>
    </row>
    <row r="265" spans="1:27" x14ac:dyDescent="0.3">
      <c r="A265" s="5" t="s">
        <v>3348</v>
      </c>
      <c r="B265" s="5" t="s">
        <v>3349</v>
      </c>
      <c r="C265" s="5">
        <v>4</v>
      </c>
      <c r="D265" s="6">
        <v>470</v>
      </c>
      <c r="E265" s="17">
        <f>VLOOKUP(A265,'forecast data dump'!$A$1:$H$3450,4,FALSE)</f>
        <v>44790</v>
      </c>
      <c r="F265" s="17">
        <f>VLOOKUP(A265,'forecast data dump'!$A$1:$H$3450,5,FALSE)</f>
        <v>44796</v>
      </c>
      <c r="G265" s="42">
        <f>VLOOKUP(A265,'forecast data dump'!$A$1:$H$3450,8,FALSE)</f>
        <v>0</v>
      </c>
      <c r="H265" s="5" t="s">
        <v>3759</v>
      </c>
      <c r="I265" s="39">
        <f t="shared" si="138"/>
        <v>4</v>
      </c>
      <c r="J265" s="5"/>
      <c r="K265" s="5"/>
      <c r="L265" s="33">
        <f t="shared" si="139"/>
        <v>470</v>
      </c>
      <c r="M265" s="33">
        <f t="shared" si="140"/>
        <v>470</v>
      </c>
      <c r="N265" s="33">
        <f t="shared" si="141"/>
        <v>0</v>
      </c>
      <c r="T265">
        <v>1</v>
      </c>
      <c r="U265" s="29">
        <f t="shared" si="142"/>
        <v>0</v>
      </c>
      <c r="V265" s="29">
        <f t="shared" si="143"/>
        <v>0</v>
      </c>
      <c r="W265" s="29">
        <f t="shared" si="144"/>
        <v>0</v>
      </c>
      <c r="X265" s="29">
        <f t="shared" si="145"/>
        <v>0</v>
      </c>
      <c r="Y265" s="29">
        <f t="shared" si="146"/>
        <v>0</v>
      </c>
      <c r="Z265" s="29">
        <f t="shared" si="147"/>
        <v>470</v>
      </c>
    </row>
    <row r="266" spans="1:27" x14ac:dyDescent="0.3">
      <c r="A266" s="5" t="s">
        <v>3350</v>
      </c>
      <c r="B266" s="5" t="s">
        <v>3351</v>
      </c>
      <c r="C266" s="5">
        <v>18</v>
      </c>
      <c r="D266" s="6">
        <v>2651</v>
      </c>
      <c r="E266" s="17">
        <f>VLOOKUP(A266,'forecast data dump'!$A$1:$H$3450,4,FALSE)</f>
        <v>44438</v>
      </c>
      <c r="F266" s="17">
        <f>VLOOKUP(A266,'forecast data dump'!$A$1:$H$3450,5,FALSE)</f>
        <v>44481</v>
      </c>
      <c r="G266" s="42">
        <f>VLOOKUP(A266,'forecast data dump'!$A$1:$H$3450,8,FALSE)</f>
        <v>0</v>
      </c>
      <c r="H266" s="5" t="s">
        <v>3763</v>
      </c>
      <c r="I266" s="39">
        <f t="shared" si="138"/>
        <v>18</v>
      </c>
      <c r="J266" s="5"/>
      <c r="K266" s="5"/>
      <c r="L266" s="33">
        <f t="shared" si="139"/>
        <v>2651</v>
      </c>
      <c r="M266" s="33">
        <f t="shared" si="140"/>
        <v>2651</v>
      </c>
      <c r="N266" s="33">
        <f t="shared" si="141"/>
        <v>0</v>
      </c>
      <c r="T266">
        <v>1</v>
      </c>
      <c r="U266" s="29">
        <f t="shared" si="142"/>
        <v>0</v>
      </c>
      <c r="V266" s="29">
        <f t="shared" si="143"/>
        <v>0</v>
      </c>
      <c r="W266" s="29">
        <f t="shared" si="144"/>
        <v>0</v>
      </c>
      <c r="X266" s="29">
        <f t="shared" si="145"/>
        <v>0</v>
      </c>
      <c r="Y266" s="29">
        <f t="shared" si="146"/>
        <v>0</v>
      </c>
      <c r="Z266" s="29">
        <f t="shared" si="147"/>
        <v>2651</v>
      </c>
    </row>
    <row r="267" spans="1:27" x14ac:dyDescent="0.3">
      <c r="A267" s="5" t="s">
        <v>3350</v>
      </c>
      <c r="B267" s="5" t="s">
        <v>3351</v>
      </c>
      <c r="C267" s="5">
        <v>8</v>
      </c>
      <c r="D267" s="6">
        <v>1361</v>
      </c>
      <c r="E267" s="17">
        <f>VLOOKUP(A267,'forecast data dump'!$A$1:$H$3450,4,FALSE)</f>
        <v>44438</v>
      </c>
      <c r="F267" s="17">
        <f>VLOOKUP(A267,'forecast data dump'!$A$1:$H$3450,5,FALSE)</f>
        <v>44481</v>
      </c>
      <c r="G267" s="42">
        <f>VLOOKUP(A267,'forecast data dump'!$A$1:$H$3450,8,FALSE)</f>
        <v>0</v>
      </c>
      <c r="H267" s="5" t="s">
        <v>3731</v>
      </c>
      <c r="I267" s="39">
        <f t="shared" si="138"/>
        <v>8</v>
      </c>
      <c r="J267" s="5"/>
      <c r="K267" s="5"/>
      <c r="L267" s="33">
        <f t="shared" si="139"/>
        <v>1361</v>
      </c>
      <c r="M267" s="33">
        <f t="shared" si="140"/>
        <v>1361</v>
      </c>
      <c r="N267" s="33">
        <f t="shared" si="141"/>
        <v>0</v>
      </c>
      <c r="T267">
        <v>1</v>
      </c>
      <c r="U267" s="29">
        <f t="shared" si="142"/>
        <v>0</v>
      </c>
      <c r="V267" s="29">
        <f t="shared" si="143"/>
        <v>0</v>
      </c>
      <c r="W267" s="29">
        <f t="shared" si="144"/>
        <v>0</v>
      </c>
      <c r="X267" s="29">
        <f t="shared" si="145"/>
        <v>0</v>
      </c>
      <c r="Y267" s="29">
        <f t="shared" si="146"/>
        <v>0</v>
      </c>
      <c r="Z267" s="29">
        <f t="shared" si="147"/>
        <v>1361</v>
      </c>
    </row>
    <row r="268" spans="1:27" x14ac:dyDescent="0.3">
      <c r="A268" s="5" t="s">
        <v>3350</v>
      </c>
      <c r="B268" s="5" t="s">
        <v>3351</v>
      </c>
      <c r="C268" s="5">
        <v>18</v>
      </c>
      <c r="D268" s="6">
        <v>2054</v>
      </c>
      <c r="E268" s="17">
        <f>VLOOKUP(A268,'forecast data dump'!$A$1:$H$3450,4,FALSE)</f>
        <v>44438</v>
      </c>
      <c r="F268" s="17">
        <f>VLOOKUP(A268,'forecast data dump'!$A$1:$H$3450,5,FALSE)</f>
        <v>44481</v>
      </c>
      <c r="G268" s="42">
        <f>VLOOKUP(A268,'forecast data dump'!$A$1:$H$3450,8,FALSE)</f>
        <v>0</v>
      </c>
      <c r="H268" s="5" t="s">
        <v>3759</v>
      </c>
      <c r="I268" s="39">
        <f t="shared" si="138"/>
        <v>18</v>
      </c>
      <c r="J268" s="5"/>
      <c r="K268" s="5"/>
      <c r="L268" s="33">
        <f t="shared" si="139"/>
        <v>2054</v>
      </c>
      <c r="M268" s="33">
        <f t="shared" si="140"/>
        <v>2054</v>
      </c>
      <c r="N268" s="33">
        <f t="shared" si="141"/>
        <v>0</v>
      </c>
      <c r="T268">
        <v>1</v>
      </c>
      <c r="U268" s="29">
        <f t="shared" si="142"/>
        <v>0</v>
      </c>
      <c r="V268" s="29">
        <f t="shared" si="143"/>
        <v>0</v>
      </c>
      <c r="W268" s="29">
        <f t="shared" si="144"/>
        <v>0</v>
      </c>
      <c r="X268" s="29">
        <f t="shared" si="145"/>
        <v>0</v>
      </c>
      <c r="Y268" s="29">
        <f t="shared" si="146"/>
        <v>0</v>
      </c>
      <c r="Z268" s="29">
        <f t="shared" si="147"/>
        <v>2054</v>
      </c>
    </row>
    <row r="269" spans="1:27" x14ac:dyDescent="0.3">
      <c r="A269" s="5" t="s">
        <v>3358</v>
      </c>
      <c r="B269" s="5" t="s">
        <v>3359</v>
      </c>
      <c r="C269" s="5">
        <v>126000</v>
      </c>
      <c r="D269" s="6">
        <v>146246</v>
      </c>
      <c r="E269" s="17">
        <f>VLOOKUP(A269,'forecast data dump'!$A$1:$H$3450,4,FALSE)</f>
        <v>44790</v>
      </c>
      <c r="F269" s="17">
        <f>VLOOKUP(A269,'forecast data dump'!$A$1:$H$3450,5,FALSE)</f>
        <v>44796</v>
      </c>
      <c r="G269" s="42">
        <f>VLOOKUP(A269,'forecast data dump'!$A$1:$H$3450,8,FALSE)</f>
        <v>0</v>
      </c>
      <c r="H269" s="5" t="s">
        <v>3762</v>
      </c>
      <c r="I269" s="39">
        <f t="shared" si="138"/>
        <v>126000</v>
      </c>
      <c r="J269" s="5"/>
      <c r="K269" s="5"/>
      <c r="L269" s="33">
        <f t="shared" si="139"/>
        <v>146246</v>
      </c>
      <c r="M269" s="33">
        <f t="shared" si="140"/>
        <v>146246</v>
      </c>
      <c r="N269" s="33">
        <f t="shared" si="141"/>
        <v>0</v>
      </c>
      <c r="Q269">
        <v>1</v>
      </c>
      <c r="U269" s="29">
        <f t="shared" si="142"/>
        <v>0</v>
      </c>
      <c r="V269" s="29">
        <f t="shared" si="143"/>
        <v>0</v>
      </c>
      <c r="W269" s="29">
        <f t="shared" si="144"/>
        <v>146246</v>
      </c>
      <c r="X269" s="29">
        <f t="shared" si="145"/>
        <v>0</v>
      </c>
      <c r="Y269" s="29">
        <f t="shared" si="146"/>
        <v>0</v>
      </c>
      <c r="Z269" s="29">
        <f t="shared" si="147"/>
        <v>0</v>
      </c>
    </row>
    <row r="270" spans="1:27" x14ac:dyDescent="0.3">
      <c r="A270" s="3" t="s">
        <v>7874</v>
      </c>
      <c r="B270" s="3"/>
      <c r="C270" s="3"/>
      <c r="D270" s="4"/>
      <c r="E270" s="15"/>
      <c r="F270" s="15"/>
      <c r="G270" s="41"/>
      <c r="H270" s="3"/>
      <c r="I270" s="38"/>
      <c r="J270" s="3"/>
      <c r="K270" s="3"/>
      <c r="L270" s="32"/>
      <c r="M270" s="32"/>
      <c r="N270" s="32"/>
      <c r="U270" s="29"/>
      <c r="V270" s="29"/>
      <c r="W270" s="29"/>
      <c r="X270" s="29"/>
      <c r="Y270" s="29"/>
      <c r="Z270" s="29"/>
      <c r="AA270" s="109">
        <f>SUM(U271:U347)</f>
        <v>261153.75</v>
      </c>
    </row>
    <row r="271" spans="1:27" x14ac:dyDescent="0.3">
      <c r="A271" s="5" t="s">
        <v>3394</v>
      </c>
      <c r="B271" s="5" t="s">
        <v>3395</v>
      </c>
      <c r="C271" s="5">
        <v>20</v>
      </c>
      <c r="D271" s="6">
        <v>2351</v>
      </c>
      <c r="E271" s="17">
        <f>VLOOKUP(A271,'forecast data dump'!$A$1:$H$3450,4,FALSE)</f>
        <v>44505</v>
      </c>
      <c r="F271" s="17">
        <f>VLOOKUP(A271,'forecast data dump'!$A$1:$H$3450,5,FALSE)</f>
        <v>44544</v>
      </c>
      <c r="G271" s="42">
        <f>VLOOKUP(A271,'forecast data dump'!$A$1:$H$3450,8,FALSE)</f>
        <v>0</v>
      </c>
      <c r="H271" s="5" t="s">
        <v>3745</v>
      </c>
      <c r="I271" s="39">
        <f t="shared" ref="I271:I327" si="148">C271*(1-G271)</f>
        <v>20</v>
      </c>
      <c r="J271" s="5"/>
      <c r="K271" s="5"/>
      <c r="L271" s="33">
        <f t="shared" ref="L271:L327" si="149">D271*(1-G271)</f>
        <v>2351</v>
      </c>
      <c r="M271" s="33">
        <f t="shared" ref="M271:M327" si="150">IF(J271="",L271,(D271/C271)*J271)</f>
        <v>2351</v>
      </c>
      <c r="N271" s="33">
        <f t="shared" ref="N271:N327" si="151">L271-M271</f>
        <v>0</v>
      </c>
      <c r="T271">
        <v>1</v>
      </c>
      <c r="U271" s="29">
        <f t="shared" si="142"/>
        <v>0</v>
      </c>
      <c r="V271" s="29">
        <f t="shared" si="143"/>
        <v>0</v>
      </c>
      <c r="W271" s="29">
        <f t="shared" si="144"/>
        <v>0</v>
      </c>
      <c r="X271" s="29">
        <f t="shared" si="145"/>
        <v>0</v>
      </c>
      <c r="Y271" s="29">
        <f t="shared" si="146"/>
        <v>0</v>
      </c>
      <c r="Z271" s="29">
        <f t="shared" si="147"/>
        <v>2351</v>
      </c>
    </row>
    <row r="272" spans="1:27" x14ac:dyDescent="0.3">
      <c r="A272" s="5" t="s">
        <v>3394</v>
      </c>
      <c r="B272" s="5" t="s">
        <v>3395</v>
      </c>
      <c r="C272" s="5">
        <v>8</v>
      </c>
      <c r="D272" s="6">
        <v>940</v>
      </c>
      <c r="E272" s="17">
        <f>VLOOKUP(A272,'forecast data dump'!$A$1:$H$3450,4,FALSE)</f>
        <v>44505</v>
      </c>
      <c r="F272" s="17">
        <f>VLOOKUP(A272,'forecast data dump'!$A$1:$H$3450,5,FALSE)</f>
        <v>44544</v>
      </c>
      <c r="G272" s="42">
        <f>VLOOKUP(A272,'forecast data dump'!$A$1:$H$3450,8,FALSE)</f>
        <v>0</v>
      </c>
      <c r="H272" s="5" t="s">
        <v>3741</v>
      </c>
      <c r="I272" s="39">
        <f t="shared" si="148"/>
        <v>8</v>
      </c>
      <c r="J272" s="5"/>
      <c r="K272" s="5"/>
      <c r="L272" s="33">
        <f t="shared" si="149"/>
        <v>940</v>
      </c>
      <c r="M272" s="33">
        <f t="shared" si="150"/>
        <v>940</v>
      </c>
      <c r="N272" s="33">
        <f t="shared" si="151"/>
        <v>0</v>
      </c>
      <c r="T272">
        <v>1</v>
      </c>
      <c r="U272" s="29">
        <f t="shared" si="142"/>
        <v>0</v>
      </c>
      <c r="V272" s="29">
        <f t="shared" si="143"/>
        <v>0</v>
      </c>
      <c r="W272" s="29">
        <f t="shared" si="144"/>
        <v>0</v>
      </c>
      <c r="X272" s="29">
        <f t="shared" si="145"/>
        <v>0</v>
      </c>
      <c r="Y272" s="29">
        <f t="shared" si="146"/>
        <v>0</v>
      </c>
      <c r="Z272" s="29">
        <f t="shared" si="147"/>
        <v>940</v>
      </c>
    </row>
    <row r="273" spans="1:26" x14ac:dyDescent="0.3">
      <c r="A273" s="5" t="s">
        <v>3400</v>
      </c>
      <c r="B273" s="5" t="s">
        <v>3401</v>
      </c>
      <c r="C273" s="5">
        <v>45850</v>
      </c>
      <c r="D273" s="6">
        <v>53217</v>
      </c>
      <c r="E273" s="17">
        <f>VLOOKUP(A273,'forecast data dump'!$A$1:$H$3450,4,FALSE)</f>
        <v>44498</v>
      </c>
      <c r="F273" s="17">
        <f>VLOOKUP(A273,'forecast data dump'!$A$1:$H$3450,5,FALSE)</f>
        <v>44504</v>
      </c>
      <c r="G273" s="42">
        <f>VLOOKUP(A273,'forecast data dump'!$A$1:$H$3450,8,FALSE)</f>
        <v>0</v>
      </c>
      <c r="H273" s="5" t="s">
        <v>3762</v>
      </c>
      <c r="I273" s="39">
        <f t="shared" si="148"/>
        <v>45850</v>
      </c>
      <c r="J273" s="5"/>
      <c r="K273" s="5"/>
      <c r="L273" s="33">
        <f t="shared" si="149"/>
        <v>53217</v>
      </c>
      <c r="M273" s="33">
        <f t="shared" si="150"/>
        <v>53217</v>
      </c>
      <c r="N273" s="33">
        <f t="shared" si="151"/>
        <v>0</v>
      </c>
      <c r="Q273">
        <v>1</v>
      </c>
      <c r="U273" s="29">
        <f t="shared" si="142"/>
        <v>0</v>
      </c>
      <c r="V273" s="29">
        <f t="shared" si="143"/>
        <v>0</v>
      </c>
      <c r="W273" s="29">
        <f t="shared" si="144"/>
        <v>53217</v>
      </c>
      <c r="X273" s="29">
        <f t="shared" si="145"/>
        <v>0</v>
      </c>
      <c r="Y273" s="29">
        <f t="shared" si="146"/>
        <v>0</v>
      </c>
      <c r="Z273" s="29">
        <f t="shared" si="147"/>
        <v>0</v>
      </c>
    </row>
    <row r="274" spans="1:26" x14ac:dyDescent="0.3">
      <c r="A274" s="5" t="s">
        <v>3416</v>
      </c>
      <c r="B274" s="5" t="s">
        <v>3417</v>
      </c>
      <c r="C274" s="5">
        <v>16</v>
      </c>
      <c r="D274" s="6">
        <v>2427</v>
      </c>
      <c r="E274" s="17">
        <f>VLOOKUP(A274,'forecast data dump'!$A$1:$H$3450,4,FALSE)</f>
        <v>44505</v>
      </c>
      <c r="F274" s="17">
        <f>VLOOKUP(A274,'forecast data dump'!$A$1:$H$3450,5,FALSE)</f>
        <v>44544</v>
      </c>
      <c r="G274" s="42">
        <f>VLOOKUP(A274,'forecast data dump'!$A$1:$H$3450,8,FALSE)</f>
        <v>0</v>
      </c>
      <c r="H274" s="5" t="s">
        <v>3763</v>
      </c>
      <c r="I274" s="39">
        <f t="shared" si="148"/>
        <v>16</v>
      </c>
      <c r="J274" s="5"/>
      <c r="K274" s="5"/>
      <c r="L274" s="33">
        <f t="shared" si="149"/>
        <v>2427</v>
      </c>
      <c r="M274" s="33">
        <f t="shared" si="150"/>
        <v>2427</v>
      </c>
      <c r="N274" s="33">
        <f t="shared" si="151"/>
        <v>0</v>
      </c>
      <c r="T274">
        <v>1</v>
      </c>
      <c r="U274" s="29">
        <f t="shared" si="142"/>
        <v>0</v>
      </c>
      <c r="V274" s="29">
        <f t="shared" si="143"/>
        <v>0</v>
      </c>
      <c r="W274" s="29">
        <f t="shared" si="144"/>
        <v>0</v>
      </c>
      <c r="X274" s="29">
        <f t="shared" si="145"/>
        <v>0</v>
      </c>
      <c r="Y274" s="29">
        <f t="shared" si="146"/>
        <v>0</v>
      </c>
      <c r="Z274" s="29">
        <f t="shared" si="147"/>
        <v>2427</v>
      </c>
    </row>
    <row r="275" spans="1:26" x14ac:dyDescent="0.3">
      <c r="A275" s="5" t="s">
        <v>3434</v>
      </c>
      <c r="B275" s="5" t="s">
        <v>3435</v>
      </c>
      <c r="C275" s="5">
        <v>80</v>
      </c>
      <c r="D275" s="6">
        <v>10424</v>
      </c>
      <c r="E275" s="17" t="str">
        <f>VLOOKUP(A275,'forecast data dump'!$A$1:$H$3450,4,FALSE)</f>
        <v>17-Nov-20 A</v>
      </c>
      <c r="F275" s="17">
        <f>VLOOKUP(A275,'forecast data dump'!$A$1:$H$3450,5,FALSE)</f>
        <v>44414</v>
      </c>
      <c r="G275" s="42">
        <f>VLOOKUP(A275,'forecast data dump'!$A$1:$H$3450,8,FALSE)</f>
        <v>0.95</v>
      </c>
      <c r="H275" s="5" t="s">
        <v>3749</v>
      </c>
      <c r="I275" s="39">
        <f t="shared" si="148"/>
        <v>4.0000000000000036</v>
      </c>
      <c r="J275" s="5"/>
      <c r="K275" s="5"/>
      <c r="L275" s="33">
        <f t="shared" si="149"/>
        <v>521.2000000000005</v>
      </c>
      <c r="M275" s="33">
        <f t="shared" si="150"/>
        <v>521.2000000000005</v>
      </c>
      <c r="N275" s="33">
        <f t="shared" si="151"/>
        <v>0</v>
      </c>
      <c r="R275">
        <v>1</v>
      </c>
      <c r="U275" s="29">
        <f t="shared" si="142"/>
        <v>0</v>
      </c>
      <c r="V275" s="29">
        <f t="shared" si="143"/>
        <v>0</v>
      </c>
      <c r="W275" s="29">
        <f t="shared" si="144"/>
        <v>0</v>
      </c>
      <c r="X275" s="29">
        <f t="shared" si="145"/>
        <v>521.2000000000005</v>
      </c>
      <c r="Y275" s="29">
        <f t="shared" si="146"/>
        <v>0</v>
      </c>
      <c r="Z275" s="29">
        <f t="shared" si="147"/>
        <v>0</v>
      </c>
    </row>
    <row r="276" spans="1:26" x14ac:dyDescent="0.3">
      <c r="A276" s="5" t="s">
        <v>3434</v>
      </c>
      <c r="B276" s="5" t="s">
        <v>3435</v>
      </c>
      <c r="C276" s="5">
        <v>160</v>
      </c>
      <c r="D276" s="6">
        <v>18807</v>
      </c>
      <c r="E276" s="17" t="str">
        <f>VLOOKUP(A276,'forecast data dump'!$A$1:$H$3450,4,FALSE)</f>
        <v>17-Nov-20 A</v>
      </c>
      <c r="F276" s="17">
        <f>VLOOKUP(A276,'forecast data dump'!$A$1:$H$3450,5,FALSE)</f>
        <v>44414</v>
      </c>
      <c r="G276" s="42">
        <f>VLOOKUP(A276,'forecast data dump'!$A$1:$H$3450,8,FALSE)</f>
        <v>0.95</v>
      </c>
      <c r="H276" s="5" t="s">
        <v>3745</v>
      </c>
      <c r="I276" s="39">
        <f t="shared" si="148"/>
        <v>8.0000000000000071</v>
      </c>
      <c r="J276" s="5"/>
      <c r="K276" s="5"/>
      <c r="L276" s="33">
        <f t="shared" si="149"/>
        <v>940.35000000000082</v>
      </c>
      <c r="M276" s="33">
        <f t="shared" si="150"/>
        <v>940.35000000000082</v>
      </c>
      <c r="N276" s="33">
        <f t="shared" si="151"/>
        <v>0</v>
      </c>
      <c r="R276">
        <v>1</v>
      </c>
      <c r="U276" s="29">
        <f t="shared" si="142"/>
        <v>0</v>
      </c>
      <c r="V276" s="29">
        <f t="shared" si="143"/>
        <v>0</v>
      </c>
      <c r="W276" s="29">
        <f t="shared" si="144"/>
        <v>0</v>
      </c>
      <c r="X276" s="29">
        <f t="shared" si="145"/>
        <v>940.35000000000082</v>
      </c>
      <c r="Y276" s="29">
        <f t="shared" si="146"/>
        <v>0</v>
      </c>
      <c r="Z276" s="29">
        <f t="shared" si="147"/>
        <v>0</v>
      </c>
    </row>
    <row r="277" spans="1:26" x14ac:dyDescent="0.3">
      <c r="A277" s="5" t="s">
        <v>3436</v>
      </c>
      <c r="B277" s="5" t="s">
        <v>3437</v>
      </c>
      <c r="C277" s="5">
        <v>8</v>
      </c>
      <c r="D277" s="6">
        <v>1042</v>
      </c>
      <c r="E277" s="17">
        <f>VLOOKUP(A277,'forecast data dump'!$A$1:$H$3450,4,FALSE)</f>
        <v>44417</v>
      </c>
      <c r="F277" s="17">
        <f>VLOOKUP(A277,'forecast data dump'!$A$1:$H$3450,5,FALSE)</f>
        <v>44421</v>
      </c>
      <c r="G277" s="42">
        <f>VLOOKUP(A277,'forecast data dump'!$A$1:$H$3450,8,FALSE)</f>
        <v>0</v>
      </c>
      <c r="H277" s="5" t="s">
        <v>3746</v>
      </c>
      <c r="I277" s="39">
        <f t="shared" si="148"/>
        <v>8</v>
      </c>
      <c r="J277" s="5"/>
      <c r="K277" s="5"/>
      <c r="L277" s="33">
        <f t="shared" si="149"/>
        <v>1042</v>
      </c>
      <c r="M277" s="33">
        <f t="shared" si="150"/>
        <v>1042</v>
      </c>
      <c r="N277" s="33">
        <f t="shared" si="151"/>
        <v>0</v>
      </c>
      <c r="T277">
        <v>1</v>
      </c>
      <c r="U277" s="29">
        <f t="shared" si="142"/>
        <v>0</v>
      </c>
      <c r="V277" s="29">
        <f t="shared" si="143"/>
        <v>0</v>
      </c>
      <c r="W277" s="29">
        <f t="shared" si="144"/>
        <v>0</v>
      </c>
      <c r="X277" s="29">
        <f t="shared" si="145"/>
        <v>0</v>
      </c>
      <c r="Y277" s="29">
        <f t="shared" si="146"/>
        <v>0</v>
      </c>
      <c r="Z277" s="29">
        <f t="shared" si="147"/>
        <v>1042</v>
      </c>
    </row>
    <row r="278" spans="1:26" x14ac:dyDescent="0.3">
      <c r="A278" s="5" t="s">
        <v>3436</v>
      </c>
      <c r="B278" s="5" t="s">
        <v>3437</v>
      </c>
      <c r="C278" s="5">
        <v>8</v>
      </c>
      <c r="D278" s="6">
        <v>1042</v>
      </c>
      <c r="E278" s="17">
        <f>VLOOKUP(A278,'forecast data dump'!$A$1:$H$3450,4,FALSE)</f>
        <v>44417</v>
      </c>
      <c r="F278" s="17">
        <f>VLOOKUP(A278,'forecast data dump'!$A$1:$H$3450,5,FALSE)</f>
        <v>44421</v>
      </c>
      <c r="G278" s="42">
        <f>VLOOKUP(A278,'forecast data dump'!$A$1:$H$3450,8,FALSE)</f>
        <v>0</v>
      </c>
      <c r="H278" s="5" t="s">
        <v>3749</v>
      </c>
      <c r="I278" s="39">
        <f t="shared" si="148"/>
        <v>8</v>
      </c>
      <c r="J278" s="5"/>
      <c r="K278" s="5"/>
      <c r="L278" s="33">
        <f t="shared" si="149"/>
        <v>1042</v>
      </c>
      <c r="M278" s="33">
        <f t="shared" si="150"/>
        <v>1042</v>
      </c>
      <c r="N278" s="33">
        <f t="shared" si="151"/>
        <v>0</v>
      </c>
      <c r="T278">
        <v>1</v>
      </c>
      <c r="U278" s="29">
        <f t="shared" si="142"/>
        <v>0</v>
      </c>
      <c r="V278" s="29">
        <f t="shared" si="143"/>
        <v>0</v>
      </c>
      <c r="W278" s="29">
        <f t="shared" si="144"/>
        <v>0</v>
      </c>
      <c r="X278" s="29">
        <f t="shared" si="145"/>
        <v>0</v>
      </c>
      <c r="Y278" s="29">
        <f t="shared" si="146"/>
        <v>0</v>
      </c>
      <c r="Z278" s="29">
        <f t="shared" si="147"/>
        <v>1042</v>
      </c>
    </row>
    <row r="279" spans="1:26" x14ac:dyDescent="0.3">
      <c r="A279" s="5" t="s">
        <v>3438</v>
      </c>
      <c r="B279" s="5" t="s">
        <v>3439</v>
      </c>
      <c r="C279" s="5">
        <v>8</v>
      </c>
      <c r="D279" s="6">
        <v>1042</v>
      </c>
      <c r="E279" s="17">
        <f>VLOOKUP(A279,'forecast data dump'!$A$1:$H$3450,4,FALSE)</f>
        <v>44424</v>
      </c>
      <c r="F279" s="17">
        <f>VLOOKUP(A279,'forecast data dump'!$A$1:$H$3450,5,FALSE)</f>
        <v>44425</v>
      </c>
      <c r="G279" s="42">
        <f>VLOOKUP(A279,'forecast data dump'!$A$1:$H$3450,8,FALSE)</f>
        <v>0</v>
      </c>
      <c r="H279" s="5" t="s">
        <v>3746</v>
      </c>
      <c r="I279" s="39">
        <f t="shared" si="148"/>
        <v>8</v>
      </c>
      <c r="J279" s="5"/>
      <c r="K279" s="5"/>
      <c r="L279" s="33">
        <f t="shared" si="149"/>
        <v>1042</v>
      </c>
      <c r="M279" s="33">
        <f t="shared" si="150"/>
        <v>1042</v>
      </c>
      <c r="N279" s="33">
        <f t="shared" si="151"/>
        <v>0</v>
      </c>
      <c r="T279">
        <v>1</v>
      </c>
      <c r="U279" s="29">
        <f t="shared" si="142"/>
        <v>0</v>
      </c>
      <c r="V279" s="29">
        <f t="shared" si="143"/>
        <v>0</v>
      </c>
      <c r="W279" s="29">
        <f t="shared" si="144"/>
        <v>0</v>
      </c>
      <c r="X279" s="29">
        <f t="shared" si="145"/>
        <v>0</v>
      </c>
      <c r="Y279" s="29">
        <f t="shared" si="146"/>
        <v>0</v>
      </c>
      <c r="Z279" s="29">
        <f t="shared" si="147"/>
        <v>1042</v>
      </c>
    </row>
    <row r="280" spans="1:26" x14ac:dyDescent="0.3">
      <c r="A280" s="5" t="s">
        <v>3438</v>
      </c>
      <c r="B280" s="5" t="s">
        <v>3439</v>
      </c>
      <c r="C280" s="5">
        <v>8</v>
      </c>
      <c r="D280" s="6">
        <v>1042</v>
      </c>
      <c r="E280" s="17">
        <f>VLOOKUP(A280,'forecast data dump'!$A$1:$H$3450,4,FALSE)</f>
        <v>44424</v>
      </c>
      <c r="F280" s="17">
        <f>VLOOKUP(A280,'forecast data dump'!$A$1:$H$3450,5,FALSE)</f>
        <v>44425</v>
      </c>
      <c r="G280" s="42">
        <f>VLOOKUP(A280,'forecast data dump'!$A$1:$H$3450,8,FALSE)</f>
        <v>0</v>
      </c>
      <c r="H280" s="5" t="s">
        <v>3749</v>
      </c>
      <c r="I280" s="39">
        <f t="shared" si="148"/>
        <v>8</v>
      </c>
      <c r="J280" s="5"/>
      <c r="K280" s="5"/>
      <c r="L280" s="33">
        <f t="shared" si="149"/>
        <v>1042</v>
      </c>
      <c r="M280" s="33">
        <f t="shared" si="150"/>
        <v>1042</v>
      </c>
      <c r="N280" s="33">
        <f t="shared" si="151"/>
        <v>0</v>
      </c>
      <c r="T280">
        <v>1</v>
      </c>
      <c r="U280" s="29">
        <f t="shared" si="142"/>
        <v>0</v>
      </c>
      <c r="V280" s="29">
        <f t="shared" si="143"/>
        <v>0</v>
      </c>
      <c r="W280" s="29">
        <f t="shared" si="144"/>
        <v>0</v>
      </c>
      <c r="X280" s="29">
        <f t="shared" si="145"/>
        <v>0</v>
      </c>
      <c r="Y280" s="29">
        <f t="shared" si="146"/>
        <v>0</v>
      </c>
      <c r="Z280" s="29">
        <f t="shared" si="147"/>
        <v>1042</v>
      </c>
    </row>
    <row r="281" spans="1:26" x14ac:dyDescent="0.3">
      <c r="A281" s="5" t="s">
        <v>3440</v>
      </c>
      <c r="B281" s="5" t="s">
        <v>3441</v>
      </c>
      <c r="C281" s="5">
        <v>40</v>
      </c>
      <c r="D281" s="6">
        <v>5212</v>
      </c>
      <c r="E281" s="17" t="str">
        <f>VLOOKUP(A281,'forecast data dump'!$A$1:$H$3450,4,FALSE)</f>
        <v>13-May-20 A</v>
      </c>
      <c r="F281" s="17">
        <f>VLOOKUP(A281,'forecast data dump'!$A$1:$H$3450,5,FALSE)</f>
        <v>44420</v>
      </c>
      <c r="G281" s="42">
        <v>0.7</v>
      </c>
      <c r="H281" s="5" t="s">
        <v>3749</v>
      </c>
      <c r="I281" s="39">
        <f t="shared" si="148"/>
        <v>12.000000000000002</v>
      </c>
      <c r="J281" s="5"/>
      <c r="K281" s="5"/>
      <c r="L281" s="33">
        <f t="shared" si="149"/>
        <v>1563.6000000000001</v>
      </c>
      <c r="M281" s="33">
        <f t="shared" si="150"/>
        <v>1563.6000000000001</v>
      </c>
      <c r="N281" s="33">
        <f t="shared" si="151"/>
        <v>0</v>
      </c>
      <c r="R281">
        <v>1</v>
      </c>
      <c r="U281" s="29">
        <f t="shared" si="142"/>
        <v>0</v>
      </c>
      <c r="V281" s="29">
        <f t="shared" si="143"/>
        <v>0</v>
      </c>
      <c r="W281" s="29">
        <f t="shared" si="144"/>
        <v>0</v>
      </c>
      <c r="X281" s="29">
        <f t="shared" si="145"/>
        <v>1563.6000000000001</v>
      </c>
      <c r="Y281" s="29">
        <f t="shared" si="146"/>
        <v>0</v>
      </c>
      <c r="Z281" s="29">
        <f t="shared" si="147"/>
        <v>0</v>
      </c>
    </row>
    <row r="282" spans="1:26" x14ac:dyDescent="0.3">
      <c r="A282" s="5" t="s">
        <v>3440</v>
      </c>
      <c r="B282" s="5" t="s">
        <v>3441</v>
      </c>
      <c r="C282" s="5">
        <v>160</v>
      </c>
      <c r="D282" s="6">
        <v>18807</v>
      </c>
      <c r="E282" s="17" t="str">
        <f>VLOOKUP(A282,'forecast data dump'!$A$1:$H$3450,4,FALSE)</f>
        <v>13-May-20 A</v>
      </c>
      <c r="F282" s="17">
        <f>VLOOKUP(A282,'forecast data dump'!$A$1:$H$3450,5,FALSE)</f>
        <v>44420</v>
      </c>
      <c r="G282" s="42">
        <v>0.7</v>
      </c>
      <c r="H282" s="5" t="s">
        <v>3745</v>
      </c>
      <c r="I282" s="39">
        <f t="shared" si="148"/>
        <v>48.000000000000007</v>
      </c>
      <c r="J282" s="5"/>
      <c r="K282" s="5"/>
      <c r="L282" s="33">
        <f t="shared" si="149"/>
        <v>5642.1000000000013</v>
      </c>
      <c r="M282" s="33">
        <f t="shared" si="150"/>
        <v>5642.1000000000013</v>
      </c>
      <c r="N282" s="33">
        <f t="shared" si="151"/>
        <v>0</v>
      </c>
      <c r="R282">
        <v>1</v>
      </c>
      <c r="U282" s="29">
        <f t="shared" si="142"/>
        <v>0</v>
      </c>
      <c r="V282" s="29">
        <f t="shared" si="143"/>
        <v>0</v>
      </c>
      <c r="W282" s="29">
        <f t="shared" si="144"/>
        <v>0</v>
      </c>
      <c r="X282" s="29">
        <f t="shared" si="145"/>
        <v>5642.1000000000013</v>
      </c>
      <c r="Y282" s="29">
        <f t="shared" si="146"/>
        <v>0</v>
      </c>
      <c r="Z282" s="29">
        <f t="shared" si="147"/>
        <v>0</v>
      </c>
    </row>
    <row r="283" spans="1:26" x14ac:dyDescent="0.3">
      <c r="A283" s="5" t="s">
        <v>3442</v>
      </c>
      <c r="B283" s="5" t="s">
        <v>3443</v>
      </c>
      <c r="C283" s="5">
        <v>8</v>
      </c>
      <c r="D283" s="6">
        <v>1042</v>
      </c>
      <c r="E283" s="17">
        <f>VLOOKUP(A283,'forecast data dump'!$A$1:$H$3450,4,FALSE)</f>
        <v>44421</v>
      </c>
      <c r="F283" s="17">
        <f>VLOOKUP(A283,'forecast data dump'!$A$1:$H$3450,5,FALSE)</f>
        <v>44427</v>
      </c>
      <c r="G283" s="42">
        <f>VLOOKUP(A283,'forecast data dump'!$A$1:$H$3450,8,FALSE)</f>
        <v>0</v>
      </c>
      <c r="H283" s="5" t="s">
        <v>3749</v>
      </c>
      <c r="I283" s="39">
        <f t="shared" si="148"/>
        <v>8</v>
      </c>
      <c r="J283" s="5"/>
      <c r="K283" s="5"/>
      <c r="L283" s="33">
        <f t="shared" si="149"/>
        <v>1042</v>
      </c>
      <c r="M283" s="33">
        <f t="shared" si="150"/>
        <v>1042</v>
      </c>
      <c r="N283" s="33">
        <f t="shared" si="151"/>
        <v>0</v>
      </c>
      <c r="T283">
        <v>1</v>
      </c>
      <c r="U283" s="29">
        <f t="shared" si="142"/>
        <v>0</v>
      </c>
      <c r="V283" s="29">
        <f t="shared" si="143"/>
        <v>0</v>
      </c>
      <c r="W283" s="29">
        <f t="shared" si="144"/>
        <v>0</v>
      </c>
      <c r="X283" s="29">
        <f t="shared" si="145"/>
        <v>0</v>
      </c>
      <c r="Y283" s="29">
        <f t="shared" si="146"/>
        <v>0</v>
      </c>
      <c r="Z283" s="29">
        <f t="shared" si="147"/>
        <v>1042</v>
      </c>
    </row>
    <row r="284" spans="1:26" x14ac:dyDescent="0.3">
      <c r="A284" s="5" t="s">
        <v>3442</v>
      </c>
      <c r="B284" s="5" t="s">
        <v>3443</v>
      </c>
      <c r="C284" s="5">
        <v>40</v>
      </c>
      <c r="D284" s="6">
        <v>4702</v>
      </c>
      <c r="E284" s="17">
        <f>VLOOKUP(A284,'forecast data dump'!$A$1:$H$3450,4,FALSE)</f>
        <v>44421</v>
      </c>
      <c r="F284" s="17">
        <f>VLOOKUP(A284,'forecast data dump'!$A$1:$H$3450,5,FALSE)</f>
        <v>44427</v>
      </c>
      <c r="G284" s="42">
        <f>VLOOKUP(A284,'forecast data dump'!$A$1:$H$3450,8,FALSE)</f>
        <v>0</v>
      </c>
      <c r="H284" s="5" t="s">
        <v>3745</v>
      </c>
      <c r="I284" s="39">
        <f t="shared" si="148"/>
        <v>40</v>
      </c>
      <c r="J284" s="5"/>
      <c r="K284" s="5"/>
      <c r="L284" s="33">
        <f t="shared" si="149"/>
        <v>4702</v>
      </c>
      <c r="M284" s="33">
        <f t="shared" si="150"/>
        <v>4702</v>
      </c>
      <c r="N284" s="33">
        <f t="shared" si="151"/>
        <v>0</v>
      </c>
      <c r="T284">
        <v>1</v>
      </c>
      <c r="U284" s="29">
        <f t="shared" si="142"/>
        <v>0</v>
      </c>
      <c r="V284" s="29">
        <f t="shared" si="143"/>
        <v>0</v>
      </c>
      <c r="W284" s="29">
        <f t="shared" si="144"/>
        <v>0</v>
      </c>
      <c r="X284" s="29">
        <f t="shared" si="145"/>
        <v>0</v>
      </c>
      <c r="Y284" s="29">
        <f t="shared" si="146"/>
        <v>0</v>
      </c>
      <c r="Z284" s="29">
        <f t="shared" si="147"/>
        <v>4702</v>
      </c>
    </row>
    <row r="285" spans="1:26" x14ac:dyDescent="0.3">
      <c r="A285" s="5" t="s">
        <v>3444</v>
      </c>
      <c r="B285" s="5" t="s">
        <v>3445</v>
      </c>
      <c r="C285" s="5">
        <v>8</v>
      </c>
      <c r="D285" s="6">
        <v>1042</v>
      </c>
      <c r="E285" s="17">
        <f>VLOOKUP(A285,'forecast data dump'!$A$1:$H$3450,4,FALSE)</f>
        <v>44428</v>
      </c>
      <c r="F285" s="17">
        <f>VLOOKUP(A285,'forecast data dump'!$A$1:$H$3450,5,FALSE)</f>
        <v>44431</v>
      </c>
      <c r="G285" s="42">
        <f>VLOOKUP(A285,'forecast data dump'!$A$1:$H$3450,8,FALSE)</f>
        <v>0</v>
      </c>
      <c r="H285" s="5" t="s">
        <v>3746</v>
      </c>
      <c r="I285" s="39">
        <f t="shared" si="148"/>
        <v>8</v>
      </c>
      <c r="J285" s="5"/>
      <c r="K285" s="5"/>
      <c r="L285" s="33">
        <f t="shared" si="149"/>
        <v>1042</v>
      </c>
      <c r="M285" s="33">
        <f t="shared" si="150"/>
        <v>1042</v>
      </c>
      <c r="N285" s="33">
        <f t="shared" si="151"/>
        <v>0</v>
      </c>
      <c r="T285">
        <v>1</v>
      </c>
      <c r="U285" s="29">
        <f t="shared" si="142"/>
        <v>0</v>
      </c>
      <c r="V285" s="29">
        <f t="shared" si="143"/>
        <v>0</v>
      </c>
      <c r="W285" s="29">
        <f t="shared" si="144"/>
        <v>0</v>
      </c>
      <c r="X285" s="29">
        <f t="shared" si="145"/>
        <v>0</v>
      </c>
      <c r="Y285" s="29">
        <f t="shared" si="146"/>
        <v>0</v>
      </c>
      <c r="Z285" s="29">
        <f t="shared" si="147"/>
        <v>1042</v>
      </c>
    </row>
    <row r="286" spans="1:26" x14ac:dyDescent="0.3">
      <c r="A286" s="5" t="s">
        <v>3444</v>
      </c>
      <c r="B286" s="5" t="s">
        <v>3445</v>
      </c>
      <c r="C286" s="5">
        <v>8</v>
      </c>
      <c r="D286" s="6">
        <v>1042</v>
      </c>
      <c r="E286" s="17">
        <f>VLOOKUP(A286,'forecast data dump'!$A$1:$H$3450,4,FALSE)</f>
        <v>44428</v>
      </c>
      <c r="F286" s="17">
        <f>VLOOKUP(A286,'forecast data dump'!$A$1:$H$3450,5,FALSE)</f>
        <v>44431</v>
      </c>
      <c r="G286" s="42">
        <f>VLOOKUP(A286,'forecast data dump'!$A$1:$H$3450,8,FALSE)</f>
        <v>0</v>
      </c>
      <c r="H286" s="5" t="s">
        <v>3749</v>
      </c>
      <c r="I286" s="39">
        <f t="shared" si="148"/>
        <v>8</v>
      </c>
      <c r="J286" s="5"/>
      <c r="K286" s="5"/>
      <c r="L286" s="33">
        <f t="shared" si="149"/>
        <v>1042</v>
      </c>
      <c r="M286" s="33">
        <f t="shared" si="150"/>
        <v>1042</v>
      </c>
      <c r="N286" s="33">
        <f t="shared" si="151"/>
        <v>0</v>
      </c>
      <c r="T286">
        <v>1</v>
      </c>
      <c r="U286" s="29">
        <f t="shared" si="142"/>
        <v>0</v>
      </c>
      <c r="V286" s="29">
        <f t="shared" si="143"/>
        <v>0</v>
      </c>
      <c r="W286" s="29">
        <f t="shared" si="144"/>
        <v>0</v>
      </c>
      <c r="X286" s="29">
        <f t="shared" si="145"/>
        <v>0</v>
      </c>
      <c r="Y286" s="29">
        <f t="shared" si="146"/>
        <v>0</v>
      </c>
      <c r="Z286" s="29">
        <f t="shared" si="147"/>
        <v>1042</v>
      </c>
    </row>
    <row r="287" spans="1:26" x14ac:dyDescent="0.3">
      <c r="A287" s="5" t="s">
        <v>3452</v>
      </c>
      <c r="B287" s="5" t="s">
        <v>3453</v>
      </c>
      <c r="C287" s="5">
        <v>60</v>
      </c>
      <c r="D287" s="6">
        <v>7818</v>
      </c>
      <c r="E287" s="17" t="str">
        <f>VLOOKUP(A287,'forecast data dump'!$A$1:$H$3450,4,FALSE)</f>
        <v>18-May-20 A</v>
      </c>
      <c r="F287" s="17">
        <f>VLOOKUP(A287,'forecast data dump'!$A$1:$H$3450,5,FALSE)</f>
        <v>44434</v>
      </c>
      <c r="G287" s="42">
        <v>0.75</v>
      </c>
      <c r="H287" s="5" t="s">
        <v>3749</v>
      </c>
      <c r="I287" s="39">
        <f t="shared" si="148"/>
        <v>15</v>
      </c>
      <c r="J287" s="5"/>
      <c r="K287" s="5"/>
      <c r="L287" s="33">
        <f t="shared" si="149"/>
        <v>1954.5</v>
      </c>
      <c r="M287" s="33">
        <f t="shared" si="150"/>
        <v>1954.5</v>
      </c>
      <c r="N287" s="33">
        <f t="shared" si="151"/>
        <v>0</v>
      </c>
      <c r="R287">
        <v>1</v>
      </c>
      <c r="U287" s="29">
        <f t="shared" si="142"/>
        <v>0</v>
      </c>
      <c r="V287" s="29">
        <f t="shared" si="143"/>
        <v>0</v>
      </c>
      <c r="W287" s="29">
        <f t="shared" si="144"/>
        <v>0</v>
      </c>
      <c r="X287" s="29">
        <f t="shared" si="145"/>
        <v>1954.5</v>
      </c>
      <c r="Y287" s="29">
        <f t="shared" si="146"/>
        <v>0</v>
      </c>
      <c r="Z287" s="29">
        <f t="shared" si="147"/>
        <v>0</v>
      </c>
    </row>
    <row r="288" spans="1:26" x14ac:dyDescent="0.3">
      <c r="A288" s="5" t="s">
        <v>3452</v>
      </c>
      <c r="B288" s="5" t="s">
        <v>3453</v>
      </c>
      <c r="C288" s="5">
        <v>80</v>
      </c>
      <c r="D288" s="6">
        <v>9404</v>
      </c>
      <c r="E288" s="17" t="str">
        <f>VLOOKUP(A288,'forecast data dump'!$A$1:$H$3450,4,FALSE)</f>
        <v>18-May-20 A</v>
      </c>
      <c r="F288" s="17">
        <f>VLOOKUP(A288,'forecast data dump'!$A$1:$H$3450,5,FALSE)</f>
        <v>44434</v>
      </c>
      <c r="G288" s="42">
        <v>0.75</v>
      </c>
      <c r="H288" s="5" t="s">
        <v>3745</v>
      </c>
      <c r="I288" s="39">
        <f t="shared" si="148"/>
        <v>20</v>
      </c>
      <c r="J288" s="5"/>
      <c r="K288" s="5"/>
      <c r="L288" s="33">
        <f t="shared" si="149"/>
        <v>2351</v>
      </c>
      <c r="M288" s="33">
        <f t="shared" si="150"/>
        <v>2351</v>
      </c>
      <c r="N288" s="33">
        <f t="shared" si="151"/>
        <v>0</v>
      </c>
      <c r="R288">
        <v>1</v>
      </c>
      <c r="U288" s="29">
        <f t="shared" si="142"/>
        <v>0</v>
      </c>
      <c r="V288" s="29">
        <f t="shared" si="143"/>
        <v>0</v>
      </c>
      <c r="W288" s="29">
        <f t="shared" si="144"/>
        <v>0</v>
      </c>
      <c r="X288" s="29">
        <f t="shared" si="145"/>
        <v>2351</v>
      </c>
      <c r="Y288" s="29">
        <f t="shared" si="146"/>
        <v>0</v>
      </c>
      <c r="Z288" s="29">
        <f t="shared" si="147"/>
        <v>0</v>
      </c>
    </row>
    <row r="289" spans="1:26" x14ac:dyDescent="0.3">
      <c r="A289" s="5" t="s">
        <v>3454</v>
      </c>
      <c r="B289" s="5" t="s">
        <v>3455</v>
      </c>
      <c r="C289" s="5">
        <v>4</v>
      </c>
      <c r="D289" s="6">
        <v>521</v>
      </c>
      <c r="E289" s="17">
        <f>VLOOKUP(A289,'forecast data dump'!$A$1:$H$3450,4,FALSE)</f>
        <v>44435</v>
      </c>
      <c r="F289" s="17">
        <f>VLOOKUP(A289,'forecast data dump'!$A$1:$H$3450,5,FALSE)</f>
        <v>44438</v>
      </c>
      <c r="G289" s="42">
        <f>VLOOKUP(A289,'forecast data dump'!$A$1:$H$3450,8,FALSE)</f>
        <v>0</v>
      </c>
      <c r="H289" s="5" t="s">
        <v>3746</v>
      </c>
      <c r="I289" s="39">
        <f t="shared" si="148"/>
        <v>4</v>
      </c>
      <c r="J289" s="5"/>
      <c r="K289" s="5"/>
      <c r="L289" s="33">
        <f t="shared" si="149"/>
        <v>521</v>
      </c>
      <c r="M289" s="33">
        <f t="shared" si="150"/>
        <v>521</v>
      </c>
      <c r="N289" s="33">
        <f t="shared" si="151"/>
        <v>0</v>
      </c>
      <c r="T289">
        <v>1</v>
      </c>
      <c r="U289" s="29">
        <f t="shared" si="142"/>
        <v>0</v>
      </c>
      <c r="V289" s="29">
        <f t="shared" si="143"/>
        <v>0</v>
      </c>
      <c r="W289" s="29">
        <f t="shared" si="144"/>
        <v>0</v>
      </c>
      <c r="X289" s="29">
        <f t="shared" si="145"/>
        <v>0</v>
      </c>
      <c r="Y289" s="29">
        <f t="shared" si="146"/>
        <v>0</v>
      </c>
      <c r="Z289" s="29">
        <f t="shared" si="147"/>
        <v>521</v>
      </c>
    </row>
    <row r="290" spans="1:26" x14ac:dyDescent="0.3">
      <c r="A290" s="5" t="s">
        <v>3454</v>
      </c>
      <c r="B290" s="5" t="s">
        <v>3455</v>
      </c>
      <c r="C290" s="5">
        <v>4</v>
      </c>
      <c r="D290" s="6">
        <v>521</v>
      </c>
      <c r="E290" s="17">
        <f>VLOOKUP(A290,'forecast data dump'!$A$1:$H$3450,4,FALSE)</f>
        <v>44435</v>
      </c>
      <c r="F290" s="17">
        <f>VLOOKUP(A290,'forecast data dump'!$A$1:$H$3450,5,FALSE)</f>
        <v>44438</v>
      </c>
      <c r="G290" s="42">
        <f>VLOOKUP(A290,'forecast data dump'!$A$1:$H$3450,8,FALSE)</f>
        <v>0</v>
      </c>
      <c r="H290" s="5" t="s">
        <v>3749</v>
      </c>
      <c r="I290" s="39">
        <f t="shared" si="148"/>
        <v>4</v>
      </c>
      <c r="J290" s="5"/>
      <c r="K290" s="5"/>
      <c r="L290" s="33">
        <f t="shared" si="149"/>
        <v>521</v>
      </c>
      <c r="M290" s="33">
        <f t="shared" si="150"/>
        <v>521</v>
      </c>
      <c r="N290" s="33">
        <f t="shared" si="151"/>
        <v>0</v>
      </c>
      <c r="T290">
        <v>1</v>
      </c>
      <c r="U290" s="29">
        <f t="shared" si="142"/>
        <v>0</v>
      </c>
      <c r="V290" s="29">
        <f t="shared" si="143"/>
        <v>0</v>
      </c>
      <c r="W290" s="29">
        <f t="shared" si="144"/>
        <v>0</v>
      </c>
      <c r="X290" s="29">
        <f t="shared" si="145"/>
        <v>0</v>
      </c>
      <c r="Y290" s="29">
        <f t="shared" si="146"/>
        <v>0</v>
      </c>
      <c r="Z290" s="29">
        <f t="shared" si="147"/>
        <v>521</v>
      </c>
    </row>
    <row r="291" spans="1:26" x14ac:dyDescent="0.3">
      <c r="A291" s="5" t="s">
        <v>3456</v>
      </c>
      <c r="B291" s="5" t="s">
        <v>3457</v>
      </c>
      <c r="C291" s="5">
        <v>4</v>
      </c>
      <c r="D291" s="6">
        <v>521</v>
      </c>
      <c r="E291" s="17">
        <f>VLOOKUP(A291,'forecast data dump'!$A$1:$H$3450,4,FALSE)</f>
        <v>44439</v>
      </c>
      <c r="F291" s="17">
        <f>VLOOKUP(A291,'forecast data dump'!$A$1:$H$3450,5,FALSE)</f>
        <v>44440</v>
      </c>
      <c r="G291" s="42">
        <f>VLOOKUP(A291,'forecast data dump'!$A$1:$H$3450,8,FALSE)</f>
        <v>0</v>
      </c>
      <c r="H291" s="5" t="s">
        <v>3746</v>
      </c>
      <c r="I291" s="39">
        <f t="shared" si="148"/>
        <v>4</v>
      </c>
      <c r="J291" s="5"/>
      <c r="K291" s="5"/>
      <c r="L291" s="33">
        <f t="shared" si="149"/>
        <v>521</v>
      </c>
      <c r="M291" s="33">
        <f t="shared" si="150"/>
        <v>521</v>
      </c>
      <c r="N291" s="33">
        <f t="shared" si="151"/>
        <v>0</v>
      </c>
      <c r="T291">
        <v>1</v>
      </c>
      <c r="U291" s="29">
        <f t="shared" si="142"/>
        <v>0</v>
      </c>
      <c r="V291" s="29">
        <f t="shared" si="143"/>
        <v>0</v>
      </c>
      <c r="W291" s="29">
        <f t="shared" si="144"/>
        <v>0</v>
      </c>
      <c r="X291" s="29">
        <f t="shared" si="145"/>
        <v>0</v>
      </c>
      <c r="Y291" s="29">
        <f t="shared" si="146"/>
        <v>0</v>
      </c>
      <c r="Z291" s="29">
        <f t="shared" si="147"/>
        <v>521</v>
      </c>
    </row>
    <row r="292" spans="1:26" x14ac:dyDescent="0.3">
      <c r="A292" s="5" t="s">
        <v>3456</v>
      </c>
      <c r="B292" s="5" t="s">
        <v>3457</v>
      </c>
      <c r="C292" s="5">
        <v>4</v>
      </c>
      <c r="D292" s="6">
        <v>521</v>
      </c>
      <c r="E292" s="17">
        <f>VLOOKUP(A292,'forecast data dump'!$A$1:$H$3450,4,FALSE)</f>
        <v>44439</v>
      </c>
      <c r="F292" s="17">
        <f>VLOOKUP(A292,'forecast data dump'!$A$1:$H$3450,5,FALSE)</f>
        <v>44440</v>
      </c>
      <c r="G292" s="42">
        <f>VLOOKUP(A292,'forecast data dump'!$A$1:$H$3450,8,FALSE)</f>
        <v>0</v>
      </c>
      <c r="H292" s="5" t="s">
        <v>3749</v>
      </c>
      <c r="I292" s="39">
        <f t="shared" si="148"/>
        <v>4</v>
      </c>
      <c r="J292" s="5"/>
      <c r="K292" s="5"/>
      <c r="L292" s="33">
        <f t="shared" si="149"/>
        <v>521</v>
      </c>
      <c r="M292" s="33">
        <f t="shared" si="150"/>
        <v>521</v>
      </c>
      <c r="N292" s="33">
        <f t="shared" si="151"/>
        <v>0</v>
      </c>
      <c r="T292">
        <v>1</v>
      </c>
      <c r="U292" s="29">
        <f t="shared" si="142"/>
        <v>0</v>
      </c>
      <c r="V292" s="29">
        <f t="shared" si="143"/>
        <v>0</v>
      </c>
      <c r="W292" s="29">
        <f t="shared" si="144"/>
        <v>0</v>
      </c>
      <c r="X292" s="29">
        <f t="shared" si="145"/>
        <v>0</v>
      </c>
      <c r="Y292" s="29">
        <f t="shared" si="146"/>
        <v>0</v>
      </c>
      <c r="Z292" s="29">
        <f t="shared" si="147"/>
        <v>521</v>
      </c>
    </row>
    <row r="293" spans="1:26" x14ac:dyDescent="0.3">
      <c r="A293" s="5" t="s">
        <v>3464</v>
      </c>
      <c r="B293" s="5" t="s">
        <v>3465</v>
      </c>
      <c r="C293" s="5">
        <v>240</v>
      </c>
      <c r="D293" s="6">
        <v>30362</v>
      </c>
      <c r="E293" s="17" t="str">
        <f>VLOOKUP(A293,'forecast data dump'!$A$1:$H$3450,4,FALSE)</f>
        <v>12-Mar-20 A</v>
      </c>
      <c r="F293" s="17">
        <f>VLOOKUP(A293,'forecast data dump'!$A$1:$H$3450,5,FALSE)</f>
        <v>44405</v>
      </c>
      <c r="G293" s="42">
        <f>VLOOKUP(A293,'forecast data dump'!$A$1:$H$3450,8,FALSE)</f>
        <v>0.9</v>
      </c>
      <c r="H293" s="5" t="s">
        <v>3749</v>
      </c>
      <c r="I293" s="39">
        <f t="shared" si="148"/>
        <v>23.999999999999993</v>
      </c>
      <c r="J293" s="5"/>
      <c r="K293" s="5"/>
      <c r="L293" s="33">
        <f t="shared" si="149"/>
        <v>3036.1999999999994</v>
      </c>
      <c r="M293" s="33">
        <f t="shared" si="150"/>
        <v>3036.1999999999994</v>
      </c>
      <c r="N293" s="33">
        <f t="shared" si="151"/>
        <v>0</v>
      </c>
      <c r="R293">
        <v>1</v>
      </c>
      <c r="U293" s="29">
        <f t="shared" si="142"/>
        <v>0</v>
      </c>
      <c r="V293" s="29">
        <f t="shared" si="143"/>
        <v>0</v>
      </c>
      <c r="W293" s="29">
        <f t="shared" si="144"/>
        <v>0</v>
      </c>
      <c r="X293" s="29">
        <f t="shared" si="145"/>
        <v>3036.1999999999994</v>
      </c>
      <c r="Y293" s="29">
        <f t="shared" si="146"/>
        <v>0</v>
      </c>
      <c r="Z293" s="29">
        <f t="shared" si="147"/>
        <v>0</v>
      </c>
    </row>
    <row r="294" spans="1:26" x14ac:dyDescent="0.3">
      <c r="A294" s="5" t="s">
        <v>3464</v>
      </c>
      <c r="B294" s="5" t="s">
        <v>3465</v>
      </c>
      <c r="C294" s="5">
        <v>300</v>
      </c>
      <c r="D294" s="6">
        <v>34237</v>
      </c>
      <c r="E294" s="17" t="str">
        <f>VLOOKUP(A294,'forecast data dump'!$A$1:$H$3450,4,FALSE)</f>
        <v>12-Mar-20 A</v>
      </c>
      <c r="F294" s="17">
        <f>VLOOKUP(A294,'forecast data dump'!$A$1:$H$3450,5,FALSE)</f>
        <v>44405</v>
      </c>
      <c r="G294" s="42">
        <f>VLOOKUP(A294,'forecast data dump'!$A$1:$H$3450,8,FALSE)</f>
        <v>0.9</v>
      </c>
      <c r="H294" s="5" t="s">
        <v>3745</v>
      </c>
      <c r="I294" s="39">
        <f t="shared" si="148"/>
        <v>29.999999999999993</v>
      </c>
      <c r="J294" s="5"/>
      <c r="K294" s="5"/>
      <c r="L294" s="33">
        <f t="shared" si="149"/>
        <v>3423.6999999999994</v>
      </c>
      <c r="M294" s="33">
        <f t="shared" si="150"/>
        <v>3423.6999999999994</v>
      </c>
      <c r="N294" s="33">
        <f t="shared" si="151"/>
        <v>0</v>
      </c>
      <c r="R294">
        <v>1</v>
      </c>
      <c r="U294" s="29">
        <f t="shared" si="142"/>
        <v>0</v>
      </c>
      <c r="V294" s="29">
        <f t="shared" si="143"/>
        <v>0</v>
      </c>
      <c r="W294" s="29">
        <f t="shared" si="144"/>
        <v>0</v>
      </c>
      <c r="X294" s="29">
        <f t="shared" si="145"/>
        <v>3423.6999999999994</v>
      </c>
      <c r="Y294" s="29">
        <f t="shared" si="146"/>
        <v>0</v>
      </c>
      <c r="Z294" s="29">
        <f t="shared" si="147"/>
        <v>0</v>
      </c>
    </row>
    <row r="295" spans="1:26" x14ac:dyDescent="0.3">
      <c r="A295" s="5" t="s">
        <v>3466</v>
      </c>
      <c r="B295" s="5" t="s">
        <v>3467</v>
      </c>
      <c r="C295" s="5">
        <v>20</v>
      </c>
      <c r="D295" s="6">
        <v>2530</v>
      </c>
      <c r="E295" s="17">
        <f>VLOOKUP(A295,'forecast data dump'!$A$1:$H$3450,4,FALSE)</f>
        <v>44406</v>
      </c>
      <c r="F295" s="17">
        <f>VLOOKUP(A295,'forecast data dump'!$A$1:$H$3450,5,FALSE)</f>
        <v>44412</v>
      </c>
      <c r="G295" s="42">
        <f>VLOOKUP(A295,'forecast data dump'!$A$1:$H$3450,8,FALSE)</f>
        <v>0</v>
      </c>
      <c r="H295" s="5" t="s">
        <v>3749</v>
      </c>
      <c r="I295" s="39">
        <f t="shared" si="148"/>
        <v>20</v>
      </c>
      <c r="J295" s="5"/>
      <c r="K295" s="5"/>
      <c r="L295" s="33">
        <f t="shared" si="149"/>
        <v>2530</v>
      </c>
      <c r="M295" s="33">
        <f t="shared" si="150"/>
        <v>2530</v>
      </c>
      <c r="N295" s="33">
        <f t="shared" si="151"/>
        <v>0</v>
      </c>
      <c r="T295">
        <v>1</v>
      </c>
      <c r="U295" s="29">
        <f t="shared" si="142"/>
        <v>0</v>
      </c>
      <c r="V295" s="29">
        <f t="shared" si="143"/>
        <v>0</v>
      </c>
      <c r="W295" s="29">
        <f t="shared" si="144"/>
        <v>0</v>
      </c>
      <c r="X295" s="29">
        <f t="shared" si="145"/>
        <v>0</v>
      </c>
      <c r="Y295" s="29">
        <f t="shared" si="146"/>
        <v>0</v>
      </c>
      <c r="Z295" s="29">
        <f t="shared" si="147"/>
        <v>2530</v>
      </c>
    </row>
    <row r="296" spans="1:26" x14ac:dyDescent="0.3">
      <c r="A296" s="5" t="s">
        <v>3466</v>
      </c>
      <c r="B296" s="5" t="s">
        <v>3467</v>
      </c>
      <c r="C296" s="5">
        <v>20</v>
      </c>
      <c r="D296" s="6">
        <v>2282</v>
      </c>
      <c r="E296" s="17">
        <f>VLOOKUP(A296,'forecast data dump'!$A$1:$H$3450,4,FALSE)</f>
        <v>44406</v>
      </c>
      <c r="F296" s="17">
        <f>VLOOKUP(A296,'forecast data dump'!$A$1:$H$3450,5,FALSE)</f>
        <v>44412</v>
      </c>
      <c r="G296" s="42">
        <f>VLOOKUP(A296,'forecast data dump'!$A$1:$H$3450,8,FALSE)</f>
        <v>0</v>
      </c>
      <c r="H296" s="5" t="s">
        <v>3745</v>
      </c>
      <c r="I296" s="39">
        <f t="shared" si="148"/>
        <v>20</v>
      </c>
      <c r="J296" s="5"/>
      <c r="K296" s="5"/>
      <c r="L296" s="33">
        <f t="shared" si="149"/>
        <v>2282</v>
      </c>
      <c r="M296" s="33">
        <f t="shared" si="150"/>
        <v>2282</v>
      </c>
      <c r="N296" s="33">
        <f t="shared" si="151"/>
        <v>0</v>
      </c>
      <c r="T296">
        <v>1</v>
      </c>
      <c r="U296" s="29">
        <f t="shared" si="142"/>
        <v>0</v>
      </c>
      <c r="V296" s="29">
        <f t="shared" si="143"/>
        <v>0</v>
      </c>
      <c r="W296" s="29">
        <f t="shared" si="144"/>
        <v>0</v>
      </c>
      <c r="X296" s="29">
        <f t="shared" si="145"/>
        <v>0</v>
      </c>
      <c r="Y296" s="29">
        <f t="shared" si="146"/>
        <v>0</v>
      </c>
      <c r="Z296" s="29">
        <f t="shared" si="147"/>
        <v>2282</v>
      </c>
    </row>
    <row r="297" spans="1:26" x14ac:dyDescent="0.3">
      <c r="A297" s="5" t="s">
        <v>3468</v>
      </c>
      <c r="B297" s="5" t="s">
        <v>3469</v>
      </c>
      <c r="C297" s="5">
        <v>4</v>
      </c>
      <c r="D297" s="6">
        <v>521</v>
      </c>
      <c r="E297" s="17">
        <f>VLOOKUP(A297,'forecast data dump'!$A$1:$H$3450,4,FALSE)</f>
        <v>44413</v>
      </c>
      <c r="F297" s="17">
        <f>VLOOKUP(A297,'forecast data dump'!$A$1:$H$3450,5,FALSE)</f>
        <v>44414</v>
      </c>
      <c r="G297" s="42">
        <f>VLOOKUP(A297,'forecast data dump'!$A$1:$H$3450,8,FALSE)</f>
        <v>0</v>
      </c>
      <c r="H297" s="5" t="s">
        <v>3746</v>
      </c>
      <c r="I297" s="39">
        <f t="shared" si="148"/>
        <v>4</v>
      </c>
      <c r="J297" s="5"/>
      <c r="K297" s="5"/>
      <c r="L297" s="33">
        <f t="shared" si="149"/>
        <v>521</v>
      </c>
      <c r="M297" s="33">
        <f t="shared" si="150"/>
        <v>521</v>
      </c>
      <c r="N297" s="33">
        <f t="shared" si="151"/>
        <v>0</v>
      </c>
      <c r="T297">
        <v>1</v>
      </c>
      <c r="U297" s="29">
        <f t="shared" si="142"/>
        <v>0</v>
      </c>
      <c r="V297" s="29">
        <f t="shared" si="143"/>
        <v>0</v>
      </c>
      <c r="W297" s="29">
        <f t="shared" si="144"/>
        <v>0</v>
      </c>
      <c r="X297" s="29">
        <f t="shared" si="145"/>
        <v>0</v>
      </c>
      <c r="Y297" s="29">
        <f t="shared" si="146"/>
        <v>0</v>
      </c>
      <c r="Z297" s="29">
        <f t="shared" si="147"/>
        <v>521</v>
      </c>
    </row>
    <row r="298" spans="1:26" x14ac:dyDescent="0.3">
      <c r="A298" s="5" t="s">
        <v>3468</v>
      </c>
      <c r="B298" s="5" t="s">
        <v>3469</v>
      </c>
      <c r="C298" s="5">
        <v>4</v>
      </c>
      <c r="D298" s="6">
        <v>521</v>
      </c>
      <c r="E298" s="17">
        <f>VLOOKUP(A298,'forecast data dump'!$A$1:$H$3450,4,FALSE)</f>
        <v>44413</v>
      </c>
      <c r="F298" s="17">
        <f>VLOOKUP(A298,'forecast data dump'!$A$1:$H$3450,5,FALSE)</f>
        <v>44414</v>
      </c>
      <c r="G298" s="42">
        <f>VLOOKUP(A298,'forecast data dump'!$A$1:$H$3450,8,FALSE)</f>
        <v>0</v>
      </c>
      <c r="H298" s="5" t="s">
        <v>3749</v>
      </c>
      <c r="I298" s="39">
        <f t="shared" si="148"/>
        <v>4</v>
      </c>
      <c r="J298" s="5"/>
      <c r="K298" s="5"/>
      <c r="L298" s="33">
        <f t="shared" si="149"/>
        <v>521</v>
      </c>
      <c r="M298" s="33">
        <f t="shared" si="150"/>
        <v>521</v>
      </c>
      <c r="N298" s="33">
        <f t="shared" si="151"/>
        <v>0</v>
      </c>
      <c r="T298">
        <v>1</v>
      </c>
      <c r="U298" s="29">
        <f t="shared" si="142"/>
        <v>0</v>
      </c>
      <c r="V298" s="29">
        <f t="shared" si="143"/>
        <v>0</v>
      </c>
      <c r="W298" s="29">
        <f t="shared" si="144"/>
        <v>0</v>
      </c>
      <c r="X298" s="29">
        <f t="shared" si="145"/>
        <v>0</v>
      </c>
      <c r="Y298" s="29">
        <f t="shared" si="146"/>
        <v>0</v>
      </c>
      <c r="Z298" s="29">
        <f t="shared" si="147"/>
        <v>521</v>
      </c>
    </row>
    <row r="299" spans="1:26" x14ac:dyDescent="0.3">
      <c r="A299" s="5" t="s">
        <v>3474</v>
      </c>
      <c r="B299" s="5" t="s">
        <v>3475</v>
      </c>
      <c r="C299" s="5">
        <v>40</v>
      </c>
      <c r="D299" s="6">
        <v>4702</v>
      </c>
      <c r="E299" s="17">
        <f>VLOOKUP(A299,'forecast data dump'!$A$1:$H$3450,4,FALSE)</f>
        <v>44426</v>
      </c>
      <c r="F299" s="17">
        <f>VLOOKUP(A299,'forecast data dump'!$A$1:$H$3450,5,FALSE)</f>
        <v>44454</v>
      </c>
      <c r="G299" s="42">
        <f>VLOOKUP(A299,'forecast data dump'!$A$1:$H$3450,8,FALSE)</f>
        <v>0</v>
      </c>
      <c r="H299" s="5" t="s">
        <v>3741</v>
      </c>
      <c r="I299" s="39">
        <f t="shared" si="148"/>
        <v>40</v>
      </c>
      <c r="J299" s="5"/>
      <c r="K299" s="5"/>
      <c r="L299" s="33">
        <f t="shared" si="149"/>
        <v>4702</v>
      </c>
      <c r="M299" s="33">
        <f t="shared" si="150"/>
        <v>4702</v>
      </c>
      <c r="N299" s="33">
        <f t="shared" si="151"/>
        <v>0</v>
      </c>
      <c r="T299">
        <v>1</v>
      </c>
      <c r="U299" s="29">
        <f t="shared" si="142"/>
        <v>0</v>
      </c>
      <c r="V299" s="29">
        <f t="shared" si="143"/>
        <v>0</v>
      </c>
      <c r="W299" s="29">
        <f t="shared" si="144"/>
        <v>0</v>
      </c>
      <c r="X299" s="29">
        <f t="shared" si="145"/>
        <v>0</v>
      </c>
      <c r="Y299" s="29">
        <f t="shared" si="146"/>
        <v>0</v>
      </c>
      <c r="Z299" s="29">
        <f t="shared" si="147"/>
        <v>4702</v>
      </c>
    </row>
    <row r="300" spans="1:26" x14ac:dyDescent="0.3">
      <c r="A300" s="5" t="s">
        <v>3474</v>
      </c>
      <c r="B300" s="5" t="s">
        <v>3475</v>
      </c>
      <c r="C300" s="5">
        <v>40</v>
      </c>
      <c r="D300" s="6">
        <v>5212</v>
      </c>
      <c r="E300" s="17">
        <f>VLOOKUP(A300,'forecast data dump'!$A$1:$H$3450,4,FALSE)</f>
        <v>44426</v>
      </c>
      <c r="F300" s="17">
        <f>VLOOKUP(A300,'forecast data dump'!$A$1:$H$3450,5,FALSE)</f>
        <v>44454</v>
      </c>
      <c r="G300" s="42">
        <f>VLOOKUP(A300,'forecast data dump'!$A$1:$H$3450,8,FALSE)</f>
        <v>0</v>
      </c>
      <c r="H300" s="5" t="s">
        <v>3749</v>
      </c>
      <c r="I300" s="39">
        <f t="shared" si="148"/>
        <v>40</v>
      </c>
      <c r="J300" s="5"/>
      <c r="K300" s="5"/>
      <c r="L300" s="33">
        <f t="shared" si="149"/>
        <v>5212</v>
      </c>
      <c r="M300" s="33">
        <f t="shared" si="150"/>
        <v>5212</v>
      </c>
      <c r="N300" s="33">
        <f t="shared" si="151"/>
        <v>0</v>
      </c>
      <c r="T300">
        <v>1</v>
      </c>
      <c r="U300" s="29">
        <f t="shared" si="142"/>
        <v>0</v>
      </c>
      <c r="V300" s="29">
        <f t="shared" si="143"/>
        <v>0</v>
      </c>
      <c r="W300" s="29">
        <f t="shared" si="144"/>
        <v>0</v>
      </c>
      <c r="X300" s="29">
        <f t="shared" si="145"/>
        <v>0</v>
      </c>
      <c r="Y300" s="29">
        <f t="shared" si="146"/>
        <v>0</v>
      </c>
      <c r="Z300" s="29">
        <f t="shared" si="147"/>
        <v>5212</v>
      </c>
    </row>
    <row r="301" spans="1:26" x14ac:dyDescent="0.3">
      <c r="A301" s="5" t="s">
        <v>3474</v>
      </c>
      <c r="B301" s="5" t="s">
        <v>3475</v>
      </c>
      <c r="C301" s="5">
        <v>40</v>
      </c>
      <c r="D301" s="6">
        <v>5212</v>
      </c>
      <c r="E301" s="17">
        <f>VLOOKUP(A301,'forecast data dump'!$A$1:$H$3450,4,FALSE)</f>
        <v>44426</v>
      </c>
      <c r="F301" s="17">
        <f>VLOOKUP(A301,'forecast data dump'!$A$1:$H$3450,5,FALSE)</f>
        <v>44454</v>
      </c>
      <c r="G301" s="42">
        <f>VLOOKUP(A301,'forecast data dump'!$A$1:$H$3450,8,FALSE)</f>
        <v>0</v>
      </c>
      <c r="H301" s="5" t="s">
        <v>3746</v>
      </c>
      <c r="I301" s="39">
        <f t="shared" si="148"/>
        <v>40</v>
      </c>
      <c r="J301" s="5"/>
      <c r="K301" s="5"/>
      <c r="L301" s="33">
        <f t="shared" si="149"/>
        <v>5212</v>
      </c>
      <c r="M301" s="33">
        <f t="shared" si="150"/>
        <v>5212</v>
      </c>
      <c r="N301" s="33">
        <f t="shared" si="151"/>
        <v>0</v>
      </c>
      <c r="T301">
        <v>1</v>
      </c>
      <c r="U301" s="29">
        <f t="shared" si="142"/>
        <v>0</v>
      </c>
      <c r="V301" s="29">
        <f t="shared" si="143"/>
        <v>0</v>
      </c>
      <c r="W301" s="29">
        <f t="shared" si="144"/>
        <v>0</v>
      </c>
      <c r="X301" s="29">
        <f t="shared" si="145"/>
        <v>0</v>
      </c>
      <c r="Y301" s="29">
        <f t="shared" si="146"/>
        <v>0</v>
      </c>
      <c r="Z301" s="29">
        <f t="shared" si="147"/>
        <v>5212</v>
      </c>
    </row>
    <row r="302" spans="1:26" x14ac:dyDescent="0.3">
      <c r="A302" s="5" t="s">
        <v>3476</v>
      </c>
      <c r="B302" s="5" t="s">
        <v>3477</v>
      </c>
      <c r="C302" s="5">
        <v>20</v>
      </c>
      <c r="D302" s="6">
        <v>2351</v>
      </c>
      <c r="E302" s="17">
        <f>VLOOKUP(A302,'forecast data dump'!$A$1:$H$3450,4,FALSE)</f>
        <v>44432</v>
      </c>
      <c r="F302" s="17">
        <f>VLOOKUP(A302,'forecast data dump'!$A$1:$H$3450,5,FALSE)</f>
        <v>44446</v>
      </c>
      <c r="G302" s="42">
        <f>VLOOKUP(A302,'forecast data dump'!$A$1:$H$3450,8,FALSE)</f>
        <v>0</v>
      </c>
      <c r="H302" s="5" t="s">
        <v>3741</v>
      </c>
      <c r="I302" s="39">
        <f t="shared" si="148"/>
        <v>20</v>
      </c>
      <c r="J302" s="5"/>
      <c r="K302" s="5"/>
      <c r="L302" s="33">
        <f t="shared" si="149"/>
        <v>2351</v>
      </c>
      <c r="M302" s="33">
        <f t="shared" si="150"/>
        <v>2351</v>
      </c>
      <c r="N302" s="33">
        <f t="shared" si="151"/>
        <v>0</v>
      </c>
      <c r="T302">
        <v>1</v>
      </c>
      <c r="U302" s="29">
        <f t="shared" si="142"/>
        <v>0</v>
      </c>
      <c r="V302" s="29">
        <f t="shared" si="143"/>
        <v>0</v>
      </c>
      <c r="W302" s="29">
        <f t="shared" si="144"/>
        <v>0</v>
      </c>
      <c r="X302" s="29">
        <f t="shared" si="145"/>
        <v>0</v>
      </c>
      <c r="Y302" s="29">
        <f t="shared" si="146"/>
        <v>0</v>
      </c>
      <c r="Z302" s="29">
        <f t="shared" si="147"/>
        <v>2351</v>
      </c>
    </row>
    <row r="303" spans="1:26" x14ac:dyDescent="0.3">
      <c r="A303" s="5" t="s">
        <v>3476</v>
      </c>
      <c r="B303" s="5" t="s">
        <v>3477</v>
      </c>
      <c r="C303" s="5">
        <v>20</v>
      </c>
      <c r="D303" s="6">
        <v>2606</v>
      </c>
      <c r="E303" s="17">
        <f>VLOOKUP(A303,'forecast data dump'!$A$1:$H$3450,4,FALSE)</f>
        <v>44432</v>
      </c>
      <c r="F303" s="17">
        <f>VLOOKUP(A303,'forecast data dump'!$A$1:$H$3450,5,FALSE)</f>
        <v>44446</v>
      </c>
      <c r="G303" s="42">
        <f>VLOOKUP(A303,'forecast data dump'!$A$1:$H$3450,8,FALSE)</f>
        <v>0</v>
      </c>
      <c r="H303" s="5" t="s">
        <v>3749</v>
      </c>
      <c r="I303" s="39">
        <f t="shared" si="148"/>
        <v>20</v>
      </c>
      <c r="J303" s="5"/>
      <c r="K303" s="5"/>
      <c r="L303" s="33">
        <f t="shared" si="149"/>
        <v>2606</v>
      </c>
      <c r="M303" s="33">
        <f t="shared" si="150"/>
        <v>2606</v>
      </c>
      <c r="N303" s="33">
        <f t="shared" si="151"/>
        <v>0</v>
      </c>
      <c r="T303">
        <v>1</v>
      </c>
      <c r="U303" s="29">
        <f t="shared" si="142"/>
        <v>0</v>
      </c>
      <c r="V303" s="29">
        <f t="shared" si="143"/>
        <v>0</v>
      </c>
      <c r="W303" s="29">
        <f t="shared" si="144"/>
        <v>0</v>
      </c>
      <c r="X303" s="29">
        <f t="shared" si="145"/>
        <v>0</v>
      </c>
      <c r="Y303" s="29">
        <f t="shared" si="146"/>
        <v>0</v>
      </c>
      <c r="Z303" s="29">
        <f t="shared" si="147"/>
        <v>2606</v>
      </c>
    </row>
    <row r="304" spans="1:26" x14ac:dyDescent="0.3">
      <c r="A304" s="5" t="s">
        <v>3476</v>
      </c>
      <c r="B304" s="5" t="s">
        <v>3477</v>
      </c>
      <c r="C304" s="5">
        <v>20</v>
      </c>
      <c r="D304" s="6">
        <v>2606</v>
      </c>
      <c r="E304" s="17">
        <f>VLOOKUP(A304,'forecast data dump'!$A$1:$H$3450,4,FALSE)</f>
        <v>44432</v>
      </c>
      <c r="F304" s="17">
        <f>VLOOKUP(A304,'forecast data dump'!$A$1:$H$3450,5,FALSE)</f>
        <v>44446</v>
      </c>
      <c r="G304" s="42">
        <f>VLOOKUP(A304,'forecast data dump'!$A$1:$H$3450,8,FALSE)</f>
        <v>0</v>
      </c>
      <c r="H304" s="5" t="s">
        <v>3746</v>
      </c>
      <c r="I304" s="39">
        <f t="shared" si="148"/>
        <v>20</v>
      </c>
      <c r="J304" s="5"/>
      <c r="K304" s="5"/>
      <c r="L304" s="33">
        <f t="shared" si="149"/>
        <v>2606</v>
      </c>
      <c r="M304" s="33">
        <f t="shared" si="150"/>
        <v>2606</v>
      </c>
      <c r="N304" s="33">
        <f t="shared" si="151"/>
        <v>0</v>
      </c>
      <c r="T304">
        <v>1</v>
      </c>
      <c r="U304" s="29">
        <f t="shared" si="142"/>
        <v>0</v>
      </c>
      <c r="V304" s="29">
        <f t="shared" si="143"/>
        <v>0</v>
      </c>
      <c r="W304" s="29">
        <f t="shared" si="144"/>
        <v>0</v>
      </c>
      <c r="X304" s="29">
        <f t="shared" si="145"/>
        <v>0</v>
      </c>
      <c r="Y304" s="29">
        <f t="shared" si="146"/>
        <v>0</v>
      </c>
      <c r="Z304" s="29">
        <f t="shared" si="147"/>
        <v>2606</v>
      </c>
    </row>
    <row r="305" spans="1:26" x14ac:dyDescent="0.3">
      <c r="A305" s="5" t="s">
        <v>3478</v>
      </c>
      <c r="B305" s="5" t="s">
        <v>3479</v>
      </c>
      <c r="C305" s="5">
        <v>20</v>
      </c>
      <c r="D305" s="6">
        <v>2351</v>
      </c>
      <c r="E305" s="17">
        <f>VLOOKUP(A305,'forecast data dump'!$A$1:$H$3450,4,FALSE)</f>
        <v>44425</v>
      </c>
      <c r="F305" s="17">
        <f>VLOOKUP(A305,'forecast data dump'!$A$1:$H$3450,5,FALSE)</f>
        <v>44438</v>
      </c>
      <c r="G305" s="42">
        <f>VLOOKUP(A305,'forecast data dump'!$A$1:$H$3450,8,FALSE)</f>
        <v>0</v>
      </c>
      <c r="H305" s="5" t="s">
        <v>3741</v>
      </c>
      <c r="I305" s="39">
        <f t="shared" si="148"/>
        <v>20</v>
      </c>
      <c r="J305" s="5"/>
      <c r="K305" s="5"/>
      <c r="L305" s="33">
        <f t="shared" si="149"/>
        <v>2351</v>
      </c>
      <c r="M305" s="33">
        <f t="shared" si="150"/>
        <v>2351</v>
      </c>
      <c r="N305" s="33">
        <f t="shared" si="151"/>
        <v>0</v>
      </c>
      <c r="T305">
        <v>1</v>
      </c>
      <c r="U305" s="29">
        <f t="shared" si="142"/>
        <v>0</v>
      </c>
      <c r="V305" s="29">
        <f t="shared" si="143"/>
        <v>0</v>
      </c>
      <c r="W305" s="29">
        <f t="shared" si="144"/>
        <v>0</v>
      </c>
      <c r="X305" s="29">
        <f t="shared" si="145"/>
        <v>0</v>
      </c>
      <c r="Y305" s="29">
        <f t="shared" si="146"/>
        <v>0</v>
      </c>
      <c r="Z305" s="29">
        <f t="shared" si="147"/>
        <v>2351</v>
      </c>
    </row>
    <row r="306" spans="1:26" x14ac:dyDescent="0.3">
      <c r="A306" s="5" t="s">
        <v>3478</v>
      </c>
      <c r="B306" s="5" t="s">
        <v>3479</v>
      </c>
      <c r="C306" s="5">
        <v>20</v>
      </c>
      <c r="D306" s="6">
        <v>2606</v>
      </c>
      <c r="E306" s="17">
        <f>VLOOKUP(A306,'forecast data dump'!$A$1:$H$3450,4,FALSE)</f>
        <v>44425</v>
      </c>
      <c r="F306" s="17">
        <f>VLOOKUP(A306,'forecast data dump'!$A$1:$H$3450,5,FALSE)</f>
        <v>44438</v>
      </c>
      <c r="G306" s="42">
        <f>VLOOKUP(A306,'forecast data dump'!$A$1:$H$3450,8,FALSE)</f>
        <v>0</v>
      </c>
      <c r="H306" s="5" t="s">
        <v>3749</v>
      </c>
      <c r="I306" s="39">
        <f t="shared" si="148"/>
        <v>20</v>
      </c>
      <c r="J306" s="5"/>
      <c r="K306" s="5"/>
      <c r="L306" s="33">
        <f t="shared" si="149"/>
        <v>2606</v>
      </c>
      <c r="M306" s="33">
        <f t="shared" si="150"/>
        <v>2606</v>
      </c>
      <c r="N306" s="33">
        <f t="shared" si="151"/>
        <v>0</v>
      </c>
      <c r="T306">
        <v>1</v>
      </c>
      <c r="U306" s="29">
        <f t="shared" si="142"/>
        <v>0</v>
      </c>
      <c r="V306" s="29">
        <f t="shared" si="143"/>
        <v>0</v>
      </c>
      <c r="W306" s="29">
        <f t="shared" si="144"/>
        <v>0</v>
      </c>
      <c r="X306" s="29">
        <f t="shared" si="145"/>
        <v>0</v>
      </c>
      <c r="Y306" s="29">
        <f t="shared" si="146"/>
        <v>0</v>
      </c>
      <c r="Z306" s="29">
        <f t="shared" si="147"/>
        <v>2606</v>
      </c>
    </row>
    <row r="307" spans="1:26" x14ac:dyDescent="0.3">
      <c r="A307" s="5" t="s">
        <v>3478</v>
      </c>
      <c r="B307" s="5" t="s">
        <v>3479</v>
      </c>
      <c r="C307" s="5">
        <v>20</v>
      </c>
      <c r="D307" s="6">
        <v>2606</v>
      </c>
      <c r="E307" s="17">
        <f>VLOOKUP(A307,'forecast data dump'!$A$1:$H$3450,4,FALSE)</f>
        <v>44425</v>
      </c>
      <c r="F307" s="17">
        <f>VLOOKUP(A307,'forecast data dump'!$A$1:$H$3450,5,FALSE)</f>
        <v>44438</v>
      </c>
      <c r="G307" s="42">
        <f>VLOOKUP(A307,'forecast data dump'!$A$1:$H$3450,8,FALSE)</f>
        <v>0</v>
      </c>
      <c r="H307" s="5" t="s">
        <v>3746</v>
      </c>
      <c r="I307" s="39">
        <f t="shared" si="148"/>
        <v>20</v>
      </c>
      <c r="J307" s="5"/>
      <c r="K307" s="5"/>
      <c r="L307" s="33">
        <f t="shared" si="149"/>
        <v>2606</v>
      </c>
      <c r="M307" s="33">
        <f t="shared" si="150"/>
        <v>2606</v>
      </c>
      <c r="N307" s="33">
        <f t="shared" si="151"/>
        <v>0</v>
      </c>
      <c r="T307">
        <v>1</v>
      </c>
      <c r="U307" s="29">
        <f t="shared" si="142"/>
        <v>0</v>
      </c>
      <c r="V307" s="29">
        <f t="shared" si="143"/>
        <v>0</v>
      </c>
      <c r="W307" s="29">
        <f t="shared" si="144"/>
        <v>0</v>
      </c>
      <c r="X307" s="29">
        <f t="shared" si="145"/>
        <v>0</v>
      </c>
      <c r="Y307" s="29">
        <f t="shared" si="146"/>
        <v>0</v>
      </c>
      <c r="Z307" s="29">
        <f t="shared" si="147"/>
        <v>2606</v>
      </c>
    </row>
    <row r="308" spans="1:26" x14ac:dyDescent="0.3">
      <c r="A308" s="5" t="s">
        <v>3480</v>
      </c>
      <c r="B308" s="5" t="s">
        <v>3481</v>
      </c>
      <c r="C308" s="5">
        <v>10</v>
      </c>
      <c r="D308" s="6">
        <v>1175</v>
      </c>
      <c r="E308" s="17">
        <f>VLOOKUP(A308,'forecast data dump'!$A$1:$H$3450,4,FALSE)</f>
        <v>44441</v>
      </c>
      <c r="F308" s="17">
        <f>VLOOKUP(A308,'forecast data dump'!$A$1:$H$3450,5,FALSE)</f>
        <v>44455</v>
      </c>
      <c r="G308" s="42">
        <f>VLOOKUP(A308,'forecast data dump'!$A$1:$H$3450,8,FALSE)</f>
        <v>0</v>
      </c>
      <c r="H308" s="5" t="s">
        <v>3741</v>
      </c>
      <c r="I308" s="39">
        <f t="shared" si="148"/>
        <v>10</v>
      </c>
      <c r="J308" s="5"/>
      <c r="K308" s="5"/>
      <c r="L308" s="33">
        <f t="shared" si="149"/>
        <v>1175</v>
      </c>
      <c r="M308" s="33">
        <f t="shared" si="150"/>
        <v>1175</v>
      </c>
      <c r="N308" s="33">
        <f t="shared" si="151"/>
        <v>0</v>
      </c>
      <c r="T308">
        <v>1</v>
      </c>
      <c r="U308" s="29">
        <f t="shared" si="142"/>
        <v>0</v>
      </c>
      <c r="V308" s="29">
        <f t="shared" si="143"/>
        <v>0</v>
      </c>
      <c r="W308" s="29">
        <f t="shared" si="144"/>
        <v>0</v>
      </c>
      <c r="X308" s="29">
        <f t="shared" si="145"/>
        <v>0</v>
      </c>
      <c r="Y308" s="29">
        <f t="shared" si="146"/>
        <v>0</v>
      </c>
      <c r="Z308" s="29">
        <f t="shared" si="147"/>
        <v>1175</v>
      </c>
    </row>
    <row r="309" spans="1:26" x14ac:dyDescent="0.3">
      <c r="A309" s="5" t="s">
        <v>3480</v>
      </c>
      <c r="B309" s="5" t="s">
        <v>3481</v>
      </c>
      <c r="C309" s="5">
        <v>10</v>
      </c>
      <c r="D309" s="6">
        <v>1303</v>
      </c>
      <c r="E309" s="17">
        <f>VLOOKUP(A309,'forecast data dump'!$A$1:$H$3450,4,FALSE)</f>
        <v>44441</v>
      </c>
      <c r="F309" s="17">
        <f>VLOOKUP(A309,'forecast data dump'!$A$1:$H$3450,5,FALSE)</f>
        <v>44455</v>
      </c>
      <c r="G309" s="42">
        <f>VLOOKUP(A309,'forecast data dump'!$A$1:$H$3450,8,FALSE)</f>
        <v>0</v>
      </c>
      <c r="H309" s="5" t="s">
        <v>3749</v>
      </c>
      <c r="I309" s="39">
        <f t="shared" si="148"/>
        <v>10</v>
      </c>
      <c r="J309" s="5"/>
      <c r="K309" s="5"/>
      <c r="L309" s="33">
        <f t="shared" si="149"/>
        <v>1303</v>
      </c>
      <c r="M309" s="33">
        <f t="shared" si="150"/>
        <v>1303</v>
      </c>
      <c r="N309" s="33">
        <f t="shared" si="151"/>
        <v>0</v>
      </c>
      <c r="T309">
        <v>1</v>
      </c>
      <c r="U309" s="29">
        <f t="shared" ref="U309:U371" si="152">O309*M309</f>
        <v>0</v>
      </c>
      <c r="V309" s="29">
        <f t="shared" ref="V309:V371" si="153">P309*M309</f>
        <v>0</v>
      </c>
      <c r="W309" s="29">
        <f t="shared" ref="W309:W371" si="154">Q309*M309</f>
        <v>0</v>
      </c>
      <c r="X309" s="29">
        <f t="shared" ref="X309:X371" si="155">R309*M309</f>
        <v>0</v>
      </c>
      <c r="Y309" s="29">
        <f t="shared" ref="Y309:Y371" si="156">S309*M309</f>
        <v>0</v>
      </c>
      <c r="Z309" s="29">
        <f t="shared" ref="Z309:Z371" si="157">T309*M309</f>
        <v>1303</v>
      </c>
    </row>
    <row r="310" spans="1:26" x14ac:dyDescent="0.3">
      <c r="A310" s="5" t="s">
        <v>3480</v>
      </c>
      <c r="B310" s="5" t="s">
        <v>3481</v>
      </c>
      <c r="C310" s="5">
        <v>10</v>
      </c>
      <c r="D310" s="6">
        <v>1303</v>
      </c>
      <c r="E310" s="17">
        <f>VLOOKUP(A310,'forecast data dump'!$A$1:$H$3450,4,FALSE)</f>
        <v>44441</v>
      </c>
      <c r="F310" s="17">
        <f>VLOOKUP(A310,'forecast data dump'!$A$1:$H$3450,5,FALSE)</f>
        <v>44455</v>
      </c>
      <c r="G310" s="42">
        <f>VLOOKUP(A310,'forecast data dump'!$A$1:$H$3450,8,FALSE)</f>
        <v>0</v>
      </c>
      <c r="H310" s="5" t="s">
        <v>3746</v>
      </c>
      <c r="I310" s="39">
        <f t="shared" si="148"/>
        <v>10</v>
      </c>
      <c r="J310" s="5"/>
      <c r="K310" s="5"/>
      <c r="L310" s="33">
        <f t="shared" si="149"/>
        <v>1303</v>
      </c>
      <c r="M310" s="33">
        <f t="shared" si="150"/>
        <v>1303</v>
      </c>
      <c r="N310" s="33">
        <f t="shared" si="151"/>
        <v>0</v>
      </c>
      <c r="T310">
        <v>1</v>
      </c>
      <c r="U310" s="29">
        <f t="shared" si="152"/>
        <v>0</v>
      </c>
      <c r="V310" s="29">
        <f t="shared" si="153"/>
        <v>0</v>
      </c>
      <c r="W310" s="29">
        <f t="shared" si="154"/>
        <v>0</v>
      </c>
      <c r="X310" s="29">
        <f t="shared" si="155"/>
        <v>0</v>
      </c>
      <c r="Y310" s="29">
        <f t="shared" si="156"/>
        <v>0</v>
      </c>
      <c r="Z310" s="29">
        <f t="shared" si="157"/>
        <v>1303</v>
      </c>
    </row>
    <row r="311" spans="1:26" x14ac:dyDescent="0.3">
      <c r="A311" s="5" t="s">
        <v>3484</v>
      </c>
      <c r="B311" s="5" t="s">
        <v>3485</v>
      </c>
      <c r="C311" s="5">
        <v>40</v>
      </c>
      <c r="D311" s="6">
        <v>4702</v>
      </c>
      <c r="E311" s="17">
        <f>VLOOKUP(A311,'forecast data dump'!$A$1:$H$3450,4,FALSE)</f>
        <v>44417</v>
      </c>
      <c r="F311" s="17">
        <f>VLOOKUP(A311,'forecast data dump'!$A$1:$H$3450,5,FALSE)</f>
        <v>44428</v>
      </c>
      <c r="G311" s="42">
        <f>VLOOKUP(A311,'forecast data dump'!$A$1:$H$3450,8,FALSE)</f>
        <v>0</v>
      </c>
      <c r="H311" s="5" t="s">
        <v>3741</v>
      </c>
      <c r="I311" s="39">
        <f t="shared" si="148"/>
        <v>40</v>
      </c>
      <c r="J311" s="5"/>
      <c r="K311" s="5"/>
      <c r="L311" s="33">
        <f t="shared" si="149"/>
        <v>4702</v>
      </c>
      <c r="M311" s="33">
        <f t="shared" si="150"/>
        <v>4702</v>
      </c>
      <c r="N311" s="33">
        <f t="shared" si="151"/>
        <v>0</v>
      </c>
      <c r="T311">
        <v>1</v>
      </c>
      <c r="U311" s="29">
        <f t="shared" si="152"/>
        <v>0</v>
      </c>
      <c r="V311" s="29">
        <f t="shared" si="153"/>
        <v>0</v>
      </c>
      <c r="W311" s="29">
        <f t="shared" si="154"/>
        <v>0</v>
      </c>
      <c r="X311" s="29">
        <f t="shared" si="155"/>
        <v>0</v>
      </c>
      <c r="Y311" s="29">
        <f t="shared" si="156"/>
        <v>0</v>
      </c>
      <c r="Z311" s="29">
        <f t="shared" si="157"/>
        <v>4702</v>
      </c>
    </row>
    <row r="312" spans="1:26" x14ac:dyDescent="0.3">
      <c r="A312" s="5" t="s">
        <v>3484</v>
      </c>
      <c r="B312" s="5" t="s">
        <v>3485</v>
      </c>
      <c r="C312" s="5">
        <v>40</v>
      </c>
      <c r="D312" s="6">
        <v>5212</v>
      </c>
      <c r="E312" s="17">
        <f>VLOOKUP(A312,'forecast data dump'!$A$1:$H$3450,4,FALSE)</f>
        <v>44417</v>
      </c>
      <c r="F312" s="17">
        <f>VLOOKUP(A312,'forecast data dump'!$A$1:$H$3450,5,FALSE)</f>
        <v>44428</v>
      </c>
      <c r="G312" s="42">
        <f>VLOOKUP(A312,'forecast data dump'!$A$1:$H$3450,8,FALSE)</f>
        <v>0</v>
      </c>
      <c r="H312" s="5" t="s">
        <v>3749</v>
      </c>
      <c r="I312" s="39">
        <f t="shared" si="148"/>
        <v>40</v>
      </c>
      <c r="J312" s="5"/>
      <c r="K312" s="5"/>
      <c r="L312" s="33">
        <f t="shared" si="149"/>
        <v>5212</v>
      </c>
      <c r="M312" s="33">
        <f t="shared" si="150"/>
        <v>5212</v>
      </c>
      <c r="N312" s="33">
        <f t="shared" si="151"/>
        <v>0</v>
      </c>
      <c r="T312">
        <v>1</v>
      </c>
      <c r="U312" s="29">
        <f t="shared" si="152"/>
        <v>0</v>
      </c>
      <c r="V312" s="29">
        <f t="shared" si="153"/>
        <v>0</v>
      </c>
      <c r="W312" s="29">
        <f t="shared" si="154"/>
        <v>0</v>
      </c>
      <c r="X312" s="29">
        <f t="shared" si="155"/>
        <v>0</v>
      </c>
      <c r="Y312" s="29">
        <f t="shared" si="156"/>
        <v>0</v>
      </c>
      <c r="Z312" s="29">
        <f t="shared" si="157"/>
        <v>5212</v>
      </c>
    </row>
    <row r="313" spans="1:26" x14ac:dyDescent="0.3">
      <c r="A313" s="5" t="s">
        <v>3484</v>
      </c>
      <c r="B313" s="5" t="s">
        <v>3485</v>
      </c>
      <c r="C313" s="5">
        <v>40</v>
      </c>
      <c r="D313" s="6">
        <v>5212</v>
      </c>
      <c r="E313" s="17">
        <f>VLOOKUP(A313,'forecast data dump'!$A$1:$H$3450,4,FALSE)</f>
        <v>44417</v>
      </c>
      <c r="F313" s="17">
        <f>VLOOKUP(A313,'forecast data dump'!$A$1:$H$3450,5,FALSE)</f>
        <v>44428</v>
      </c>
      <c r="G313" s="42">
        <f>VLOOKUP(A313,'forecast data dump'!$A$1:$H$3450,8,FALSE)</f>
        <v>0</v>
      </c>
      <c r="H313" s="5" t="s">
        <v>3746</v>
      </c>
      <c r="I313" s="39">
        <f t="shared" si="148"/>
        <v>40</v>
      </c>
      <c r="J313" s="5"/>
      <c r="K313" s="5"/>
      <c r="L313" s="33">
        <f t="shared" si="149"/>
        <v>5212</v>
      </c>
      <c r="M313" s="33">
        <f t="shared" si="150"/>
        <v>5212</v>
      </c>
      <c r="N313" s="33">
        <f t="shared" si="151"/>
        <v>0</v>
      </c>
      <c r="T313">
        <v>1</v>
      </c>
      <c r="U313" s="29">
        <f t="shared" si="152"/>
        <v>0</v>
      </c>
      <c r="V313" s="29">
        <f t="shared" si="153"/>
        <v>0</v>
      </c>
      <c r="W313" s="29">
        <f t="shared" si="154"/>
        <v>0</v>
      </c>
      <c r="X313" s="29">
        <f t="shared" si="155"/>
        <v>0</v>
      </c>
      <c r="Y313" s="29">
        <f t="shared" si="156"/>
        <v>0</v>
      </c>
      <c r="Z313" s="29">
        <f t="shared" si="157"/>
        <v>5212</v>
      </c>
    </row>
    <row r="314" spans="1:26" x14ac:dyDescent="0.3">
      <c r="A314" s="5" t="s">
        <v>3490</v>
      </c>
      <c r="B314" s="5" t="s">
        <v>3491</v>
      </c>
      <c r="C314" s="5">
        <v>20</v>
      </c>
      <c r="D314" s="6">
        <v>2606</v>
      </c>
      <c r="E314" s="17">
        <f>VLOOKUP(A314,'forecast data dump'!$A$1:$H$3450,4,FALSE)</f>
        <v>44455</v>
      </c>
      <c r="F314" s="17">
        <f>VLOOKUP(A314,'forecast data dump'!$A$1:$H$3450,5,FALSE)</f>
        <v>44483</v>
      </c>
      <c r="G314" s="42">
        <f>VLOOKUP(A314,'forecast data dump'!$A$1:$H$3450,8,FALSE)</f>
        <v>0</v>
      </c>
      <c r="H314" s="5" t="s">
        <v>3749</v>
      </c>
      <c r="I314" s="39">
        <f t="shared" si="148"/>
        <v>20</v>
      </c>
      <c r="J314" s="5"/>
      <c r="K314" s="5"/>
      <c r="L314" s="33">
        <f t="shared" si="149"/>
        <v>2606</v>
      </c>
      <c r="M314" s="33">
        <f t="shared" si="150"/>
        <v>2606</v>
      </c>
      <c r="N314" s="33">
        <f t="shared" si="151"/>
        <v>0</v>
      </c>
      <c r="T314">
        <v>1</v>
      </c>
      <c r="U314" s="29">
        <f t="shared" si="152"/>
        <v>0</v>
      </c>
      <c r="V314" s="29">
        <f t="shared" si="153"/>
        <v>0</v>
      </c>
      <c r="W314" s="29">
        <f t="shared" si="154"/>
        <v>0</v>
      </c>
      <c r="X314" s="29">
        <f t="shared" si="155"/>
        <v>0</v>
      </c>
      <c r="Y314" s="29">
        <f t="shared" si="156"/>
        <v>0</v>
      </c>
      <c r="Z314" s="29">
        <f t="shared" si="157"/>
        <v>2606</v>
      </c>
    </row>
    <row r="315" spans="1:26" x14ac:dyDescent="0.3">
      <c r="A315" s="5" t="s">
        <v>3490</v>
      </c>
      <c r="B315" s="5" t="s">
        <v>3491</v>
      </c>
      <c r="C315" s="5">
        <v>20</v>
      </c>
      <c r="D315" s="6">
        <v>2606</v>
      </c>
      <c r="E315" s="17">
        <f>VLOOKUP(A315,'forecast data dump'!$A$1:$H$3450,4,FALSE)</f>
        <v>44455</v>
      </c>
      <c r="F315" s="17">
        <f>VLOOKUP(A315,'forecast data dump'!$A$1:$H$3450,5,FALSE)</f>
        <v>44483</v>
      </c>
      <c r="G315" s="42">
        <f>VLOOKUP(A315,'forecast data dump'!$A$1:$H$3450,8,FALSE)</f>
        <v>0</v>
      </c>
      <c r="H315" s="5" t="s">
        <v>3746</v>
      </c>
      <c r="I315" s="39">
        <f t="shared" si="148"/>
        <v>20</v>
      </c>
      <c r="J315" s="5"/>
      <c r="K315" s="5"/>
      <c r="L315" s="33">
        <f t="shared" si="149"/>
        <v>2606</v>
      </c>
      <c r="M315" s="33">
        <f t="shared" si="150"/>
        <v>2606</v>
      </c>
      <c r="N315" s="33">
        <f t="shared" si="151"/>
        <v>0</v>
      </c>
      <c r="T315">
        <v>1</v>
      </c>
      <c r="U315" s="29">
        <f t="shared" si="152"/>
        <v>0</v>
      </c>
      <c r="V315" s="29">
        <f t="shared" si="153"/>
        <v>0</v>
      </c>
      <c r="W315" s="29">
        <f t="shared" si="154"/>
        <v>0</v>
      </c>
      <c r="X315" s="29">
        <f t="shared" si="155"/>
        <v>0</v>
      </c>
      <c r="Y315" s="29">
        <f t="shared" si="156"/>
        <v>0</v>
      </c>
      <c r="Z315" s="29">
        <f t="shared" si="157"/>
        <v>2606</v>
      </c>
    </row>
    <row r="316" spans="1:26" x14ac:dyDescent="0.3">
      <c r="A316" s="5" t="s">
        <v>3492</v>
      </c>
      <c r="B316" s="5" t="s">
        <v>3493</v>
      </c>
      <c r="C316" s="5">
        <v>20</v>
      </c>
      <c r="D316" s="6">
        <v>2606</v>
      </c>
      <c r="E316" s="17">
        <f>VLOOKUP(A316,'forecast data dump'!$A$1:$H$3450,4,FALSE)</f>
        <v>44447</v>
      </c>
      <c r="F316" s="17">
        <f>VLOOKUP(A316,'forecast data dump'!$A$1:$H$3450,5,FALSE)</f>
        <v>44474</v>
      </c>
      <c r="G316" s="42">
        <f>VLOOKUP(A316,'forecast data dump'!$A$1:$H$3450,8,FALSE)</f>
        <v>0</v>
      </c>
      <c r="H316" s="5" t="s">
        <v>3749</v>
      </c>
      <c r="I316" s="39">
        <f t="shared" si="148"/>
        <v>20</v>
      </c>
      <c r="J316" s="5"/>
      <c r="K316" s="5"/>
      <c r="L316" s="33">
        <f t="shared" si="149"/>
        <v>2606</v>
      </c>
      <c r="M316" s="33">
        <f t="shared" si="150"/>
        <v>2606</v>
      </c>
      <c r="N316" s="33">
        <f t="shared" si="151"/>
        <v>0</v>
      </c>
      <c r="T316">
        <v>1</v>
      </c>
      <c r="U316" s="29">
        <f t="shared" si="152"/>
        <v>0</v>
      </c>
      <c r="V316" s="29">
        <f t="shared" si="153"/>
        <v>0</v>
      </c>
      <c r="W316" s="29">
        <f t="shared" si="154"/>
        <v>0</v>
      </c>
      <c r="X316" s="29">
        <f t="shared" si="155"/>
        <v>0</v>
      </c>
      <c r="Y316" s="29">
        <f t="shared" si="156"/>
        <v>0</v>
      </c>
      <c r="Z316" s="29">
        <f t="shared" si="157"/>
        <v>2606</v>
      </c>
    </row>
    <row r="317" spans="1:26" x14ac:dyDescent="0.3">
      <c r="A317" s="5" t="s">
        <v>3492</v>
      </c>
      <c r="B317" s="5" t="s">
        <v>3493</v>
      </c>
      <c r="C317" s="5">
        <v>20</v>
      </c>
      <c r="D317" s="6">
        <v>2606</v>
      </c>
      <c r="E317" s="17">
        <f>VLOOKUP(A317,'forecast data dump'!$A$1:$H$3450,4,FALSE)</f>
        <v>44447</v>
      </c>
      <c r="F317" s="17">
        <f>VLOOKUP(A317,'forecast data dump'!$A$1:$H$3450,5,FALSE)</f>
        <v>44474</v>
      </c>
      <c r="G317" s="42">
        <f>VLOOKUP(A317,'forecast data dump'!$A$1:$H$3450,8,FALSE)</f>
        <v>0</v>
      </c>
      <c r="H317" s="5" t="s">
        <v>3746</v>
      </c>
      <c r="I317" s="39">
        <f t="shared" si="148"/>
        <v>20</v>
      </c>
      <c r="J317" s="5"/>
      <c r="K317" s="5"/>
      <c r="L317" s="33">
        <f t="shared" si="149"/>
        <v>2606</v>
      </c>
      <c r="M317" s="33">
        <f t="shared" si="150"/>
        <v>2606</v>
      </c>
      <c r="N317" s="33">
        <f t="shared" si="151"/>
        <v>0</v>
      </c>
      <c r="T317">
        <v>1</v>
      </c>
      <c r="U317" s="29">
        <f t="shared" si="152"/>
        <v>0</v>
      </c>
      <c r="V317" s="29">
        <f t="shared" si="153"/>
        <v>0</v>
      </c>
      <c r="W317" s="29">
        <f t="shared" si="154"/>
        <v>0</v>
      </c>
      <c r="X317" s="29">
        <f t="shared" si="155"/>
        <v>0</v>
      </c>
      <c r="Y317" s="29">
        <f t="shared" si="156"/>
        <v>0</v>
      </c>
      <c r="Z317" s="29">
        <f t="shared" si="157"/>
        <v>2606</v>
      </c>
    </row>
    <row r="318" spans="1:26" x14ac:dyDescent="0.3">
      <c r="A318" s="5" t="s">
        <v>3494</v>
      </c>
      <c r="B318" s="5" t="s">
        <v>3495</v>
      </c>
      <c r="C318" s="5">
        <v>20</v>
      </c>
      <c r="D318" s="6">
        <v>2606</v>
      </c>
      <c r="E318" s="17">
        <f>VLOOKUP(A318,'forecast data dump'!$A$1:$H$3450,4,FALSE)</f>
        <v>44439</v>
      </c>
      <c r="F318" s="17">
        <f>VLOOKUP(A318,'forecast data dump'!$A$1:$H$3450,5,FALSE)</f>
        <v>44467</v>
      </c>
      <c r="G318" s="42">
        <f>VLOOKUP(A318,'forecast data dump'!$A$1:$H$3450,8,FALSE)</f>
        <v>0</v>
      </c>
      <c r="H318" s="5" t="s">
        <v>3749</v>
      </c>
      <c r="I318" s="39">
        <f t="shared" si="148"/>
        <v>20</v>
      </c>
      <c r="J318" s="5"/>
      <c r="K318" s="5"/>
      <c r="L318" s="33">
        <f t="shared" si="149"/>
        <v>2606</v>
      </c>
      <c r="M318" s="33">
        <f t="shared" si="150"/>
        <v>2606</v>
      </c>
      <c r="N318" s="33">
        <f t="shared" si="151"/>
        <v>0</v>
      </c>
      <c r="T318">
        <v>1</v>
      </c>
      <c r="U318" s="29">
        <f t="shared" si="152"/>
        <v>0</v>
      </c>
      <c r="V318" s="29">
        <f t="shared" si="153"/>
        <v>0</v>
      </c>
      <c r="W318" s="29">
        <f t="shared" si="154"/>
        <v>0</v>
      </c>
      <c r="X318" s="29">
        <f t="shared" si="155"/>
        <v>0</v>
      </c>
      <c r="Y318" s="29">
        <f t="shared" si="156"/>
        <v>0</v>
      </c>
      <c r="Z318" s="29">
        <f t="shared" si="157"/>
        <v>2606</v>
      </c>
    </row>
    <row r="319" spans="1:26" x14ac:dyDescent="0.3">
      <c r="A319" s="5" t="s">
        <v>3494</v>
      </c>
      <c r="B319" s="5" t="s">
        <v>3495</v>
      </c>
      <c r="C319" s="5">
        <v>20</v>
      </c>
      <c r="D319" s="6">
        <v>2606</v>
      </c>
      <c r="E319" s="17">
        <f>VLOOKUP(A319,'forecast data dump'!$A$1:$H$3450,4,FALSE)</f>
        <v>44439</v>
      </c>
      <c r="F319" s="17">
        <f>VLOOKUP(A319,'forecast data dump'!$A$1:$H$3450,5,FALSE)</f>
        <v>44467</v>
      </c>
      <c r="G319" s="42">
        <f>VLOOKUP(A319,'forecast data dump'!$A$1:$H$3450,8,FALSE)</f>
        <v>0</v>
      </c>
      <c r="H319" s="5" t="s">
        <v>3746</v>
      </c>
      <c r="I319" s="39">
        <f t="shared" si="148"/>
        <v>20</v>
      </c>
      <c r="J319" s="5"/>
      <c r="K319" s="5"/>
      <c r="L319" s="33">
        <f t="shared" si="149"/>
        <v>2606</v>
      </c>
      <c r="M319" s="33">
        <f t="shared" si="150"/>
        <v>2606</v>
      </c>
      <c r="N319" s="33">
        <f t="shared" si="151"/>
        <v>0</v>
      </c>
      <c r="T319">
        <v>1</v>
      </c>
      <c r="U319" s="29">
        <f t="shared" si="152"/>
        <v>0</v>
      </c>
      <c r="V319" s="29">
        <f t="shared" si="153"/>
        <v>0</v>
      </c>
      <c r="W319" s="29">
        <f t="shared" si="154"/>
        <v>0</v>
      </c>
      <c r="X319" s="29">
        <f t="shared" si="155"/>
        <v>0</v>
      </c>
      <c r="Y319" s="29">
        <f t="shared" si="156"/>
        <v>0</v>
      </c>
      <c r="Z319" s="29">
        <f t="shared" si="157"/>
        <v>2606</v>
      </c>
    </row>
    <row r="320" spans="1:26" x14ac:dyDescent="0.3">
      <c r="A320" s="5" t="s">
        <v>3496</v>
      </c>
      <c r="B320" s="5" t="s">
        <v>3497</v>
      </c>
      <c r="C320" s="5">
        <v>10</v>
      </c>
      <c r="D320" s="6">
        <v>1303</v>
      </c>
      <c r="E320" s="17">
        <f>VLOOKUP(A320,'forecast data dump'!$A$1:$H$3450,4,FALSE)</f>
        <v>44456</v>
      </c>
      <c r="F320" s="17">
        <f>VLOOKUP(A320,'forecast data dump'!$A$1:$H$3450,5,FALSE)</f>
        <v>44484</v>
      </c>
      <c r="G320" s="42">
        <f>VLOOKUP(A320,'forecast data dump'!$A$1:$H$3450,8,FALSE)</f>
        <v>0</v>
      </c>
      <c r="H320" s="5" t="s">
        <v>3749</v>
      </c>
      <c r="I320" s="39">
        <f t="shared" si="148"/>
        <v>10</v>
      </c>
      <c r="J320" s="5"/>
      <c r="K320" s="5"/>
      <c r="L320" s="33">
        <f t="shared" si="149"/>
        <v>1303</v>
      </c>
      <c r="M320" s="33">
        <f t="shared" si="150"/>
        <v>1303</v>
      </c>
      <c r="N320" s="33">
        <f t="shared" si="151"/>
        <v>0</v>
      </c>
      <c r="T320">
        <v>1</v>
      </c>
      <c r="U320" s="29">
        <f t="shared" si="152"/>
        <v>0</v>
      </c>
      <c r="V320" s="29">
        <f t="shared" si="153"/>
        <v>0</v>
      </c>
      <c r="W320" s="29">
        <f t="shared" si="154"/>
        <v>0</v>
      </c>
      <c r="X320" s="29">
        <f t="shared" si="155"/>
        <v>0</v>
      </c>
      <c r="Y320" s="29">
        <f t="shared" si="156"/>
        <v>0</v>
      </c>
      <c r="Z320" s="29">
        <f t="shared" si="157"/>
        <v>1303</v>
      </c>
    </row>
    <row r="321" spans="1:26" x14ac:dyDescent="0.3">
      <c r="A321" s="5" t="s">
        <v>3496</v>
      </c>
      <c r="B321" s="5" t="s">
        <v>3497</v>
      </c>
      <c r="C321" s="5">
        <v>10</v>
      </c>
      <c r="D321" s="6">
        <v>1303</v>
      </c>
      <c r="E321" s="17">
        <f>VLOOKUP(A321,'forecast data dump'!$A$1:$H$3450,4,FALSE)</f>
        <v>44456</v>
      </c>
      <c r="F321" s="17">
        <f>VLOOKUP(A321,'forecast data dump'!$A$1:$H$3450,5,FALSE)</f>
        <v>44484</v>
      </c>
      <c r="G321" s="42">
        <f>VLOOKUP(A321,'forecast data dump'!$A$1:$H$3450,8,FALSE)</f>
        <v>0</v>
      </c>
      <c r="H321" s="5" t="s">
        <v>3746</v>
      </c>
      <c r="I321" s="39">
        <f t="shared" si="148"/>
        <v>10</v>
      </c>
      <c r="J321" s="5"/>
      <c r="K321" s="5"/>
      <c r="L321" s="33">
        <f t="shared" si="149"/>
        <v>1303</v>
      </c>
      <c r="M321" s="33">
        <f t="shared" si="150"/>
        <v>1303</v>
      </c>
      <c r="N321" s="33">
        <f t="shared" si="151"/>
        <v>0</v>
      </c>
      <c r="T321">
        <v>1</v>
      </c>
      <c r="U321" s="29">
        <f t="shared" si="152"/>
        <v>0</v>
      </c>
      <c r="V321" s="29">
        <f t="shared" si="153"/>
        <v>0</v>
      </c>
      <c r="W321" s="29">
        <f t="shared" si="154"/>
        <v>0</v>
      </c>
      <c r="X321" s="29">
        <f t="shared" si="155"/>
        <v>0</v>
      </c>
      <c r="Y321" s="29">
        <f t="shared" si="156"/>
        <v>0</v>
      </c>
      <c r="Z321" s="29">
        <f t="shared" si="157"/>
        <v>1303</v>
      </c>
    </row>
    <row r="322" spans="1:26" x14ac:dyDescent="0.3">
      <c r="A322" s="5" t="s">
        <v>3500</v>
      </c>
      <c r="B322" s="5" t="s">
        <v>3501</v>
      </c>
      <c r="C322" s="5">
        <v>20</v>
      </c>
      <c r="D322" s="6">
        <v>2606</v>
      </c>
      <c r="E322" s="17">
        <f>VLOOKUP(A322,'forecast data dump'!$A$1:$H$3450,4,FALSE)</f>
        <v>44431</v>
      </c>
      <c r="F322" s="17">
        <f>VLOOKUP(A322,'forecast data dump'!$A$1:$H$3450,5,FALSE)</f>
        <v>44459</v>
      </c>
      <c r="G322" s="42">
        <f>VLOOKUP(A322,'forecast data dump'!$A$1:$H$3450,8,FALSE)</f>
        <v>0</v>
      </c>
      <c r="H322" s="5" t="s">
        <v>3749</v>
      </c>
      <c r="I322" s="39">
        <f t="shared" si="148"/>
        <v>20</v>
      </c>
      <c r="J322" s="5"/>
      <c r="K322" s="5"/>
      <c r="L322" s="33">
        <f t="shared" si="149"/>
        <v>2606</v>
      </c>
      <c r="M322" s="33">
        <f t="shared" si="150"/>
        <v>2606</v>
      </c>
      <c r="N322" s="33">
        <f t="shared" si="151"/>
        <v>0</v>
      </c>
      <c r="T322">
        <v>1</v>
      </c>
      <c r="U322" s="29">
        <f t="shared" si="152"/>
        <v>0</v>
      </c>
      <c r="V322" s="29">
        <f t="shared" si="153"/>
        <v>0</v>
      </c>
      <c r="W322" s="29">
        <f t="shared" si="154"/>
        <v>0</v>
      </c>
      <c r="X322" s="29">
        <f t="shared" si="155"/>
        <v>0</v>
      </c>
      <c r="Y322" s="29">
        <f t="shared" si="156"/>
        <v>0</v>
      </c>
      <c r="Z322" s="29">
        <f t="shared" si="157"/>
        <v>2606</v>
      </c>
    </row>
    <row r="323" spans="1:26" x14ac:dyDescent="0.3">
      <c r="A323" s="5" t="s">
        <v>3500</v>
      </c>
      <c r="B323" s="5" t="s">
        <v>3501</v>
      </c>
      <c r="C323" s="5">
        <v>20</v>
      </c>
      <c r="D323" s="6">
        <v>2606</v>
      </c>
      <c r="E323" s="17">
        <f>VLOOKUP(A323,'forecast data dump'!$A$1:$H$3450,4,FALSE)</f>
        <v>44431</v>
      </c>
      <c r="F323" s="17">
        <f>VLOOKUP(A323,'forecast data dump'!$A$1:$H$3450,5,FALSE)</f>
        <v>44459</v>
      </c>
      <c r="G323" s="42">
        <f>VLOOKUP(A323,'forecast data dump'!$A$1:$H$3450,8,FALSE)</f>
        <v>0</v>
      </c>
      <c r="H323" s="5" t="s">
        <v>3746</v>
      </c>
      <c r="I323" s="39">
        <f t="shared" si="148"/>
        <v>20</v>
      </c>
      <c r="J323" s="5"/>
      <c r="K323" s="5"/>
      <c r="L323" s="33">
        <f t="shared" si="149"/>
        <v>2606</v>
      </c>
      <c r="M323" s="33">
        <f t="shared" si="150"/>
        <v>2606</v>
      </c>
      <c r="N323" s="33">
        <f t="shared" si="151"/>
        <v>0</v>
      </c>
      <c r="T323">
        <v>1</v>
      </c>
      <c r="U323" s="29">
        <f t="shared" si="152"/>
        <v>0</v>
      </c>
      <c r="V323" s="29">
        <f t="shared" si="153"/>
        <v>0</v>
      </c>
      <c r="W323" s="29">
        <f t="shared" si="154"/>
        <v>0</v>
      </c>
      <c r="X323" s="29">
        <f t="shared" si="155"/>
        <v>0</v>
      </c>
      <c r="Y323" s="29">
        <f t="shared" si="156"/>
        <v>0</v>
      </c>
      <c r="Z323" s="29">
        <f t="shared" si="157"/>
        <v>2606</v>
      </c>
    </row>
    <row r="324" spans="1:26" x14ac:dyDescent="0.3">
      <c r="A324" s="5" t="s">
        <v>3502</v>
      </c>
      <c r="B324" s="5" t="s">
        <v>3503</v>
      </c>
      <c r="C324" s="5">
        <v>50000</v>
      </c>
      <c r="D324" s="6">
        <v>58034</v>
      </c>
      <c r="E324" s="17" t="str">
        <f>VLOOKUP(A324,'forecast data dump'!$A$1:$H$3450,4,FALSE)</f>
        <v>10-May-21 A</v>
      </c>
      <c r="F324" s="17">
        <f>VLOOKUP(A324,'forecast data dump'!$A$1:$H$3450,5,FALSE)</f>
        <v>44413</v>
      </c>
      <c r="G324" s="42">
        <v>0.75</v>
      </c>
      <c r="H324" s="5" t="s">
        <v>3762</v>
      </c>
      <c r="I324" s="39">
        <f t="shared" si="148"/>
        <v>12500</v>
      </c>
      <c r="J324" s="5"/>
      <c r="K324" s="5"/>
      <c r="L324" s="33">
        <f t="shared" si="149"/>
        <v>14508.5</v>
      </c>
      <c r="M324" s="33">
        <f t="shared" si="150"/>
        <v>14508.5</v>
      </c>
      <c r="N324" s="33">
        <f t="shared" si="151"/>
        <v>0</v>
      </c>
      <c r="Q324">
        <v>1</v>
      </c>
      <c r="U324" s="29">
        <f t="shared" si="152"/>
        <v>0</v>
      </c>
      <c r="V324" s="29">
        <f t="shared" si="153"/>
        <v>0</v>
      </c>
      <c r="W324" s="29">
        <f t="shared" si="154"/>
        <v>14508.5</v>
      </c>
      <c r="X324" s="29">
        <f t="shared" si="155"/>
        <v>0</v>
      </c>
      <c r="Y324" s="29">
        <f t="shared" si="156"/>
        <v>0</v>
      </c>
      <c r="Z324" s="29">
        <f t="shared" si="157"/>
        <v>0</v>
      </c>
    </row>
    <row r="325" spans="1:26" x14ac:dyDescent="0.3">
      <c r="A325" s="5" t="s">
        <v>3506</v>
      </c>
      <c r="B325" s="5" t="s">
        <v>3507</v>
      </c>
      <c r="C325" s="5">
        <v>50000</v>
      </c>
      <c r="D325" s="6">
        <v>58034</v>
      </c>
      <c r="E325" s="17">
        <f>VLOOKUP(A325,'forecast data dump'!$A$1:$H$3450,4,FALSE)</f>
        <v>44487</v>
      </c>
      <c r="F325" s="17">
        <f>VLOOKUP(A325,'forecast data dump'!$A$1:$H$3450,5,FALSE)</f>
        <v>44545</v>
      </c>
      <c r="G325" s="42">
        <f>VLOOKUP(A325,'forecast data dump'!$A$1:$H$3450,8,FALSE)</f>
        <v>0</v>
      </c>
      <c r="H325" s="5" t="s">
        <v>3762</v>
      </c>
      <c r="I325" s="39">
        <f t="shared" si="148"/>
        <v>50000</v>
      </c>
      <c r="J325" s="5"/>
      <c r="K325" s="5"/>
      <c r="L325" s="33">
        <f t="shared" si="149"/>
        <v>58034</v>
      </c>
      <c r="M325" s="33">
        <f t="shared" si="150"/>
        <v>58034</v>
      </c>
      <c r="N325" s="33">
        <f t="shared" si="151"/>
        <v>0</v>
      </c>
      <c r="Q325">
        <v>1</v>
      </c>
      <c r="U325" s="29">
        <f t="shared" si="152"/>
        <v>0</v>
      </c>
      <c r="V325" s="29">
        <f t="shared" si="153"/>
        <v>0</v>
      </c>
      <c r="W325" s="29">
        <f t="shared" si="154"/>
        <v>58034</v>
      </c>
      <c r="X325" s="29">
        <f t="shared" si="155"/>
        <v>0</v>
      </c>
      <c r="Y325" s="29">
        <f t="shared" si="156"/>
        <v>0</v>
      </c>
      <c r="Z325" s="29">
        <f t="shared" si="157"/>
        <v>0</v>
      </c>
    </row>
    <row r="326" spans="1:26" x14ac:dyDescent="0.3">
      <c r="A326" s="5" t="s">
        <v>3508</v>
      </c>
      <c r="B326" s="5" t="s">
        <v>3509</v>
      </c>
      <c r="C326" s="5">
        <v>50000</v>
      </c>
      <c r="D326" s="6">
        <v>58034</v>
      </c>
      <c r="E326" s="17">
        <f>VLOOKUP(A326,'forecast data dump'!$A$1:$H$3450,4,FALSE)</f>
        <v>44476</v>
      </c>
      <c r="F326" s="17">
        <f>VLOOKUP(A326,'forecast data dump'!$A$1:$H$3450,5,FALSE)</f>
        <v>44537</v>
      </c>
      <c r="G326" s="42">
        <f>VLOOKUP(A326,'forecast data dump'!$A$1:$H$3450,8,FALSE)</f>
        <v>0</v>
      </c>
      <c r="H326" s="5" t="s">
        <v>3762</v>
      </c>
      <c r="I326" s="39">
        <f t="shared" si="148"/>
        <v>50000</v>
      </c>
      <c r="J326" s="5"/>
      <c r="K326" s="5"/>
      <c r="L326" s="33">
        <f t="shared" si="149"/>
        <v>58034</v>
      </c>
      <c r="M326" s="33">
        <f t="shared" si="150"/>
        <v>58034</v>
      </c>
      <c r="N326" s="33">
        <f t="shared" si="151"/>
        <v>0</v>
      </c>
      <c r="Q326">
        <v>1</v>
      </c>
      <c r="U326" s="29">
        <f t="shared" si="152"/>
        <v>0</v>
      </c>
      <c r="V326" s="29">
        <f t="shared" si="153"/>
        <v>0</v>
      </c>
      <c r="W326" s="29">
        <f t="shared" si="154"/>
        <v>58034</v>
      </c>
      <c r="X326" s="29">
        <f t="shared" si="155"/>
        <v>0</v>
      </c>
      <c r="Y326" s="29">
        <f t="shared" si="156"/>
        <v>0</v>
      </c>
      <c r="Z326" s="29">
        <f t="shared" si="157"/>
        <v>0</v>
      </c>
    </row>
    <row r="327" spans="1:26" x14ac:dyDescent="0.3">
      <c r="A327" s="5" t="s">
        <v>3510</v>
      </c>
      <c r="B327" s="5" t="s">
        <v>3511</v>
      </c>
      <c r="C327" s="5">
        <v>50000</v>
      </c>
      <c r="D327" s="6">
        <v>58034</v>
      </c>
      <c r="E327" s="17">
        <f>VLOOKUP(A327,'forecast data dump'!$A$1:$H$3450,4,FALSE)</f>
        <v>44469</v>
      </c>
      <c r="F327" s="17">
        <f>VLOOKUP(A327,'forecast data dump'!$A$1:$H$3450,5,FALSE)</f>
        <v>44530</v>
      </c>
      <c r="G327" s="42">
        <f>VLOOKUP(A327,'forecast data dump'!$A$1:$H$3450,8,FALSE)</f>
        <v>0</v>
      </c>
      <c r="H327" s="5" t="s">
        <v>3762</v>
      </c>
      <c r="I327" s="39">
        <f t="shared" si="148"/>
        <v>50000</v>
      </c>
      <c r="J327" s="5"/>
      <c r="K327" s="5"/>
      <c r="L327" s="33">
        <f t="shared" si="149"/>
        <v>58034</v>
      </c>
      <c r="M327" s="33">
        <f t="shared" si="150"/>
        <v>58034</v>
      </c>
      <c r="N327" s="33">
        <f t="shared" si="151"/>
        <v>0</v>
      </c>
      <c r="Q327">
        <v>1</v>
      </c>
      <c r="U327" s="29">
        <f t="shared" si="152"/>
        <v>0</v>
      </c>
      <c r="V327" s="29">
        <f t="shared" si="153"/>
        <v>0</v>
      </c>
      <c r="W327" s="29">
        <f t="shared" si="154"/>
        <v>58034</v>
      </c>
      <c r="X327" s="29">
        <f t="shared" si="155"/>
        <v>0</v>
      </c>
      <c r="Y327" s="29">
        <f t="shared" si="156"/>
        <v>0</v>
      </c>
      <c r="Z327" s="29">
        <f t="shared" si="157"/>
        <v>0</v>
      </c>
    </row>
    <row r="328" spans="1:26" x14ac:dyDescent="0.3">
      <c r="A328" s="5" t="s">
        <v>3512</v>
      </c>
      <c r="B328" s="5" t="s">
        <v>3513</v>
      </c>
      <c r="C328" s="5">
        <v>10000</v>
      </c>
      <c r="D328" s="6">
        <v>11607</v>
      </c>
      <c r="E328" s="17">
        <f>VLOOKUP(A328,'forecast data dump'!$A$1:$H$3450,4,FALSE)</f>
        <v>44487</v>
      </c>
      <c r="F328" s="17">
        <f>VLOOKUP(A328,'forecast data dump'!$A$1:$H$3450,5,FALSE)</f>
        <v>44515</v>
      </c>
      <c r="G328" s="42">
        <f>VLOOKUP(A328,'forecast data dump'!$A$1:$H$3450,8,FALSE)</f>
        <v>0</v>
      </c>
      <c r="H328" s="5" t="s">
        <v>3762</v>
      </c>
      <c r="I328" s="39">
        <f t="shared" ref="I328:I347" si="158">C328*(1-G328)</f>
        <v>10000</v>
      </c>
      <c r="J328" s="5"/>
      <c r="K328" s="5"/>
      <c r="L328" s="33">
        <f t="shared" ref="L328:L347" si="159">D328*(1-G328)</f>
        <v>11607</v>
      </c>
      <c r="M328" s="33">
        <f t="shared" ref="M328:M347" si="160">IF(J328="",L328,(D328/C328)*J328)</f>
        <v>11607</v>
      </c>
      <c r="N328" s="33">
        <f t="shared" ref="N328:N347" si="161">L328-M328</f>
        <v>0</v>
      </c>
      <c r="Q328">
        <v>1</v>
      </c>
      <c r="U328" s="29">
        <f t="shared" si="152"/>
        <v>0</v>
      </c>
      <c r="V328" s="29">
        <f t="shared" si="153"/>
        <v>0</v>
      </c>
      <c r="W328" s="29">
        <f t="shared" si="154"/>
        <v>11607</v>
      </c>
      <c r="X328" s="29">
        <f t="shared" si="155"/>
        <v>0</v>
      </c>
      <c r="Y328" s="29">
        <f t="shared" si="156"/>
        <v>0</v>
      </c>
      <c r="Z328" s="29">
        <f t="shared" si="157"/>
        <v>0</v>
      </c>
    </row>
    <row r="329" spans="1:26" x14ac:dyDescent="0.3">
      <c r="A329" s="5" t="s">
        <v>3514</v>
      </c>
      <c r="B329" s="5" t="s">
        <v>3515</v>
      </c>
      <c r="C329" s="5">
        <v>300000</v>
      </c>
      <c r="D329" s="6">
        <v>348205</v>
      </c>
      <c r="E329" s="17" t="str">
        <f>VLOOKUP(A329,'forecast data dump'!$A$1:$H$3450,4,FALSE)</f>
        <v>15-Apr-21 A</v>
      </c>
      <c r="F329" s="17">
        <f>VLOOKUP(A329,'forecast data dump'!$A$1:$H$3450,5,FALSE)</f>
        <v>44433</v>
      </c>
      <c r="G329" s="42">
        <f>VLOOKUP(A329,'forecast data dump'!$A$1:$H$3450,8,FALSE)</f>
        <v>0.25</v>
      </c>
      <c r="H329" s="5" t="s">
        <v>3762</v>
      </c>
      <c r="I329" s="39">
        <f t="shared" si="158"/>
        <v>225000</v>
      </c>
      <c r="J329" s="5"/>
      <c r="K329" s="5"/>
      <c r="L329" s="33">
        <f t="shared" si="159"/>
        <v>261153.75</v>
      </c>
      <c r="M329" s="33">
        <f t="shared" si="160"/>
        <v>261153.75</v>
      </c>
      <c r="N329" s="33">
        <f t="shared" si="161"/>
        <v>0</v>
      </c>
      <c r="O329">
        <v>1</v>
      </c>
      <c r="U329" s="29">
        <f t="shared" si="152"/>
        <v>261153.75</v>
      </c>
      <c r="V329" s="29">
        <f t="shared" si="153"/>
        <v>0</v>
      </c>
      <c r="W329" s="29">
        <f t="shared" si="154"/>
        <v>0</v>
      </c>
      <c r="X329" s="29">
        <f t="shared" si="155"/>
        <v>0</v>
      </c>
      <c r="Y329" s="29">
        <f t="shared" si="156"/>
        <v>0</v>
      </c>
      <c r="Z329" s="29">
        <f t="shared" si="157"/>
        <v>0</v>
      </c>
    </row>
    <row r="330" spans="1:26" x14ac:dyDescent="0.3">
      <c r="A330" s="5" t="s">
        <v>3516</v>
      </c>
      <c r="B330" s="5" t="s">
        <v>3517</v>
      </c>
      <c r="C330" s="5">
        <v>25000</v>
      </c>
      <c r="D330" s="6">
        <v>29017</v>
      </c>
      <c r="E330" s="17">
        <f>VLOOKUP(A330,'forecast data dump'!$A$1:$H$3450,4,FALSE)</f>
        <v>44460</v>
      </c>
      <c r="F330" s="17">
        <f>VLOOKUP(A330,'forecast data dump'!$A$1:$H$3450,5,FALSE)</f>
        <v>44488</v>
      </c>
      <c r="G330" s="42">
        <f>VLOOKUP(A330,'forecast data dump'!$A$1:$H$3450,8,FALSE)</f>
        <v>0</v>
      </c>
      <c r="H330" s="5" t="s">
        <v>3762</v>
      </c>
      <c r="I330" s="39">
        <f t="shared" si="158"/>
        <v>25000</v>
      </c>
      <c r="J330" s="5"/>
      <c r="K330" s="5"/>
      <c r="L330" s="33">
        <f t="shared" si="159"/>
        <v>29017</v>
      </c>
      <c r="M330" s="33">
        <f t="shared" si="160"/>
        <v>29017</v>
      </c>
      <c r="N330" s="33">
        <f t="shared" si="161"/>
        <v>0</v>
      </c>
      <c r="Q330">
        <v>1</v>
      </c>
      <c r="U330" s="29">
        <f t="shared" si="152"/>
        <v>0</v>
      </c>
      <c r="V330" s="29">
        <f t="shared" si="153"/>
        <v>0</v>
      </c>
      <c r="W330" s="29">
        <f t="shared" si="154"/>
        <v>29017</v>
      </c>
      <c r="X330" s="29">
        <f t="shared" si="155"/>
        <v>0</v>
      </c>
      <c r="Y330" s="29">
        <f t="shared" si="156"/>
        <v>0</v>
      </c>
      <c r="Z330" s="29">
        <f t="shared" si="157"/>
        <v>0</v>
      </c>
    </row>
    <row r="331" spans="1:26" x14ac:dyDescent="0.3">
      <c r="A331" s="5" t="s">
        <v>3518</v>
      </c>
      <c r="B331" s="5" t="s">
        <v>3519</v>
      </c>
      <c r="C331" s="5">
        <v>20</v>
      </c>
      <c r="D331" s="6">
        <v>2351</v>
      </c>
      <c r="E331" s="17">
        <f>VLOOKUP(A331,'forecast data dump'!$A$1:$H$3450,4,FALSE)</f>
        <v>44414</v>
      </c>
      <c r="F331" s="17">
        <f>VLOOKUP(A331,'forecast data dump'!$A$1:$H$3450,5,FALSE)</f>
        <v>44427</v>
      </c>
      <c r="G331" s="42">
        <f>VLOOKUP(A331,'forecast data dump'!$A$1:$H$3450,8,FALSE)</f>
        <v>0</v>
      </c>
      <c r="H331" s="5" t="s">
        <v>3741</v>
      </c>
      <c r="I331" s="39">
        <f t="shared" si="158"/>
        <v>20</v>
      </c>
      <c r="J331" s="5"/>
      <c r="K331" s="5"/>
      <c r="L331" s="33">
        <f t="shared" si="159"/>
        <v>2351</v>
      </c>
      <c r="M331" s="33">
        <f t="shared" si="160"/>
        <v>2351</v>
      </c>
      <c r="N331" s="33">
        <f t="shared" si="161"/>
        <v>0</v>
      </c>
      <c r="T331">
        <v>1</v>
      </c>
      <c r="U331" s="29">
        <f t="shared" si="152"/>
        <v>0</v>
      </c>
      <c r="V331" s="29">
        <f t="shared" si="153"/>
        <v>0</v>
      </c>
      <c r="W331" s="29">
        <f t="shared" si="154"/>
        <v>0</v>
      </c>
      <c r="X331" s="29">
        <f t="shared" si="155"/>
        <v>0</v>
      </c>
      <c r="Y331" s="29">
        <f t="shared" si="156"/>
        <v>0</v>
      </c>
      <c r="Z331" s="29">
        <f t="shared" si="157"/>
        <v>2351</v>
      </c>
    </row>
    <row r="332" spans="1:26" x14ac:dyDescent="0.3">
      <c r="A332" s="5" t="s">
        <v>3518</v>
      </c>
      <c r="B332" s="5" t="s">
        <v>3519</v>
      </c>
      <c r="C332" s="5">
        <v>20</v>
      </c>
      <c r="D332" s="6">
        <v>2606</v>
      </c>
      <c r="E332" s="17">
        <f>VLOOKUP(A332,'forecast data dump'!$A$1:$H$3450,4,FALSE)</f>
        <v>44414</v>
      </c>
      <c r="F332" s="17">
        <f>VLOOKUP(A332,'forecast data dump'!$A$1:$H$3450,5,FALSE)</f>
        <v>44427</v>
      </c>
      <c r="G332" s="42">
        <f>VLOOKUP(A332,'forecast data dump'!$A$1:$H$3450,8,FALSE)</f>
        <v>0</v>
      </c>
      <c r="H332" s="5" t="s">
        <v>3746</v>
      </c>
      <c r="I332" s="39">
        <f t="shared" si="158"/>
        <v>20</v>
      </c>
      <c r="J332" s="5"/>
      <c r="K332" s="5"/>
      <c r="L332" s="33">
        <f t="shared" si="159"/>
        <v>2606</v>
      </c>
      <c r="M332" s="33">
        <f t="shared" si="160"/>
        <v>2606</v>
      </c>
      <c r="N332" s="33">
        <f t="shared" si="161"/>
        <v>0</v>
      </c>
      <c r="T332">
        <v>1</v>
      </c>
      <c r="U332" s="29">
        <f t="shared" si="152"/>
        <v>0</v>
      </c>
      <c r="V332" s="29">
        <f t="shared" si="153"/>
        <v>0</v>
      </c>
      <c r="W332" s="29">
        <f t="shared" si="154"/>
        <v>0</v>
      </c>
      <c r="X332" s="29">
        <f t="shared" si="155"/>
        <v>0</v>
      </c>
      <c r="Y332" s="29">
        <f t="shared" si="156"/>
        <v>0</v>
      </c>
      <c r="Z332" s="29">
        <f t="shared" si="157"/>
        <v>2606</v>
      </c>
    </row>
    <row r="333" spans="1:26" x14ac:dyDescent="0.3">
      <c r="A333" s="5" t="s">
        <v>3522</v>
      </c>
      <c r="B333" s="5" t="s">
        <v>3523</v>
      </c>
      <c r="C333" s="5">
        <v>40</v>
      </c>
      <c r="D333" s="6">
        <v>4702</v>
      </c>
      <c r="E333" s="17">
        <f>VLOOKUP(A333,'forecast data dump'!$A$1:$H$3450,4,FALSE)</f>
        <v>44546</v>
      </c>
      <c r="F333" s="17">
        <f>VLOOKUP(A333,'forecast data dump'!$A$1:$H$3450,5,FALSE)</f>
        <v>44560</v>
      </c>
      <c r="G333" s="42">
        <f>VLOOKUP(A333,'forecast data dump'!$A$1:$H$3450,8,FALSE)</f>
        <v>0</v>
      </c>
      <c r="H333" s="5" t="s">
        <v>3741</v>
      </c>
      <c r="I333" s="39">
        <f t="shared" si="158"/>
        <v>40</v>
      </c>
      <c r="J333" s="5"/>
      <c r="K333" s="5"/>
      <c r="L333" s="33">
        <f t="shared" si="159"/>
        <v>4702</v>
      </c>
      <c r="M333" s="33">
        <f t="shared" si="160"/>
        <v>4702</v>
      </c>
      <c r="N333" s="33">
        <f t="shared" si="161"/>
        <v>0</v>
      </c>
      <c r="T333">
        <v>1</v>
      </c>
      <c r="U333" s="29">
        <f t="shared" si="152"/>
        <v>0</v>
      </c>
      <c r="V333" s="29">
        <f t="shared" si="153"/>
        <v>0</v>
      </c>
      <c r="W333" s="29">
        <f t="shared" si="154"/>
        <v>0</v>
      </c>
      <c r="X333" s="29">
        <f t="shared" si="155"/>
        <v>0</v>
      </c>
      <c r="Y333" s="29">
        <f t="shared" si="156"/>
        <v>0</v>
      </c>
      <c r="Z333" s="29">
        <f t="shared" si="157"/>
        <v>4702</v>
      </c>
    </row>
    <row r="334" spans="1:26" x14ac:dyDescent="0.3">
      <c r="A334" s="5" t="s">
        <v>3522</v>
      </c>
      <c r="B334" s="5" t="s">
        <v>3523</v>
      </c>
      <c r="C334" s="5">
        <v>40</v>
      </c>
      <c r="D334" s="6">
        <v>5212</v>
      </c>
      <c r="E334" s="17">
        <f>VLOOKUP(A334,'forecast data dump'!$A$1:$H$3450,4,FALSE)</f>
        <v>44546</v>
      </c>
      <c r="F334" s="17">
        <f>VLOOKUP(A334,'forecast data dump'!$A$1:$H$3450,5,FALSE)</f>
        <v>44560</v>
      </c>
      <c r="G334" s="42">
        <f>VLOOKUP(A334,'forecast data dump'!$A$1:$H$3450,8,FALSE)</f>
        <v>0</v>
      </c>
      <c r="H334" s="5" t="s">
        <v>3746</v>
      </c>
      <c r="I334" s="39">
        <f t="shared" si="158"/>
        <v>40</v>
      </c>
      <c r="J334" s="5"/>
      <c r="K334" s="5"/>
      <c r="L334" s="33">
        <f t="shared" si="159"/>
        <v>5212</v>
      </c>
      <c r="M334" s="33">
        <f t="shared" si="160"/>
        <v>5212</v>
      </c>
      <c r="N334" s="33">
        <f t="shared" si="161"/>
        <v>0</v>
      </c>
      <c r="T334">
        <v>1</v>
      </c>
      <c r="U334" s="29">
        <f t="shared" si="152"/>
        <v>0</v>
      </c>
      <c r="V334" s="29">
        <f t="shared" si="153"/>
        <v>0</v>
      </c>
      <c r="W334" s="29">
        <f t="shared" si="154"/>
        <v>0</v>
      </c>
      <c r="X334" s="29">
        <f t="shared" si="155"/>
        <v>0</v>
      </c>
      <c r="Y334" s="29">
        <f t="shared" si="156"/>
        <v>0</v>
      </c>
      <c r="Z334" s="29">
        <f t="shared" si="157"/>
        <v>5212</v>
      </c>
    </row>
    <row r="335" spans="1:26" x14ac:dyDescent="0.3">
      <c r="A335" s="5" t="s">
        <v>3524</v>
      </c>
      <c r="B335" s="5" t="s">
        <v>3525</v>
      </c>
      <c r="C335" s="5">
        <v>20</v>
      </c>
      <c r="D335" s="6">
        <v>2351</v>
      </c>
      <c r="E335" s="17">
        <f>VLOOKUP(A335,'forecast data dump'!$A$1:$H$3450,4,FALSE)</f>
        <v>44538</v>
      </c>
      <c r="F335" s="17">
        <f>VLOOKUP(A335,'forecast data dump'!$A$1:$H$3450,5,FALSE)</f>
        <v>44551</v>
      </c>
      <c r="G335" s="42">
        <f>VLOOKUP(A335,'forecast data dump'!$A$1:$H$3450,8,FALSE)</f>
        <v>0</v>
      </c>
      <c r="H335" s="5" t="s">
        <v>3741</v>
      </c>
      <c r="I335" s="39">
        <f t="shared" si="158"/>
        <v>20</v>
      </c>
      <c r="J335" s="5"/>
      <c r="K335" s="5"/>
      <c r="L335" s="33">
        <f t="shared" si="159"/>
        <v>2351</v>
      </c>
      <c r="M335" s="33">
        <f t="shared" si="160"/>
        <v>2351</v>
      </c>
      <c r="N335" s="33">
        <f t="shared" si="161"/>
        <v>0</v>
      </c>
      <c r="T335">
        <v>1</v>
      </c>
      <c r="U335" s="29">
        <f t="shared" si="152"/>
        <v>0</v>
      </c>
      <c r="V335" s="29">
        <f t="shared" si="153"/>
        <v>0</v>
      </c>
      <c r="W335" s="29">
        <f t="shared" si="154"/>
        <v>0</v>
      </c>
      <c r="X335" s="29">
        <f t="shared" si="155"/>
        <v>0</v>
      </c>
      <c r="Y335" s="29">
        <f t="shared" si="156"/>
        <v>0</v>
      </c>
      <c r="Z335" s="29">
        <f t="shared" si="157"/>
        <v>2351</v>
      </c>
    </row>
    <row r="336" spans="1:26" x14ac:dyDescent="0.3">
      <c r="A336" s="5" t="s">
        <v>3524</v>
      </c>
      <c r="B336" s="5" t="s">
        <v>3525</v>
      </c>
      <c r="C336" s="5">
        <v>20</v>
      </c>
      <c r="D336" s="6">
        <v>2606</v>
      </c>
      <c r="E336" s="17">
        <f>VLOOKUP(A336,'forecast data dump'!$A$1:$H$3450,4,FALSE)</f>
        <v>44538</v>
      </c>
      <c r="F336" s="17">
        <f>VLOOKUP(A336,'forecast data dump'!$A$1:$H$3450,5,FALSE)</f>
        <v>44551</v>
      </c>
      <c r="G336" s="42">
        <f>VLOOKUP(A336,'forecast data dump'!$A$1:$H$3450,8,FALSE)</f>
        <v>0</v>
      </c>
      <c r="H336" s="5" t="s">
        <v>3746</v>
      </c>
      <c r="I336" s="39">
        <f t="shared" si="158"/>
        <v>20</v>
      </c>
      <c r="J336" s="5"/>
      <c r="K336" s="5"/>
      <c r="L336" s="33">
        <f t="shared" si="159"/>
        <v>2606</v>
      </c>
      <c r="M336" s="33">
        <f t="shared" si="160"/>
        <v>2606</v>
      </c>
      <c r="N336" s="33">
        <f t="shared" si="161"/>
        <v>0</v>
      </c>
      <c r="T336">
        <v>1</v>
      </c>
      <c r="U336" s="29">
        <f t="shared" si="152"/>
        <v>0</v>
      </c>
      <c r="V336" s="29">
        <f t="shared" si="153"/>
        <v>0</v>
      </c>
      <c r="W336" s="29">
        <f t="shared" si="154"/>
        <v>0</v>
      </c>
      <c r="X336" s="29">
        <f t="shared" si="155"/>
        <v>0</v>
      </c>
      <c r="Y336" s="29">
        <f t="shared" si="156"/>
        <v>0</v>
      </c>
      <c r="Z336" s="29">
        <f t="shared" si="157"/>
        <v>2606</v>
      </c>
    </row>
    <row r="337" spans="1:27" x14ac:dyDescent="0.3">
      <c r="A337" s="5" t="s">
        <v>3526</v>
      </c>
      <c r="B337" s="5" t="s">
        <v>3527</v>
      </c>
      <c r="C337" s="5">
        <v>20</v>
      </c>
      <c r="D337" s="6">
        <v>2351</v>
      </c>
      <c r="E337" s="17">
        <f>VLOOKUP(A337,'forecast data dump'!$A$1:$H$3450,4,FALSE)</f>
        <v>44531</v>
      </c>
      <c r="F337" s="17">
        <f>VLOOKUP(A337,'forecast data dump'!$A$1:$H$3450,5,FALSE)</f>
        <v>44544</v>
      </c>
      <c r="G337" s="42">
        <f>VLOOKUP(A337,'forecast data dump'!$A$1:$H$3450,8,FALSE)</f>
        <v>0</v>
      </c>
      <c r="H337" s="5" t="s">
        <v>3741</v>
      </c>
      <c r="I337" s="39">
        <f t="shared" si="158"/>
        <v>20</v>
      </c>
      <c r="J337" s="5"/>
      <c r="K337" s="5"/>
      <c r="L337" s="33">
        <f t="shared" si="159"/>
        <v>2351</v>
      </c>
      <c r="M337" s="33">
        <f t="shared" si="160"/>
        <v>2351</v>
      </c>
      <c r="N337" s="33">
        <f t="shared" si="161"/>
        <v>0</v>
      </c>
      <c r="T337">
        <v>1</v>
      </c>
      <c r="U337" s="29">
        <f t="shared" si="152"/>
        <v>0</v>
      </c>
      <c r="V337" s="29">
        <f t="shared" si="153"/>
        <v>0</v>
      </c>
      <c r="W337" s="29">
        <f t="shared" si="154"/>
        <v>0</v>
      </c>
      <c r="X337" s="29">
        <f t="shared" si="155"/>
        <v>0</v>
      </c>
      <c r="Y337" s="29">
        <f t="shared" si="156"/>
        <v>0</v>
      </c>
      <c r="Z337" s="29">
        <f t="shared" si="157"/>
        <v>2351</v>
      </c>
    </row>
    <row r="338" spans="1:27" x14ac:dyDescent="0.3">
      <c r="A338" s="5" t="s">
        <v>3526</v>
      </c>
      <c r="B338" s="5" t="s">
        <v>3527</v>
      </c>
      <c r="C338" s="5">
        <v>20</v>
      </c>
      <c r="D338" s="6">
        <v>2606</v>
      </c>
      <c r="E338" s="17">
        <f>VLOOKUP(A338,'forecast data dump'!$A$1:$H$3450,4,FALSE)</f>
        <v>44531</v>
      </c>
      <c r="F338" s="17">
        <f>VLOOKUP(A338,'forecast data dump'!$A$1:$H$3450,5,FALSE)</f>
        <v>44544</v>
      </c>
      <c r="G338" s="42">
        <f>VLOOKUP(A338,'forecast data dump'!$A$1:$H$3450,8,FALSE)</f>
        <v>0</v>
      </c>
      <c r="H338" s="5" t="s">
        <v>3746</v>
      </c>
      <c r="I338" s="39">
        <f t="shared" si="158"/>
        <v>20</v>
      </c>
      <c r="J338" s="5"/>
      <c r="K338" s="5"/>
      <c r="L338" s="33">
        <f t="shared" si="159"/>
        <v>2606</v>
      </c>
      <c r="M338" s="33">
        <f t="shared" si="160"/>
        <v>2606</v>
      </c>
      <c r="N338" s="33">
        <f t="shared" si="161"/>
        <v>0</v>
      </c>
      <c r="T338">
        <v>1</v>
      </c>
      <c r="U338" s="29">
        <f t="shared" si="152"/>
        <v>0</v>
      </c>
      <c r="V338" s="29">
        <f t="shared" si="153"/>
        <v>0</v>
      </c>
      <c r="W338" s="29">
        <f t="shared" si="154"/>
        <v>0</v>
      </c>
      <c r="X338" s="29">
        <f t="shared" si="155"/>
        <v>0</v>
      </c>
      <c r="Y338" s="29">
        <f t="shared" si="156"/>
        <v>0</v>
      </c>
      <c r="Z338" s="29">
        <f t="shared" si="157"/>
        <v>2606</v>
      </c>
    </row>
    <row r="339" spans="1:27" x14ac:dyDescent="0.3">
      <c r="A339" s="5" t="s">
        <v>3528</v>
      </c>
      <c r="B339" s="5" t="s">
        <v>3529</v>
      </c>
      <c r="C339" s="5">
        <v>10</v>
      </c>
      <c r="D339" s="6">
        <v>1175</v>
      </c>
      <c r="E339" s="17">
        <f>VLOOKUP(A339,'forecast data dump'!$A$1:$H$3450,4,FALSE)</f>
        <v>44516</v>
      </c>
      <c r="F339" s="17">
        <f>VLOOKUP(A339,'forecast data dump'!$A$1:$H$3450,5,FALSE)</f>
        <v>44531</v>
      </c>
      <c r="G339" s="42">
        <f>VLOOKUP(A339,'forecast data dump'!$A$1:$H$3450,8,FALSE)</f>
        <v>0</v>
      </c>
      <c r="H339" s="5" t="s">
        <v>3741</v>
      </c>
      <c r="I339" s="39">
        <f t="shared" si="158"/>
        <v>10</v>
      </c>
      <c r="J339" s="5"/>
      <c r="K339" s="5"/>
      <c r="L339" s="33">
        <f t="shared" si="159"/>
        <v>1175</v>
      </c>
      <c r="M339" s="33">
        <f t="shared" si="160"/>
        <v>1175</v>
      </c>
      <c r="N339" s="33">
        <f t="shared" si="161"/>
        <v>0</v>
      </c>
      <c r="T339">
        <v>1</v>
      </c>
      <c r="U339" s="29">
        <f t="shared" si="152"/>
        <v>0</v>
      </c>
      <c r="V339" s="29">
        <f t="shared" si="153"/>
        <v>0</v>
      </c>
      <c r="W339" s="29">
        <f t="shared" si="154"/>
        <v>0</v>
      </c>
      <c r="X339" s="29">
        <f t="shared" si="155"/>
        <v>0</v>
      </c>
      <c r="Y339" s="29">
        <f t="shared" si="156"/>
        <v>0</v>
      </c>
      <c r="Z339" s="29">
        <f t="shared" si="157"/>
        <v>1175</v>
      </c>
    </row>
    <row r="340" spans="1:27" x14ac:dyDescent="0.3">
      <c r="A340" s="5" t="s">
        <v>3528</v>
      </c>
      <c r="B340" s="5" t="s">
        <v>3529</v>
      </c>
      <c r="C340" s="5">
        <v>10</v>
      </c>
      <c r="D340" s="6">
        <v>1303</v>
      </c>
      <c r="E340" s="17">
        <f>VLOOKUP(A340,'forecast data dump'!$A$1:$H$3450,4,FALSE)</f>
        <v>44516</v>
      </c>
      <c r="F340" s="17">
        <f>VLOOKUP(A340,'forecast data dump'!$A$1:$H$3450,5,FALSE)</f>
        <v>44531</v>
      </c>
      <c r="G340" s="42">
        <f>VLOOKUP(A340,'forecast data dump'!$A$1:$H$3450,8,FALSE)</f>
        <v>0</v>
      </c>
      <c r="H340" s="5" t="s">
        <v>3746</v>
      </c>
      <c r="I340" s="39">
        <f t="shared" si="158"/>
        <v>10</v>
      </c>
      <c r="J340" s="5"/>
      <c r="K340" s="5"/>
      <c r="L340" s="33">
        <f t="shared" si="159"/>
        <v>1303</v>
      </c>
      <c r="M340" s="33">
        <f t="shared" si="160"/>
        <v>1303</v>
      </c>
      <c r="N340" s="33">
        <f t="shared" si="161"/>
        <v>0</v>
      </c>
      <c r="T340">
        <v>1</v>
      </c>
      <c r="U340" s="29">
        <f t="shared" si="152"/>
        <v>0</v>
      </c>
      <c r="V340" s="29">
        <f t="shared" si="153"/>
        <v>0</v>
      </c>
      <c r="W340" s="29">
        <f t="shared" si="154"/>
        <v>0</v>
      </c>
      <c r="X340" s="29">
        <f t="shared" si="155"/>
        <v>0</v>
      </c>
      <c r="Y340" s="29">
        <f t="shared" si="156"/>
        <v>0</v>
      </c>
      <c r="Z340" s="29">
        <f t="shared" si="157"/>
        <v>1303</v>
      </c>
    </row>
    <row r="341" spans="1:27" x14ac:dyDescent="0.3">
      <c r="A341" s="5" t="s">
        <v>3530</v>
      </c>
      <c r="B341" s="5" t="s">
        <v>3531</v>
      </c>
      <c r="C341" s="5">
        <v>80</v>
      </c>
      <c r="D341" s="6">
        <v>9404</v>
      </c>
      <c r="E341" s="17">
        <f>VLOOKUP(A341,'forecast data dump'!$A$1:$H$3450,4,FALSE)</f>
        <v>44434</v>
      </c>
      <c r="F341" s="17">
        <f>VLOOKUP(A341,'forecast data dump'!$A$1:$H$3450,5,FALSE)</f>
        <v>44448</v>
      </c>
      <c r="G341" s="42">
        <f>VLOOKUP(A341,'forecast data dump'!$A$1:$H$3450,8,FALSE)</f>
        <v>0</v>
      </c>
      <c r="H341" s="5" t="s">
        <v>3741</v>
      </c>
      <c r="I341" s="39">
        <f t="shared" si="158"/>
        <v>80</v>
      </c>
      <c r="J341" s="5"/>
      <c r="K341" s="5"/>
      <c r="L341" s="33">
        <f t="shared" si="159"/>
        <v>9404</v>
      </c>
      <c r="M341" s="33">
        <f t="shared" si="160"/>
        <v>9404</v>
      </c>
      <c r="N341" s="33">
        <f t="shared" si="161"/>
        <v>0</v>
      </c>
      <c r="T341">
        <v>1</v>
      </c>
      <c r="U341" s="29">
        <f t="shared" si="152"/>
        <v>0</v>
      </c>
      <c r="V341" s="29">
        <f t="shared" si="153"/>
        <v>0</v>
      </c>
      <c r="W341" s="29">
        <f t="shared" si="154"/>
        <v>0</v>
      </c>
      <c r="X341" s="29">
        <f t="shared" si="155"/>
        <v>0</v>
      </c>
      <c r="Y341" s="29">
        <f t="shared" si="156"/>
        <v>0</v>
      </c>
      <c r="Z341" s="29">
        <f t="shared" si="157"/>
        <v>9404</v>
      </c>
    </row>
    <row r="342" spans="1:27" x14ac:dyDescent="0.3">
      <c r="A342" s="5" t="s">
        <v>3530</v>
      </c>
      <c r="B342" s="5" t="s">
        <v>3531</v>
      </c>
      <c r="C342" s="5">
        <v>40</v>
      </c>
      <c r="D342" s="6">
        <v>5212</v>
      </c>
      <c r="E342" s="17">
        <f>VLOOKUP(A342,'forecast data dump'!$A$1:$H$3450,4,FALSE)</f>
        <v>44434</v>
      </c>
      <c r="F342" s="17">
        <f>VLOOKUP(A342,'forecast data dump'!$A$1:$H$3450,5,FALSE)</f>
        <v>44448</v>
      </c>
      <c r="G342" s="42">
        <f>VLOOKUP(A342,'forecast data dump'!$A$1:$H$3450,8,FALSE)</f>
        <v>0</v>
      </c>
      <c r="H342" s="5" t="s">
        <v>3746</v>
      </c>
      <c r="I342" s="39">
        <f t="shared" si="158"/>
        <v>40</v>
      </c>
      <c r="J342" s="5"/>
      <c r="K342" s="5"/>
      <c r="L342" s="33">
        <f t="shared" si="159"/>
        <v>5212</v>
      </c>
      <c r="M342" s="33">
        <f t="shared" si="160"/>
        <v>5212</v>
      </c>
      <c r="N342" s="33">
        <f t="shared" si="161"/>
        <v>0</v>
      </c>
      <c r="T342">
        <v>1</v>
      </c>
      <c r="U342" s="29">
        <f t="shared" si="152"/>
        <v>0</v>
      </c>
      <c r="V342" s="29">
        <f t="shared" si="153"/>
        <v>0</v>
      </c>
      <c r="W342" s="29">
        <f t="shared" si="154"/>
        <v>0</v>
      </c>
      <c r="X342" s="29">
        <f t="shared" si="155"/>
        <v>0</v>
      </c>
      <c r="Y342" s="29">
        <f t="shared" si="156"/>
        <v>0</v>
      </c>
      <c r="Z342" s="29">
        <f t="shared" si="157"/>
        <v>5212</v>
      </c>
    </row>
    <row r="343" spans="1:27" x14ac:dyDescent="0.3">
      <c r="A343" s="5" t="s">
        <v>3532</v>
      </c>
      <c r="B343" s="5" t="s">
        <v>3533</v>
      </c>
      <c r="C343" s="5">
        <v>40</v>
      </c>
      <c r="D343" s="6">
        <v>4702</v>
      </c>
      <c r="E343" s="17">
        <f>VLOOKUP(A343,'forecast data dump'!$A$1:$H$3450,4,FALSE)</f>
        <v>44489</v>
      </c>
      <c r="F343" s="17">
        <f>VLOOKUP(A343,'forecast data dump'!$A$1:$H$3450,5,FALSE)</f>
        <v>44502</v>
      </c>
      <c r="G343" s="42">
        <f>VLOOKUP(A343,'forecast data dump'!$A$1:$H$3450,8,FALSE)</f>
        <v>0</v>
      </c>
      <c r="H343" s="5" t="s">
        <v>3741</v>
      </c>
      <c r="I343" s="39">
        <f t="shared" si="158"/>
        <v>40</v>
      </c>
      <c r="J343" s="5"/>
      <c r="K343" s="5"/>
      <c r="L343" s="33">
        <f t="shared" si="159"/>
        <v>4702</v>
      </c>
      <c r="M343" s="33">
        <f t="shared" si="160"/>
        <v>4702</v>
      </c>
      <c r="N343" s="33">
        <f t="shared" si="161"/>
        <v>0</v>
      </c>
      <c r="T343">
        <v>1</v>
      </c>
      <c r="U343" s="29">
        <f t="shared" si="152"/>
        <v>0</v>
      </c>
      <c r="V343" s="29">
        <f t="shared" si="153"/>
        <v>0</v>
      </c>
      <c r="W343" s="29">
        <f t="shared" si="154"/>
        <v>0</v>
      </c>
      <c r="X343" s="29">
        <f t="shared" si="155"/>
        <v>0</v>
      </c>
      <c r="Y343" s="29">
        <f t="shared" si="156"/>
        <v>0</v>
      </c>
      <c r="Z343" s="29">
        <f t="shared" si="157"/>
        <v>4702</v>
      </c>
    </row>
    <row r="344" spans="1:27" x14ac:dyDescent="0.3">
      <c r="A344" s="5" t="s">
        <v>3532</v>
      </c>
      <c r="B344" s="5" t="s">
        <v>3533</v>
      </c>
      <c r="C344" s="5">
        <v>40</v>
      </c>
      <c r="D344" s="6">
        <v>5212</v>
      </c>
      <c r="E344" s="17">
        <f>VLOOKUP(A344,'forecast data dump'!$A$1:$H$3450,4,FALSE)</f>
        <v>44489</v>
      </c>
      <c r="F344" s="17">
        <f>VLOOKUP(A344,'forecast data dump'!$A$1:$H$3450,5,FALSE)</f>
        <v>44502</v>
      </c>
      <c r="G344" s="42">
        <f>VLOOKUP(A344,'forecast data dump'!$A$1:$H$3450,8,FALSE)</f>
        <v>0</v>
      </c>
      <c r="H344" s="5" t="s">
        <v>3746</v>
      </c>
      <c r="I344" s="39">
        <f t="shared" si="158"/>
        <v>40</v>
      </c>
      <c r="J344" s="5"/>
      <c r="K344" s="5"/>
      <c r="L344" s="33">
        <f t="shared" si="159"/>
        <v>5212</v>
      </c>
      <c r="M344" s="33">
        <f t="shared" si="160"/>
        <v>5212</v>
      </c>
      <c r="N344" s="33">
        <f t="shared" si="161"/>
        <v>0</v>
      </c>
      <c r="T344">
        <v>1</v>
      </c>
      <c r="U344" s="29">
        <f t="shared" si="152"/>
        <v>0</v>
      </c>
      <c r="V344" s="29">
        <f t="shared" si="153"/>
        <v>0</v>
      </c>
      <c r="W344" s="29">
        <f t="shared" si="154"/>
        <v>0</v>
      </c>
      <c r="X344" s="29">
        <f t="shared" si="155"/>
        <v>0</v>
      </c>
      <c r="Y344" s="29">
        <f t="shared" si="156"/>
        <v>0</v>
      </c>
      <c r="Z344" s="29">
        <f t="shared" si="157"/>
        <v>5212</v>
      </c>
    </row>
    <row r="345" spans="1:27" x14ac:dyDescent="0.3">
      <c r="A345" s="5" t="s">
        <v>3538</v>
      </c>
      <c r="B345" s="5" t="s">
        <v>3539</v>
      </c>
      <c r="C345" s="5">
        <v>80</v>
      </c>
      <c r="D345" s="6">
        <v>9404</v>
      </c>
      <c r="E345" s="17">
        <f>VLOOKUP(A345,'forecast data dump'!$A$1:$H$3450,4,FALSE)</f>
        <v>44449</v>
      </c>
      <c r="F345" s="17">
        <f>VLOOKUP(A345,'forecast data dump'!$A$1:$H$3450,5,FALSE)</f>
        <v>44469</v>
      </c>
      <c r="G345" s="42">
        <f>VLOOKUP(A345,'forecast data dump'!$A$1:$H$3450,8,FALSE)</f>
        <v>0</v>
      </c>
      <c r="H345" s="5" t="s">
        <v>3741</v>
      </c>
      <c r="I345" s="39">
        <f t="shared" si="158"/>
        <v>80</v>
      </c>
      <c r="J345" s="5"/>
      <c r="K345" s="5"/>
      <c r="L345" s="33">
        <f t="shared" si="159"/>
        <v>9404</v>
      </c>
      <c r="M345" s="33">
        <f t="shared" si="160"/>
        <v>9404</v>
      </c>
      <c r="N345" s="33">
        <f t="shared" si="161"/>
        <v>0</v>
      </c>
      <c r="T345">
        <v>1</v>
      </c>
      <c r="U345" s="29">
        <f t="shared" si="152"/>
        <v>0</v>
      </c>
      <c r="V345" s="29">
        <f t="shared" si="153"/>
        <v>0</v>
      </c>
      <c r="W345" s="29">
        <f t="shared" si="154"/>
        <v>0</v>
      </c>
      <c r="X345" s="29">
        <f t="shared" si="155"/>
        <v>0</v>
      </c>
      <c r="Y345" s="29">
        <f t="shared" si="156"/>
        <v>0</v>
      </c>
      <c r="Z345" s="29">
        <f t="shared" si="157"/>
        <v>9404</v>
      </c>
    </row>
    <row r="346" spans="1:27" x14ac:dyDescent="0.3">
      <c r="A346" s="5" t="s">
        <v>3538</v>
      </c>
      <c r="B346" s="5" t="s">
        <v>3539</v>
      </c>
      <c r="C346" s="5">
        <v>40</v>
      </c>
      <c r="D346" s="6">
        <v>5212</v>
      </c>
      <c r="E346" s="17">
        <f>VLOOKUP(A346,'forecast data dump'!$A$1:$H$3450,4,FALSE)</f>
        <v>44449</v>
      </c>
      <c r="F346" s="17">
        <f>VLOOKUP(A346,'forecast data dump'!$A$1:$H$3450,5,FALSE)</f>
        <v>44469</v>
      </c>
      <c r="G346" s="42">
        <f>VLOOKUP(A346,'forecast data dump'!$A$1:$H$3450,8,FALSE)</f>
        <v>0</v>
      </c>
      <c r="H346" s="5" t="s">
        <v>3746</v>
      </c>
      <c r="I346" s="39">
        <f t="shared" si="158"/>
        <v>40</v>
      </c>
      <c r="J346" s="5"/>
      <c r="K346" s="5"/>
      <c r="L346" s="33">
        <f t="shared" si="159"/>
        <v>5212</v>
      </c>
      <c r="M346" s="33">
        <f t="shared" si="160"/>
        <v>5212</v>
      </c>
      <c r="N346" s="33">
        <f t="shared" si="161"/>
        <v>0</v>
      </c>
      <c r="T346">
        <v>1</v>
      </c>
      <c r="U346" s="29">
        <f t="shared" si="152"/>
        <v>0</v>
      </c>
      <c r="V346" s="29">
        <f t="shared" si="153"/>
        <v>0</v>
      </c>
      <c r="W346" s="29">
        <f t="shared" si="154"/>
        <v>0</v>
      </c>
      <c r="X346" s="29">
        <f t="shared" si="155"/>
        <v>0</v>
      </c>
      <c r="Y346" s="29">
        <f t="shared" si="156"/>
        <v>0</v>
      </c>
      <c r="Z346" s="29">
        <f t="shared" si="157"/>
        <v>5212</v>
      </c>
    </row>
    <row r="347" spans="1:27" x14ac:dyDescent="0.3">
      <c r="A347" s="5" t="s">
        <v>3538</v>
      </c>
      <c r="B347" s="5" t="s">
        <v>3539</v>
      </c>
      <c r="C347" s="5">
        <v>40</v>
      </c>
      <c r="D347" s="6">
        <v>6067</v>
      </c>
      <c r="E347" s="17">
        <f>VLOOKUP(A347,'forecast data dump'!$A$1:$H$3450,4,FALSE)</f>
        <v>44449</v>
      </c>
      <c r="F347" s="17">
        <f>VLOOKUP(A347,'forecast data dump'!$A$1:$H$3450,5,FALSE)</f>
        <v>44469</v>
      </c>
      <c r="G347" s="42">
        <f>VLOOKUP(A347,'forecast data dump'!$A$1:$H$3450,8,FALSE)</f>
        <v>0</v>
      </c>
      <c r="H347" s="5" t="s">
        <v>3733</v>
      </c>
      <c r="I347" s="39">
        <f t="shared" si="158"/>
        <v>40</v>
      </c>
      <c r="J347" s="5"/>
      <c r="K347" s="5"/>
      <c r="L347" s="33">
        <f t="shared" si="159"/>
        <v>6067</v>
      </c>
      <c r="M347" s="33">
        <f t="shared" si="160"/>
        <v>6067</v>
      </c>
      <c r="N347" s="33">
        <f t="shared" si="161"/>
        <v>0</v>
      </c>
      <c r="T347">
        <v>1</v>
      </c>
      <c r="U347" s="29">
        <f t="shared" si="152"/>
        <v>0</v>
      </c>
      <c r="V347" s="29">
        <f t="shared" si="153"/>
        <v>0</v>
      </c>
      <c r="W347" s="29">
        <f t="shared" si="154"/>
        <v>0</v>
      </c>
      <c r="X347" s="29">
        <f t="shared" si="155"/>
        <v>0</v>
      </c>
      <c r="Y347" s="29">
        <f t="shared" si="156"/>
        <v>0</v>
      </c>
      <c r="Z347" s="29">
        <f t="shared" si="157"/>
        <v>6067</v>
      </c>
    </row>
    <row r="348" spans="1:27" x14ac:dyDescent="0.3">
      <c r="A348" s="3" t="s">
        <v>7875</v>
      </c>
      <c r="B348" s="3"/>
      <c r="C348" s="3"/>
      <c r="D348" s="4"/>
      <c r="E348" s="15"/>
      <c r="F348" s="15"/>
      <c r="G348" s="41"/>
      <c r="H348" s="3"/>
      <c r="I348" s="38"/>
      <c r="J348" s="3"/>
      <c r="K348" s="3"/>
      <c r="L348" s="32"/>
      <c r="M348" s="32"/>
      <c r="N348" s="32"/>
      <c r="U348" s="29"/>
      <c r="V348" s="29"/>
      <c r="W348" s="29"/>
      <c r="X348" s="29"/>
      <c r="Y348" s="29"/>
      <c r="Z348" s="29"/>
      <c r="AA348" s="109">
        <f>SUM(U349:U354)</f>
        <v>993188</v>
      </c>
    </row>
    <row r="349" spans="1:27" x14ac:dyDescent="0.3">
      <c r="A349" s="5" t="s">
        <v>3550</v>
      </c>
      <c r="B349" s="5" t="s">
        <v>3551</v>
      </c>
      <c r="C349" s="5">
        <v>890262</v>
      </c>
      <c r="D349" s="6">
        <v>993188</v>
      </c>
      <c r="E349" s="17">
        <f>VLOOKUP(A349,'forecast data dump'!$A$1:$H$3450,4,FALSE)</f>
        <v>44434</v>
      </c>
      <c r="F349" s="17">
        <f>VLOOKUP(A349,'forecast data dump'!$A$1:$H$3450,5,FALSE)</f>
        <v>44434</v>
      </c>
      <c r="G349" s="42">
        <f>VLOOKUP(A349,'forecast data dump'!$A$1:$H$3450,8,FALSE)</f>
        <v>0</v>
      </c>
      <c r="H349" s="5" t="s">
        <v>3761</v>
      </c>
      <c r="I349" s="39">
        <f t="shared" ref="I349:I354" si="162">C349*(1-G349)</f>
        <v>890262</v>
      </c>
      <c r="J349" s="5"/>
      <c r="K349" s="5"/>
      <c r="L349" s="33">
        <f t="shared" ref="L349:L354" si="163">D349*(1-G349)</f>
        <v>993188</v>
      </c>
      <c r="M349" s="33">
        <f t="shared" ref="M349:M354" si="164">IF(J349="",L349,(D349/C349)*J349)</f>
        <v>993188</v>
      </c>
      <c r="N349" s="33">
        <f t="shared" ref="N349:N354" si="165">L349-M349</f>
        <v>0</v>
      </c>
      <c r="O349">
        <v>1</v>
      </c>
      <c r="U349" s="29">
        <f t="shared" si="152"/>
        <v>993188</v>
      </c>
      <c r="V349" s="29">
        <f t="shared" si="153"/>
        <v>0</v>
      </c>
      <c r="W349" s="29">
        <f t="shared" si="154"/>
        <v>0</v>
      </c>
      <c r="X349" s="29">
        <f t="shared" si="155"/>
        <v>0</v>
      </c>
      <c r="Y349" s="29">
        <f t="shared" si="156"/>
        <v>0</v>
      </c>
      <c r="Z349" s="29">
        <f t="shared" si="157"/>
        <v>0</v>
      </c>
      <c r="AA349" s="103" t="s">
        <v>8361</v>
      </c>
    </row>
    <row r="350" spans="1:27" x14ac:dyDescent="0.3">
      <c r="A350" s="5" t="s">
        <v>3562</v>
      </c>
      <c r="B350" s="5" t="s">
        <v>3563</v>
      </c>
      <c r="C350" s="5">
        <v>40</v>
      </c>
      <c r="D350" s="6">
        <v>4702</v>
      </c>
      <c r="E350" s="17">
        <f>VLOOKUP(A350,'forecast data dump'!$A$1:$H$3450,4,FALSE)</f>
        <v>44434</v>
      </c>
      <c r="F350" s="17">
        <f>VLOOKUP(A350,'forecast data dump'!$A$1:$H$3450,5,FALSE)</f>
        <v>44448</v>
      </c>
      <c r="G350" s="42">
        <f>VLOOKUP(A350,'forecast data dump'!$A$1:$H$3450,8,FALSE)</f>
        <v>0</v>
      </c>
      <c r="H350" s="5" t="s">
        <v>3741</v>
      </c>
      <c r="I350" s="39">
        <f t="shared" si="162"/>
        <v>40</v>
      </c>
      <c r="J350" s="5"/>
      <c r="K350" s="5"/>
      <c r="L350" s="33">
        <f t="shared" si="163"/>
        <v>4702</v>
      </c>
      <c r="M350" s="33">
        <f t="shared" si="164"/>
        <v>4702</v>
      </c>
      <c r="N350" s="33">
        <f t="shared" si="165"/>
        <v>0</v>
      </c>
      <c r="T350">
        <v>1</v>
      </c>
      <c r="U350" s="29">
        <f t="shared" si="152"/>
        <v>0</v>
      </c>
      <c r="V350" s="29">
        <f t="shared" si="153"/>
        <v>0</v>
      </c>
      <c r="W350" s="29">
        <f t="shared" si="154"/>
        <v>0</v>
      </c>
      <c r="X350" s="29">
        <f t="shared" si="155"/>
        <v>0</v>
      </c>
      <c r="Y350" s="29">
        <f t="shared" si="156"/>
        <v>0</v>
      </c>
      <c r="Z350" s="29">
        <f t="shared" si="157"/>
        <v>4702</v>
      </c>
      <c r="AA350" s="103" t="s">
        <v>8357</v>
      </c>
    </row>
    <row r="351" spans="1:27" x14ac:dyDescent="0.3">
      <c r="A351" s="5" t="s">
        <v>3562</v>
      </c>
      <c r="B351" s="5" t="s">
        <v>3563</v>
      </c>
      <c r="C351" s="5">
        <v>44</v>
      </c>
      <c r="D351" s="6">
        <v>5172</v>
      </c>
      <c r="E351" s="17">
        <f>VLOOKUP(A351,'forecast data dump'!$A$1:$H$3450,4,FALSE)</f>
        <v>44434</v>
      </c>
      <c r="F351" s="17">
        <f>VLOOKUP(A351,'forecast data dump'!$A$1:$H$3450,5,FALSE)</f>
        <v>44448</v>
      </c>
      <c r="G351" s="42">
        <f>VLOOKUP(A351,'forecast data dump'!$A$1:$H$3450,8,FALSE)</f>
        <v>0</v>
      </c>
      <c r="H351" s="5" t="s">
        <v>3745</v>
      </c>
      <c r="I351" s="39">
        <f t="shared" si="162"/>
        <v>44</v>
      </c>
      <c r="J351" s="5"/>
      <c r="K351" s="5"/>
      <c r="L351" s="33">
        <f t="shared" si="163"/>
        <v>5172</v>
      </c>
      <c r="M351" s="33">
        <f t="shared" si="164"/>
        <v>5172</v>
      </c>
      <c r="N351" s="33">
        <f t="shared" si="165"/>
        <v>0</v>
      </c>
      <c r="T351">
        <v>1</v>
      </c>
      <c r="U351" s="29">
        <f t="shared" si="152"/>
        <v>0</v>
      </c>
      <c r="V351" s="29">
        <f t="shared" si="153"/>
        <v>0</v>
      </c>
      <c r="W351" s="29">
        <f t="shared" si="154"/>
        <v>0</v>
      </c>
      <c r="X351" s="29">
        <f t="shared" si="155"/>
        <v>0</v>
      </c>
      <c r="Y351" s="29">
        <f t="shared" si="156"/>
        <v>0</v>
      </c>
      <c r="Z351" s="29">
        <f t="shared" si="157"/>
        <v>5172</v>
      </c>
    </row>
    <row r="352" spans="1:27" x14ac:dyDescent="0.3">
      <c r="A352" s="5" t="s">
        <v>3580</v>
      </c>
      <c r="B352" s="5" t="s">
        <v>3581</v>
      </c>
      <c r="C352" s="5">
        <v>36</v>
      </c>
      <c r="D352" s="6">
        <v>6306</v>
      </c>
      <c r="E352" s="17">
        <f>VLOOKUP(A352,'forecast data dump'!$A$1:$H$3450,4,FALSE)</f>
        <v>44434</v>
      </c>
      <c r="F352" s="17">
        <f>VLOOKUP(A352,'forecast data dump'!$A$1:$H$3450,5,FALSE)</f>
        <v>44448</v>
      </c>
      <c r="G352" s="42">
        <f>VLOOKUP(A352,'forecast data dump'!$A$1:$H$3450,8,FALSE)</f>
        <v>0</v>
      </c>
      <c r="H352" s="5" t="s">
        <v>3731</v>
      </c>
      <c r="I352" s="39">
        <f t="shared" si="162"/>
        <v>36</v>
      </c>
      <c r="J352" s="5"/>
      <c r="K352" s="5"/>
      <c r="L352" s="33">
        <f t="shared" si="163"/>
        <v>6306</v>
      </c>
      <c r="M352" s="33">
        <f t="shared" si="164"/>
        <v>6306</v>
      </c>
      <c r="N352" s="33">
        <f t="shared" si="165"/>
        <v>0</v>
      </c>
      <c r="T352">
        <v>1</v>
      </c>
      <c r="U352" s="29">
        <f t="shared" si="152"/>
        <v>0</v>
      </c>
      <c r="V352" s="29">
        <f t="shared" si="153"/>
        <v>0</v>
      </c>
      <c r="W352" s="29">
        <f t="shared" si="154"/>
        <v>0</v>
      </c>
      <c r="X352" s="29">
        <f t="shared" si="155"/>
        <v>0</v>
      </c>
      <c r="Y352" s="29">
        <f t="shared" si="156"/>
        <v>0</v>
      </c>
      <c r="Z352" s="29">
        <f t="shared" si="157"/>
        <v>6306</v>
      </c>
    </row>
    <row r="353" spans="1:27" x14ac:dyDescent="0.3">
      <c r="A353" s="5" t="s">
        <v>3580</v>
      </c>
      <c r="B353" s="5" t="s">
        <v>3581</v>
      </c>
      <c r="C353" s="5">
        <v>44</v>
      </c>
      <c r="D353" s="6">
        <v>5172</v>
      </c>
      <c r="E353" s="17">
        <f>VLOOKUP(A353,'forecast data dump'!$A$1:$H$3450,4,FALSE)</f>
        <v>44434</v>
      </c>
      <c r="F353" s="17">
        <f>VLOOKUP(A353,'forecast data dump'!$A$1:$H$3450,5,FALSE)</f>
        <v>44448</v>
      </c>
      <c r="G353" s="42">
        <f>VLOOKUP(A353,'forecast data dump'!$A$1:$H$3450,8,FALSE)</f>
        <v>0</v>
      </c>
      <c r="H353" s="5" t="s">
        <v>3759</v>
      </c>
      <c r="I353" s="39">
        <f t="shared" si="162"/>
        <v>44</v>
      </c>
      <c r="J353" s="5"/>
      <c r="K353" s="5"/>
      <c r="L353" s="33">
        <f t="shared" si="163"/>
        <v>5172</v>
      </c>
      <c r="M353" s="33">
        <f t="shared" si="164"/>
        <v>5172</v>
      </c>
      <c r="N353" s="33">
        <f t="shared" si="165"/>
        <v>0</v>
      </c>
      <c r="T353">
        <v>1</v>
      </c>
      <c r="U353" s="29">
        <f t="shared" si="152"/>
        <v>0</v>
      </c>
      <c r="V353" s="29">
        <f t="shared" si="153"/>
        <v>0</v>
      </c>
      <c r="W353" s="29">
        <f t="shared" si="154"/>
        <v>0</v>
      </c>
      <c r="X353" s="29">
        <f t="shared" si="155"/>
        <v>0</v>
      </c>
      <c r="Y353" s="29">
        <f t="shared" si="156"/>
        <v>0</v>
      </c>
      <c r="Z353" s="29">
        <f t="shared" si="157"/>
        <v>5172</v>
      </c>
    </row>
    <row r="354" spans="1:27" x14ac:dyDescent="0.3">
      <c r="A354" s="5" t="s">
        <v>3580</v>
      </c>
      <c r="B354" s="5" t="s">
        <v>3581</v>
      </c>
      <c r="C354" s="5">
        <v>52</v>
      </c>
      <c r="D354" s="6">
        <v>7888</v>
      </c>
      <c r="E354" s="17">
        <f>VLOOKUP(A354,'forecast data dump'!$A$1:$H$3450,4,FALSE)</f>
        <v>44434</v>
      </c>
      <c r="F354" s="17">
        <f>VLOOKUP(A354,'forecast data dump'!$A$1:$H$3450,5,FALSE)</f>
        <v>44448</v>
      </c>
      <c r="G354" s="42">
        <f>VLOOKUP(A354,'forecast data dump'!$A$1:$H$3450,8,FALSE)</f>
        <v>0</v>
      </c>
      <c r="H354" s="5" t="s">
        <v>3763</v>
      </c>
      <c r="I354" s="39">
        <f t="shared" si="162"/>
        <v>52</v>
      </c>
      <c r="J354" s="5"/>
      <c r="K354" s="5"/>
      <c r="L354" s="33">
        <f t="shared" si="163"/>
        <v>7888</v>
      </c>
      <c r="M354" s="33">
        <f t="shared" si="164"/>
        <v>7888</v>
      </c>
      <c r="N354" s="33">
        <f t="shared" si="165"/>
        <v>0</v>
      </c>
      <c r="T354">
        <v>1</v>
      </c>
      <c r="U354" s="29">
        <f t="shared" si="152"/>
        <v>0</v>
      </c>
      <c r="V354" s="29">
        <f t="shared" si="153"/>
        <v>0</v>
      </c>
      <c r="W354" s="29">
        <f t="shared" si="154"/>
        <v>0</v>
      </c>
      <c r="X354" s="29">
        <f t="shared" si="155"/>
        <v>0</v>
      </c>
      <c r="Y354" s="29">
        <f t="shared" si="156"/>
        <v>0</v>
      </c>
      <c r="Z354" s="29">
        <f t="shared" si="157"/>
        <v>7888</v>
      </c>
    </row>
    <row r="355" spans="1:27" x14ac:dyDescent="0.3">
      <c r="A355" s="3" t="s">
        <v>7876</v>
      </c>
      <c r="B355" s="3"/>
      <c r="C355" s="3"/>
      <c r="D355" s="4"/>
      <c r="E355" s="15"/>
      <c r="F355" s="15"/>
      <c r="G355" s="41"/>
      <c r="H355" s="3"/>
      <c r="I355" s="38"/>
      <c r="J355" s="3"/>
      <c r="K355" s="3"/>
      <c r="L355" s="32"/>
      <c r="M355" s="32"/>
      <c r="N355" s="32"/>
      <c r="U355" s="29"/>
      <c r="V355" s="29"/>
      <c r="W355" s="29"/>
      <c r="X355" s="29"/>
      <c r="Y355" s="29"/>
      <c r="Z355" s="29"/>
      <c r="AA355" s="109">
        <f>SUM(U356:U362)</f>
        <v>422387</v>
      </c>
    </row>
    <row r="356" spans="1:27" x14ac:dyDescent="0.3">
      <c r="A356" s="5" t="s">
        <v>3594</v>
      </c>
      <c r="B356" s="5" t="s">
        <v>3595</v>
      </c>
      <c r="C356" s="5">
        <v>36</v>
      </c>
      <c r="D356" s="6">
        <v>4232</v>
      </c>
      <c r="E356" s="17">
        <f>VLOOKUP(A356,'forecast data dump'!$A$1:$H$3450,4,FALSE)</f>
        <v>44378</v>
      </c>
      <c r="F356" s="17">
        <f>VLOOKUP(A356,'forecast data dump'!$A$1:$H$3450,5,FALSE)</f>
        <v>44501</v>
      </c>
      <c r="G356" s="42">
        <f>VLOOKUP(A356,'forecast data dump'!$A$1:$H$3450,8,FALSE)</f>
        <v>0</v>
      </c>
      <c r="H356" s="5" t="s">
        <v>3745</v>
      </c>
      <c r="I356" s="39">
        <f t="shared" ref="I356:I362" si="166">C356*(1-G356)</f>
        <v>36</v>
      </c>
      <c r="J356" s="5"/>
      <c r="K356" s="5"/>
      <c r="L356" s="33">
        <f t="shared" ref="L356:L362" si="167">D356*(1-G356)</f>
        <v>4232</v>
      </c>
      <c r="M356" s="33">
        <f t="shared" ref="M356:M362" si="168">IF(J356="",L356,(D356/C356)*J356)</f>
        <v>4232</v>
      </c>
      <c r="N356" s="33">
        <f t="shared" ref="N356:N362" si="169">L356-M356</f>
        <v>0</v>
      </c>
      <c r="R356">
        <v>1</v>
      </c>
      <c r="U356" s="29">
        <f t="shared" si="152"/>
        <v>0</v>
      </c>
      <c r="V356" s="29">
        <f t="shared" si="153"/>
        <v>0</v>
      </c>
      <c r="W356" s="29">
        <f t="shared" si="154"/>
        <v>0</v>
      </c>
      <c r="X356" s="29">
        <f t="shared" si="155"/>
        <v>4232</v>
      </c>
      <c r="Y356" s="29">
        <f t="shared" si="156"/>
        <v>0</v>
      </c>
      <c r="Z356" s="29">
        <f t="shared" si="157"/>
        <v>0</v>
      </c>
      <c r="AA356" s="103" t="s">
        <v>8362</v>
      </c>
    </row>
    <row r="357" spans="1:27" x14ac:dyDescent="0.3">
      <c r="A357" s="5" t="s">
        <v>3594</v>
      </c>
      <c r="B357" s="5" t="s">
        <v>3595</v>
      </c>
      <c r="C357" s="5">
        <v>72</v>
      </c>
      <c r="D357" s="6">
        <v>8463</v>
      </c>
      <c r="E357" s="17">
        <f>VLOOKUP(A357,'forecast data dump'!$A$1:$H$3450,4,FALSE)</f>
        <v>44378</v>
      </c>
      <c r="F357" s="17">
        <f>VLOOKUP(A357,'forecast data dump'!$A$1:$H$3450,5,FALSE)</f>
        <v>44501</v>
      </c>
      <c r="G357" s="42">
        <f>VLOOKUP(A357,'forecast data dump'!$A$1:$H$3450,8,FALSE)</f>
        <v>0</v>
      </c>
      <c r="H357" s="5" t="s">
        <v>3741</v>
      </c>
      <c r="I357" s="39">
        <f t="shared" si="166"/>
        <v>72</v>
      </c>
      <c r="J357" s="5"/>
      <c r="K357" s="5"/>
      <c r="L357" s="33">
        <f t="shared" si="167"/>
        <v>8463</v>
      </c>
      <c r="M357" s="33">
        <f t="shared" si="168"/>
        <v>8463</v>
      </c>
      <c r="N357" s="33">
        <f t="shared" si="169"/>
        <v>0</v>
      </c>
      <c r="R357">
        <v>1</v>
      </c>
      <c r="U357" s="29">
        <f t="shared" si="152"/>
        <v>0</v>
      </c>
      <c r="V357" s="29">
        <f t="shared" si="153"/>
        <v>0</v>
      </c>
      <c r="W357" s="29">
        <f t="shared" si="154"/>
        <v>0</v>
      </c>
      <c r="X357" s="29">
        <f t="shared" si="155"/>
        <v>8463</v>
      </c>
      <c r="Y357" s="29">
        <f t="shared" si="156"/>
        <v>0</v>
      </c>
      <c r="Z357" s="29">
        <f t="shared" si="157"/>
        <v>0</v>
      </c>
      <c r="AA357" s="103" t="s">
        <v>8354</v>
      </c>
    </row>
    <row r="358" spans="1:27" x14ac:dyDescent="0.3">
      <c r="A358" s="5" t="s">
        <v>3596</v>
      </c>
      <c r="B358" s="5" t="s">
        <v>3597</v>
      </c>
      <c r="C358" s="5">
        <v>320659</v>
      </c>
      <c r="D358" s="6">
        <v>372184</v>
      </c>
      <c r="E358" s="17" t="str">
        <f>VLOOKUP(A358,'forecast data dump'!$A$1:$H$3450,4,FALSE)</f>
        <v>01-Dec-21*</v>
      </c>
      <c r="F358" s="17">
        <f>VLOOKUP(A358,'forecast data dump'!$A$1:$H$3450,5,FALSE)</f>
        <v>44544</v>
      </c>
      <c r="G358" s="42">
        <f>VLOOKUP(A358,'forecast data dump'!$A$1:$H$3450,8,FALSE)</f>
        <v>0</v>
      </c>
      <c r="H358" s="5" t="s">
        <v>3762</v>
      </c>
      <c r="I358" s="39">
        <f t="shared" si="166"/>
        <v>320659</v>
      </c>
      <c r="J358" s="5"/>
      <c r="K358" s="5"/>
      <c r="L358" s="33">
        <f t="shared" si="167"/>
        <v>372184</v>
      </c>
      <c r="M358" s="33">
        <f t="shared" si="168"/>
        <v>372184</v>
      </c>
      <c r="N358" s="33">
        <f t="shared" si="169"/>
        <v>0</v>
      </c>
      <c r="O358">
        <v>1</v>
      </c>
      <c r="U358" s="29">
        <f t="shared" si="152"/>
        <v>372184</v>
      </c>
      <c r="V358" s="29">
        <f t="shared" si="153"/>
        <v>0</v>
      </c>
      <c r="W358" s="29">
        <f t="shared" si="154"/>
        <v>0</v>
      </c>
      <c r="X358" s="29">
        <f t="shared" si="155"/>
        <v>0</v>
      </c>
      <c r="Y358" s="29">
        <f t="shared" si="156"/>
        <v>0</v>
      </c>
      <c r="Z358" s="29">
        <f t="shared" si="157"/>
        <v>0</v>
      </c>
    </row>
    <row r="359" spans="1:27" x14ac:dyDescent="0.3">
      <c r="A359" s="5" t="s">
        <v>3618</v>
      </c>
      <c r="B359" s="5" t="s">
        <v>3619</v>
      </c>
      <c r="C359" s="5">
        <v>60</v>
      </c>
      <c r="D359" s="6">
        <v>9101</v>
      </c>
      <c r="E359" s="17">
        <f>VLOOKUP(A359,'forecast data dump'!$A$1:$H$3450,4,FALSE)</f>
        <v>44378</v>
      </c>
      <c r="F359" s="17">
        <f>VLOOKUP(A359,'forecast data dump'!$A$1:$H$3450,5,FALSE)</f>
        <v>44501</v>
      </c>
      <c r="G359" s="42">
        <f>VLOOKUP(A359,'forecast data dump'!$A$1:$H$3450,8,FALSE)</f>
        <v>0</v>
      </c>
      <c r="H359" s="5" t="s">
        <v>3763</v>
      </c>
      <c r="I359" s="39">
        <f t="shared" si="166"/>
        <v>60</v>
      </c>
      <c r="J359" s="5"/>
      <c r="K359" s="5"/>
      <c r="L359" s="33">
        <f t="shared" si="167"/>
        <v>9101</v>
      </c>
      <c r="M359" s="33">
        <f t="shared" si="168"/>
        <v>9101</v>
      </c>
      <c r="N359" s="33">
        <f t="shared" si="169"/>
        <v>0</v>
      </c>
      <c r="T359">
        <v>1</v>
      </c>
      <c r="U359" s="29">
        <f t="shared" si="152"/>
        <v>0</v>
      </c>
      <c r="V359" s="29">
        <f t="shared" si="153"/>
        <v>0</v>
      </c>
      <c r="W359" s="29">
        <f t="shared" si="154"/>
        <v>0</v>
      </c>
      <c r="X359" s="29">
        <f t="shared" si="155"/>
        <v>0</v>
      </c>
      <c r="Y359" s="29">
        <f t="shared" si="156"/>
        <v>0</v>
      </c>
      <c r="Z359" s="29">
        <f t="shared" si="157"/>
        <v>9101</v>
      </c>
    </row>
    <row r="360" spans="1:27" x14ac:dyDescent="0.3">
      <c r="A360" s="5" t="s">
        <v>3618</v>
      </c>
      <c r="B360" s="5" t="s">
        <v>3619</v>
      </c>
      <c r="C360" s="5">
        <v>30</v>
      </c>
      <c r="D360" s="6">
        <v>5255</v>
      </c>
      <c r="E360" s="17">
        <f>VLOOKUP(A360,'forecast data dump'!$A$1:$H$3450,4,FALSE)</f>
        <v>44378</v>
      </c>
      <c r="F360" s="17">
        <f>VLOOKUP(A360,'forecast data dump'!$A$1:$H$3450,5,FALSE)</f>
        <v>44501</v>
      </c>
      <c r="G360" s="42">
        <f>VLOOKUP(A360,'forecast data dump'!$A$1:$H$3450,8,FALSE)</f>
        <v>0</v>
      </c>
      <c r="H360" s="5" t="s">
        <v>3731</v>
      </c>
      <c r="I360" s="39">
        <f t="shared" si="166"/>
        <v>30</v>
      </c>
      <c r="J360" s="5"/>
      <c r="K360" s="5"/>
      <c r="L360" s="33">
        <f t="shared" si="167"/>
        <v>5255</v>
      </c>
      <c r="M360" s="33">
        <f t="shared" si="168"/>
        <v>5255</v>
      </c>
      <c r="N360" s="33">
        <f t="shared" si="169"/>
        <v>0</v>
      </c>
      <c r="T360">
        <v>1</v>
      </c>
      <c r="U360" s="29">
        <f t="shared" si="152"/>
        <v>0</v>
      </c>
      <c r="V360" s="29">
        <f t="shared" si="153"/>
        <v>0</v>
      </c>
      <c r="W360" s="29">
        <f t="shared" si="154"/>
        <v>0</v>
      </c>
      <c r="X360" s="29">
        <f t="shared" si="155"/>
        <v>0</v>
      </c>
      <c r="Y360" s="29">
        <f t="shared" si="156"/>
        <v>0</v>
      </c>
      <c r="Z360" s="29">
        <f t="shared" si="157"/>
        <v>5255</v>
      </c>
    </row>
    <row r="361" spans="1:27" x14ac:dyDescent="0.3">
      <c r="A361" s="5" t="s">
        <v>3618</v>
      </c>
      <c r="B361" s="5" t="s">
        <v>3619</v>
      </c>
      <c r="C361" s="5">
        <v>36</v>
      </c>
      <c r="D361" s="6">
        <v>4232</v>
      </c>
      <c r="E361" s="17">
        <f>VLOOKUP(A361,'forecast data dump'!$A$1:$H$3450,4,FALSE)</f>
        <v>44378</v>
      </c>
      <c r="F361" s="17">
        <f>VLOOKUP(A361,'forecast data dump'!$A$1:$H$3450,5,FALSE)</f>
        <v>44501</v>
      </c>
      <c r="G361" s="42">
        <f>VLOOKUP(A361,'forecast data dump'!$A$1:$H$3450,8,FALSE)</f>
        <v>0</v>
      </c>
      <c r="H361" s="5" t="s">
        <v>3759</v>
      </c>
      <c r="I361" s="39">
        <f t="shared" si="166"/>
        <v>36</v>
      </c>
      <c r="J361" s="5"/>
      <c r="K361" s="5"/>
      <c r="L361" s="33">
        <f t="shared" si="167"/>
        <v>4232</v>
      </c>
      <c r="M361" s="33">
        <f t="shared" si="168"/>
        <v>4232</v>
      </c>
      <c r="N361" s="33">
        <f t="shared" si="169"/>
        <v>0</v>
      </c>
      <c r="T361">
        <v>1</v>
      </c>
      <c r="U361" s="29">
        <f t="shared" si="152"/>
        <v>0</v>
      </c>
      <c r="V361" s="29">
        <f t="shared" si="153"/>
        <v>0</v>
      </c>
      <c r="W361" s="29">
        <f t="shared" si="154"/>
        <v>0</v>
      </c>
      <c r="X361" s="29">
        <f t="shared" si="155"/>
        <v>0</v>
      </c>
      <c r="Y361" s="29">
        <f t="shared" si="156"/>
        <v>0</v>
      </c>
      <c r="Z361" s="29">
        <f t="shared" si="157"/>
        <v>4232</v>
      </c>
    </row>
    <row r="362" spans="1:27" x14ac:dyDescent="0.3">
      <c r="A362" s="5" t="s">
        <v>3628</v>
      </c>
      <c r="B362" s="5" t="s">
        <v>3629</v>
      </c>
      <c r="C362" s="5">
        <v>45000</v>
      </c>
      <c r="D362" s="6">
        <v>50203</v>
      </c>
      <c r="E362" s="17" t="str">
        <f>VLOOKUP(A362,'forecast data dump'!$A$1:$H$3450,4,FALSE)</f>
        <v>01-Jul-21*</v>
      </c>
      <c r="F362" s="17">
        <f>VLOOKUP(A362,'forecast data dump'!$A$1:$H$3450,5,FALSE)</f>
        <v>44592</v>
      </c>
      <c r="G362" s="42">
        <f>VLOOKUP(A362,'forecast data dump'!$A$1:$H$3450,8,FALSE)</f>
        <v>0</v>
      </c>
      <c r="H362" s="5" t="s">
        <v>3761</v>
      </c>
      <c r="I362" s="39">
        <f t="shared" si="166"/>
        <v>45000</v>
      </c>
      <c r="J362" s="5"/>
      <c r="K362" s="5"/>
      <c r="L362" s="33">
        <f t="shared" si="167"/>
        <v>50203</v>
      </c>
      <c r="M362" s="33">
        <f t="shared" si="168"/>
        <v>50203</v>
      </c>
      <c r="N362" s="33">
        <f t="shared" si="169"/>
        <v>0</v>
      </c>
      <c r="O362">
        <v>1</v>
      </c>
      <c r="U362" s="29">
        <f t="shared" si="152"/>
        <v>50203</v>
      </c>
      <c r="V362" s="29">
        <f t="shared" si="153"/>
        <v>0</v>
      </c>
      <c r="W362" s="29">
        <f t="shared" si="154"/>
        <v>0</v>
      </c>
      <c r="X362" s="29">
        <f t="shared" si="155"/>
        <v>0</v>
      </c>
      <c r="Y362" s="29">
        <f t="shared" si="156"/>
        <v>0</v>
      </c>
      <c r="Z362" s="29">
        <f t="shared" si="157"/>
        <v>0</v>
      </c>
    </row>
    <row r="363" spans="1:27" x14ac:dyDescent="0.3">
      <c r="A363" s="3" t="s">
        <v>7877</v>
      </c>
      <c r="B363" s="3"/>
      <c r="C363" s="3"/>
      <c r="D363" s="4"/>
      <c r="E363" s="15"/>
      <c r="F363" s="15"/>
      <c r="G363" s="41"/>
      <c r="H363" s="3"/>
      <c r="I363" s="38"/>
      <c r="J363" s="3"/>
      <c r="K363" s="3"/>
      <c r="L363" s="32"/>
      <c r="M363" s="32"/>
      <c r="N363" s="32"/>
      <c r="U363" s="29"/>
      <c r="V363" s="29"/>
      <c r="W363" s="29"/>
      <c r="X363" s="29"/>
      <c r="Y363" s="29"/>
      <c r="Z363" s="29"/>
      <c r="AA363" s="109">
        <f>SUM(U364:U595)</f>
        <v>0</v>
      </c>
    </row>
    <row r="364" spans="1:27" x14ac:dyDescent="0.3">
      <c r="A364" s="5" t="s">
        <v>2988</v>
      </c>
      <c r="B364" s="5" t="s">
        <v>2989</v>
      </c>
      <c r="C364" s="5">
        <v>80</v>
      </c>
      <c r="D364" s="6">
        <v>9404</v>
      </c>
      <c r="E364" s="17">
        <f>VLOOKUP(A364,'forecast data dump'!$A$1:$H$3450,4,FALSE)</f>
        <v>44586</v>
      </c>
      <c r="F364" s="17">
        <f>VLOOKUP(A364,'forecast data dump'!$A$1:$H$3450,5,FALSE)</f>
        <v>44614</v>
      </c>
      <c r="G364" s="42">
        <f>VLOOKUP(A364,'forecast data dump'!$A$1:$H$3450,8,FALSE)</f>
        <v>0</v>
      </c>
      <c r="H364" s="5" t="s">
        <v>3742</v>
      </c>
      <c r="I364" s="39">
        <f t="shared" ref="I364:I368" si="170">C364*(1-G364)</f>
        <v>80</v>
      </c>
      <c r="J364" s="5"/>
      <c r="K364" s="5"/>
      <c r="L364" s="33">
        <f t="shared" ref="L364:L368" si="171">D364*(1-G364)</f>
        <v>9404</v>
      </c>
      <c r="M364" s="33">
        <f t="shared" ref="M364:M368" si="172">IF(J364="",L364,(D364/C364)*J364)</f>
        <v>9404</v>
      </c>
      <c r="N364" s="33">
        <f t="shared" ref="N364:N368" si="173">L364-M364</f>
        <v>0</v>
      </c>
      <c r="T364">
        <v>1</v>
      </c>
      <c r="U364" s="29">
        <f t="shared" si="152"/>
        <v>0</v>
      </c>
      <c r="V364" s="29">
        <f t="shared" si="153"/>
        <v>0</v>
      </c>
      <c r="W364" s="29">
        <f t="shared" si="154"/>
        <v>0</v>
      </c>
      <c r="X364" s="29">
        <f t="shared" si="155"/>
        <v>0</v>
      </c>
      <c r="Y364" s="29">
        <f t="shared" si="156"/>
        <v>0</v>
      </c>
      <c r="Z364" s="29">
        <f t="shared" si="157"/>
        <v>9404</v>
      </c>
      <c r="AA364" s="103" t="s">
        <v>8366</v>
      </c>
    </row>
    <row r="365" spans="1:27" x14ac:dyDescent="0.3">
      <c r="A365" s="5" t="s">
        <v>2988</v>
      </c>
      <c r="B365" s="5" t="s">
        <v>2989</v>
      </c>
      <c r="C365" s="5">
        <v>40</v>
      </c>
      <c r="D365" s="6">
        <v>5212</v>
      </c>
      <c r="E365" s="17">
        <f>VLOOKUP(A365,'forecast data dump'!$A$1:$H$3450,4,FALSE)</f>
        <v>44586</v>
      </c>
      <c r="F365" s="17">
        <f>VLOOKUP(A365,'forecast data dump'!$A$1:$H$3450,5,FALSE)</f>
        <v>44614</v>
      </c>
      <c r="G365" s="42">
        <f>VLOOKUP(A365,'forecast data dump'!$A$1:$H$3450,8,FALSE)</f>
        <v>0</v>
      </c>
      <c r="H365" s="5" t="s">
        <v>3746</v>
      </c>
      <c r="I365" s="39">
        <f t="shared" si="170"/>
        <v>40</v>
      </c>
      <c r="J365" s="5"/>
      <c r="K365" s="5"/>
      <c r="L365" s="33">
        <f t="shared" si="171"/>
        <v>5212</v>
      </c>
      <c r="M365" s="33">
        <f t="shared" si="172"/>
        <v>5212</v>
      </c>
      <c r="N365" s="33">
        <f t="shared" si="173"/>
        <v>0</v>
      </c>
      <c r="T365">
        <v>1</v>
      </c>
      <c r="U365" s="29">
        <f t="shared" si="152"/>
        <v>0</v>
      </c>
      <c r="V365" s="29">
        <f t="shared" si="153"/>
        <v>0</v>
      </c>
      <c r="W365" s="29">
        <f t="shared" si="154"/>
        <v>0</v>
      </c>
      <c r="X365" s="29">
        <f t="shared" si="155"/>
        <v>0</v>
      </c>
      <c r="Y365" s="29">
        <f t="shared" si="156"/>
        <v>0</v>
      </c>
      <c r="Z365" s="29">
        <f t="shared" si="157"/>
        <v>5212</v>
      </c>
      <c r="AA365" s="80" t="s">
        <v>8363</v>
      </c>
    </row>
    <row r="366" spans="1:27" x14ac:dyDescent="0.3">
      <c r="A366" s="5" t="s">
        <v>2990</v>
      </c>
      <c r="B366" s="5" t="s">
        <v>2991</v>
      </c>
      <c r="C366" s="5">
        <v>50000</v>
      </c>
      <c r="D366" s="6">
        <v>58034</v>
      </c>
      <c r="E366" s="17">
        <f>VLOOKUP(A366,'forecast data dump'!$A$1:$H$3450,4,FALSE)</f>
        <v>44586</v>
      </c>
      <c r="F366" s="17">
        <f>VLOOKUP(A366,'forecast data dump'!$A$1:$H$3450,5,FALSE)</f>
        <v>44614</v>
      </c>
      <c r="G366" s="42">
        <f>VLOOKUP(A366,'forecast data dump'!$A$1:$H$3450,8,FALSE)</f>
        <v>0</v>
      </c>
      <c r="H366" s="5" t="s">
        <v>3762</v>
      </c>
      <c r="I366" s="39">
        <f t="shared" si="170"/>
        <v>50000</v>
      </c>
      <c r="J366" s="5"/>
      <c r="K366" s="5"/>
      <c r="L366" s="33">
        <f t="shared" si="171"/>
        <v>58034</v>
      </c>
      <c r="M366" s="33">
        <f t="shared" si="172"/>
        <v>58034</v>
      </c>
      <c r="N366" s="33">
        <f t="shared" si="173"/>
        <v>0</v>
      </c>
      <c r="Q366">
        <v>1</v>
      </c>
      <c r="U366" s="29">
        <f t="shared" si="152"/>
        <v>0</v>
      </c>
      <c r="V366" s="29">
        <f t="shared" si="153"/>
        <v>0</v>
      </c>
      <c r="W366" s="29">
        <f t="shared" si="154"/>
        <v>58034</v>
      </c>
      <c r="X366" s="29">
        <f t="shared" si="155"/>
        <v>0</v>
      </c>
      <c r="Y366" s="29">
        <f t="shared" si="156"/>
        <v>0</v>
      </c>
      <c r="Z366" s="29">
        <f t="shared" si="157"/>
        <v>0</v>
      </c>
    </row>
    <row r="367" spans="1:27" x14ac:dyDescent="0.3">
      <c r="A367" s="5" t="s">
        <v>3004</v>
      </c>
      <c r="B367" s="5" t="s">
        <v>3005</v>
      </c>
      <c r="C367" s="5">
        <v>352</v>
      </c>
      <c r="D367" s="6">
        <v>47243</v>
      </c>
      <c r="E367" s="17" t="str">
        <f>VLOOKUP(A367,'forecast data dump'!$A$1:$H$3450,4,FALSE)</f>
        <v>01-Oct-21*</v>
      </c>
      <c r="F367" s="17">
        <f>VLOOKUP(A367,'forecast data dump'!$A$1:$H$3450,5,FALSE)</f>
        <v>44834</v>
      </c>
      <c r="G367" s="42">
        <f>VLOOKUP(A367,'forecast data dump'!$A$1:$H$3450,8,FALSE)</f>
        <v>0</v>
      </c>
      <c r="H367" s="5" t="s">
        <v>3746</v>
      </c>
      <c r="I367" s="39">
        <f t="shared" si="170"/>
        <v>352</v>
      </c>
      <c r="J367" s="5"/>
      <c r="K367" s="5"/>
      <c r="L367" s="33">
        <f t="shared" si="171"/>
        <v>47243</v>
      </c>
      <c r="M367" s="33">
        <f t="shared" si="172"/>
        <v>47243</v>
      </c>
      <c r="N367" s="33">
        <f t="shared" si="173"/>
        <v>0</v>
      </c>
      <c r="S367">
        <v>1</v>
      </c>
      <c r="U367" s="29">
        <f t="shared" si="152"/>
        <v>0</v>
      </c>
      <c r="V367" s="29">
        <f t="shared" si="153"/>
        <v>0</v>
      </c>
      <c r="W367" s="29">
        <f t="shared" si="154"/>
        <v>0</v>
      </c>
      <c r="X367" s="29">
        <f t="shared" si="155"/>
        <v>0</v>
      </c>
      <c r="Y367" s="29">
        <f t="shared" si="156"/>
        <v>47243</v>
      </c>
      <c r="Z367" s="29">
        <f t="shared" si="157"/>
        <v>0</v>
      </c>
    </row>
    <row r="368" spans="1:27" x14ac:dyDescent="0.3">
      <c r="A368" s="5" t="s">
        <v>3006</v>
      </c>
      <c r="B368" s="5" t="s">
        <v>3007</v>
      </c>
      <c r="C368" s="5">
        <v>113</v>
      </c>
      <c r="D368" s="6">
        <v>15621</v>
      </c>
      <c r="E368" s="17" t="str">
        <f>VLOOKUP(A368,'forecast data dump'!$A$1:$H$3450,4,FALSE)</f>
        <v>03-Oct-22*</v>
      </c>
      <c r="F368" s="17">
        <f>VLOOKUP(A368,'forecast data dump'!$A$1:$H$3450,5,FALSE)</f>
        <v>44838</v>
      </c>
      <c r="G368" s="42">
        <f>VLOOKUP(A368,'forecast data dump'!$A$1:$H$3450,8,FALSE)</f>
        <v>0</v>
      </c>
      <c r="H368" s="5" t="s">
        <v>3746</v>
      </c>
      <c r="I368" s="39">
        <f t="shared" si="170"/>
        <v>113</v>
      </c>
      <c r="J368" s="5"/>
      <c r="K368" s="5"/>
      <c r="L368" s="33">
        <f t="shared" si="171"/>
        <v>15621</v>
      </c>
      <c r="M368" s="33">
        <f t="shared" si="172"/>
        <v>15621</v>
      </c>
      <c r="N368" s="33">
        <f t="shared" si="173"/>
        <v>0</v>
      </c>
      <c r="S368">
        <v>1</v>
      </c>
      <c r="U368" s="29">
        <f t="shared" si="152"/>
        <v>0</v>
      </c>
      <c r="V368" s="29">
        <f t="shared" si="153"/>
        <v>0</v>
      </c>
      <c r="W368" s="29">
        <f t="shared" si="154"/>
        <v>0</v>
      </c>
      <c r="X368" s="29">
        <f t="shared" si="155"/>
        <v>0</v>
      </c>
      <c r="Y368" s="29">
        <f t="shared" si="156"/>
        <v>15621</v>
      </c>
      <c r="Z368" s="29">
        <f t="shared" si="157"/>
        <v>0</v>
      </c>
    </row>
    <row r="369" spans="1:26" x14ac:dyDescent="0.3">
      <c r="A369" s="3" t="s">
        <v>7878</v>
      </c>
      <c r="B369" s="3"/>
      <c r="C369" s="3"/>
      <c r="D369" s="4"/>
      <c r="E369" s="15"/>
      <c r="F369" s="15"/>
      <c r="G369" s="41"/>
      <c r="H369" s="3"/>
      <c r="I369" s="38"/>
      <c r="J369" s="3"/>
      <c r="K369" s="3"/>
      <c r="L369" s="32"/>
      <c r="M369" s="32"/>
      <c r="N369" s="32"/>
      <c r="U369" s="29"/>
      <c r="V369" s="29"/>
      <c r="W369" s="29"/>
      <c r="X369" s="29"/>
      <c r="Y369" s="29"/>
      <c r="Z369" s="29"/>
    </row>
    <row r="370" spans="1:26" x14ac:dyDescent="0.3">
      <c r="A370" s="5" t="s">
        <v>3010</v>
      </c>
      <c r="B370" s="5" t="s">
        <v>3011</v>
      </c>
      <c r="C370" s="5">
        <v>20</v>
      </c>
      <c r="D370" s="6">
        <v>3034</v>
      </c>
      <c r="E370" s="17">
        <f>VLOOKUP(A370,'forecast data dump'!$A$1:$H$3450,4,FALSE)</f>
        <v>44454</v>
      </c>
      <c r="F370" s="17">
        <f>VLOOKUP(A370,'forecast data dump'!$A$1:$H$3450,5,FALSE)</f>
        <v>44470</v>
      </c>
      <c r="G370" s="42">
        <f>VLOOKUP(A370,'forecast data dump'!$A$1:$H$3450,8,FALSE)</f>
        <v>0</v>
      </c>
      <c r="H370" s="5" t="s">
        <v>3763</v>
      </c>
      <c r="I370" s="39">
        <f t="shared" ref="I370:I398" si="174">C370*(1-G370)</f>
        <v>20</v>
      </c>
      <c r="J370" s="5"/>
      <c r="K370" s="5"/>
      <c r="L370" s="33">
        <f t="shared" ref="L370:L398" si="175">D370*(1-G370)</f>
        <v>3034</v>
      </c>
      <c r="M370" s="33">
        <f t="shared" ref="M370:M398" si="176">IF(J370="",L370,(D370/C370)*J370)</f>
        <v>3034</v>
      </c>
      <c r="N370" s="33">
        <f t="shared" ref="N370:N398" si="177">L370-M370</f>
        <v>0</v>
      </c>
      <c r="T370">
        <v>1</v>
      </c>
      <c r="U370" s="29">
        <f t="shared" si="152"/>
        <v>0</v>
      </c>
      <c r="V370" s="29">
        <f t="shared" si="153"/>
        <v>0</v>
      </c>
      <c r="W370" s="29">
        <f t="shared" si="154"/>
        <v>0</v>
      </c>
      <c r="X370" s="29">
        <f t="shared" si="155"/>
        <v>0</v>
      </c>
      <c r="Y370" s="29">
        <f t="shared" si="156"/>
        <v>0</v>
      </c>
      <c r="Z370" s="29">
        <f t="shared" si="157"/>
        <v>3034</v>
      </c>
    </row>
    <row r="371" spans="1:26" x14ac:dyDescent="0.3">
      <c r="A371" s="5" t="s">
        <v>3012</v>
      </c>
      <c r="B371" s="5" t="s">
        <v>3013</v>
      </c>
      <c r="C371" s="5">
        <v>80</v>
      </c>
      <c r="D371" s="6">
        <v>9404</v>
      </c>
      <c r="E371" s="17">
        <f>VLOOKUP(A371,'forecast data dump'!$A$1:$H$3450,4,FALSE)</f>
        <v>44470</v>
      </c>
      <c r="F371" s="17">
        <f>VLOOKUP(A371,'forecast data dump'!$A$1:$H$3450,5,FALSE)</f>
        <v>44489</v>
      </c>
      <c r="G371" s="42">
        <f>VLOOKUP(A371,'forecast data dump'!$A$1:$H$3450,8,FALSE)</f>
        <v>0</v>
      </c>
      <c r="H371" s="5" t="s">
        <v>3745</v>
      </c>
      <c r="I371" s="39">
        <f t="shared" si="174"/>
        <v>80</v>
      </c>
      <c r="J371" s="5"/>
      <c r="K371" s="5"/>
      <c r="L371" s="33">
        <f t="shared" si="175"/>
        <v>9404</v>
      </c>
      <c r="M371" s="33">
        <f t="shared" si="176"/>
        <v>9404</v>
      </c>
      <c r="N371" s="33">
        <f t="shared" si="177"/>
        <v>0</v>
      </c>
      <c r="T371">
        <v>1</v>
      </c>
      <c r="U371" s="29">
        <f t="shared" si="152"/>
        <v>0</v>
      </c>
      <c r="V371" s="29">
        <f t="shared" si="153"/>
        <v>0</v>
      </c>
      <c r="W371" s="29">
        <f t="shared" si="154"/>
        <v>0</v>
      </c>
      <c r="X371" s="29">
        <f t="shared" si="155"/>
        <v>0</v>
      </c>
      <c r="Y371" s="29">
        <f t="shared" si="156"/>
        <v>0</v>
      </c>
      <c r="Z371" s="29">
        <f t="shared" si="157"/>
        <v>9404</v>
      </c>
    </row>
    <row r="372" spans="1:26" x14ac:dyDescent="0.3">
      <c r="A372" s="5" t="s">
        <v>3012</v>
      </c>
      <c r="B372" s="5" t="s">
        <v>3013</v>
      </c>
      <c r="C372" s="5">
        <v>40</v>
      </c>
      <c r="D372" s="6">
        <v>5212</v>
      </c>
      <c r="E372" s="17">
        <f>VLOOKUP(A372,'forecast data dump'!$A$1:$H$3450,4,FALSE)</f>
        <v>44470</v>
      </c>
      <c r="F372" s="17">
        <f>VLOOKUP(A372,'forecast data dump'!$A$1:$H$3450,5,FALSE)</f>
        <v>44489</v>
      </c>
      <c r="G372" s="42">
        <f>VLOOKUP(A372,'forecast data dump'!$A$1:$H$3450,8,FALSE)</f>
        <v>0</v>
      </c>
      <c r="H372" s="5" t="s">
        <v>3746</v>
      </c>
      <c r="I372" s="39">
        <f t="shared" si="174"/>
        <v>40</v>
      </c>
      <c r="J372" s="5"/>
      <c r="K372" s="5"/>
      <c r="L372" s="33">
        <f t="shared" si="175"/>
        <v>5212</v>
      </c>
      <c r="M372" s="33">
        <f t="shared" si="176"/>
        <v>5212</v>
      </c>
      <c r="N372" s="33">
        <f t="shared" si="177"/>
        <v>0</v>
      </c>
      <c r="T372">
        <v>1</v>
      </c>
      <c r="U372" s="29">
        <f t="shared" ref="U372:U428" si="178">O372*M372</f>
        <v>0</v>
      </c>
      <c r="V372" s="29">
        <f t="shared" ref="V372:V428" si="179">P372*M372</f>
        <v>0</v>
      </c>
      <c r="W372" s="29">
        <f t="shared" ref="W372:W428" si="180">Q372*M372</f>
        <v>0</v>
      </c>
      <c r="X372" s="29">
        <f t="shared" ref="X372:X428" si="181">R372*M372</f>
        <v>0</v>
      </c>
      <c r="Y372" s="29">
        <f t="shared" ref="Y372:Y428" si="182">S372*M372</f>
        <v>0</v>
      </c>
      <c r="Z372" s="29">
        <f t="shared" ref="Z372:Z428" si="183">T372*M372</f>
        <v>5212</v>
      </c>
    </row>
    <row r="373" spans="1:26" x14ac:dyDescent="0.3">
      <c r="A373" s="5" t="s">
        <v>3014</v>
      </c>
      <c r="B373" s="5" t="s">
        <v>3015</v>
      </c>
      <c r="C373" s="5">
        <v>20</v>
      </c>
      <c r="D373" s="6">
        <v>3034</v>
      </c>
      <c r="E373" s="17">
        <f>VLOOKUP(A373,'forecast data dump'!$A$1:$H$3450,4,FALSE)</f>
        <v>44489</v>
      </c>
      <c r="F373" s="17">
        <f>VLOOKUP(A373,'forecast data dump'!$A$1:$H$3450,5,FALSE)</f>
        <v>44518</v>
      </c>
      <c r="G373" s="42">
        <f>VLOOKUP(A373,'forecast data dump'!$A$1:$H$3450,8,FALSE)</f>
        <v>0</v>
      </c>
      <c r="H373" s="5" t="s">
        <v>3763</v>
      </c>
      <c r="I373" s="39">
        <f t="shared" si="174"/>
        <v>20</v>
      </c>
      <c r="J373" s="5"/>
      <c r="K373" s="5"/>
      <c r="L373" s="33">
        <f t="shared" si="175"/>
        <v>3034</v>
      </c>
      <c r="M373" s="33">
        <f t="shared" si="176"/>
        <v>3034</v>
      </c>
      <c r="N373" s="33">
        <f t="shared" si="177"/>
        <v>0</v>
      </c>
      <c r="T373">
        <v>1</v>
      </c>
      <c r="U373" s="29">
        <f t="shared" si="178"/>
        <v>0</v>
      </c>
      <c r="V373" s="29">
        <f t="shared" si="179"/>
        <v>0</v>
      </c>
      <c r="W373" s="29">
        <f t="shared" si="180"/>
        <v>0</v>
      </c>
      <c r="X373" s="29">
        <f t="shared" si="181"/>
        <v>0</v>
      </c>
      <c r="Y373" s="29">
        <f t="shared" si="182"/>
        <v>0</v>
      </c>
      <c r="Z373" s="29">
        <f t="shared" si="183"/>
        <v>3034</v>
      </c>
    </row>
    <row r="374" spans="1:26" x14ac:dyDescent="0.3">
      <c r="A374" s="5" t="s">
        <v>3016</v>
      </c>
      <c r="B374" s="5" t="s">
        <v>3017</v>
      </c>
      <c r="C374" s="5">
        <v>10</v>
      </c>
      <c r="D374" s="6">
        <v>1517</v>
      </c>
      <c r="E374" s="17">
        <f>VLOOKUP(A374,'forecast data dump'!$A$1:$H$3450,4,FALSE)</f>
        <v>44518</v>
      </c>
      <c r="F374" s="17">
        <f>VLOOKUP(A374,'forecast data dump'!$A$1:$H$3450,5,FALSE)</f>
        <v>44550</v>
      </c>
      <c r="G374" s="42">
        <f>VLOOKUP(A374,'forecast data dump'!$A$1:$H$3450,8,FALSE)</f>
        <v>0</v>
      </c>
      <c r="H374" s="5" t="s">
        <v>3763</v>
      </c>
      <c r="I374" s="39">
        <f t="shared" si="174"/>
        <v>10</v>
      </c>
      <c r="J374" s="5"/>
      <c r="K374" s="5"/>
      <c r="L374" s="33">
        <f t="shared" si="175"/>
        <v>1517</v>
      </c>
      <c r="M374" s="33">
        <f t="shared" si="176"/>
        <v>1517</v>
      </c>
      <c r="N374" s="33">
        <f t="shared" si="177"/>
        <v>0</v>
      </c>
      <c r="T374">
        <v>1</v>
      </c>
      <c r="U374" s="29">
        <f t="shared" si="178"/>
        <v>0</v>
      </c>
      <c r="V374" s="29">
        <f t="shared" si="179"/>
        <v>0</v>
      </c>
      <c r="W374" s="29">
        <f t="shared" si="180"/>
        <v>0</v>
      </c>
      <c r="X374" s="29">
        <f t="shared" si="181"/>
        <v>0</v>
      </c>
      <c r="Y374" s="29">
        <f t="shared" si="182"/>
        <v>0</v>
      </c>
      <c r="Z374" s="29">
        <f t="shared" si="183"/>
        <v>1517</v>
      </c>
    </row>
    <row r="375" spans="1:26" x14ac:dyDescent="0.3">
      <c r="A375" s="5" t="s">
        <v>3018</v>
      </c>
      <c r="B375" s="5" t="s">
        <v>3019</v>
      </c>
      <c r="C375" s="5">
        <v>2</v>
      </c>
      <c r="D375" s="6">
        <v>308</v>
      </c>
      <c r="E375" s="17">
        <f>VLOOKUP(A375,'forecast data dump'!$A$1:$H$3450,4,FALSE)</f>
        <v>44550</v>
      </c>
      <c r="F375" s="17">
        <f>VLOOKUP(A375,'forecast data dump'!$A$1:$H$3450,5,FALSE)</f>
        <v>44624</v>
      </c>
      <c r="G375" s="42">
        <f>VLOOKUP(A375,'forecast data dump'!$A$1:$H$3450,8,FALSE)</f>
        <v>0</v>
      </c>
      <c r="H375" s="5" t="s">
        <v>3763</v>
      </c>
      <c r="I375" s="39">
        <f t="shared" si="174"/>
        <v>2</v>
      </c>
      <c r="J375" s="5"/>
      <c r="K375" s="5"/>
      <c r="L375" s="33">
        <f t="shared" si="175"/>
        <v>308</v>
      </c>
      <c r="M375" s="33">
        <f t="shared" si="176"/>
        <v>308</v>
      </c>
      <c r="N375" s="33">
        <f t="shared" si="177"/>
        <v>0</v>
      </c>
      <c r="T375">
        <v>1</v>
      </c>
      <c r="U375" s="29">
        <f t="shared" si="178"/>
        <v>0</v>
      </c>
      <c r="V375" s="29">
        <f t="shared" si="179"/>
        <v>0</v>
      </c>
      <c r="W375" s="29">
        <f t="shared" si="180"/>
        <v>0</v>
      </c>
      <c r="X375" s="29">
        <f t="shared" si="181"/>
        <v>0</v>
      </c>
      <c r="Y375" s="29">
        <f t="shared" si="182"/>
        <v>0</v>
      </c>
      <c r="Z375" s="29">
        <f t="shared" si="183"/>
        <v>308</v>
      </c>
    </row>
    <row r="376" spans="1:26" x14ac:dyDescent="0.3">
      <c r="A376" s="5" t="s">
        <v>3020</v>
      </c>
      <c r="B376" s="5" t="s">
        <v>3021</v>
      </c>
      <c r="C376" s="5">
        <v>4</v>
      </c>
      <c r="D376" s="6">
        <v>625</v>
      </c>
      <c r="E376" s="17">
        <f>VLOOKUP(A376,'forecast data dump'!$A$1:$H$3450,4,FALSE)</f>
        <v>44624</v>
      </c>
      <c r="F376" s="17">
        <f>VLOOKUP(A376,'forecast data dump'!$A$1:$H$3450,5,FALSE)</f>
        <v>44631</v>
      </c>
      <c r="G376" s="42">
        <f>VLOOKUP(A376,'forecast data dump'!$A$1:$H$3450,8,FALSE)</f>
        <v>0</v>
      </c>
      <c r="H376" s="5" t="s">
        <v>3763</v>
      </c>
      <c r="I376" s="39">
        <f t="shared" si="174"/>
        <v>4</v>
      </c>
      <c r="J376" s="5"/>
      <c r="K376" s="5"/>
      <c r="L376" s="33">
        <f t="shared" si="175"/>
        <v>625</v>
      </c>
      <c r="M376" s="33">
        <f t="shared" si="176"/>
        <v>625</v>
      </c>
      <c r="N376" s="33">
        <f t="shared" si="177"/>
        <v>0</v>
      </c>
      <c r="T376">
        <v>1</v>
      </c>
      <c r="U376" s="29">
        <f t="shared" si="178"/>
        <v>0</v>
      </c>
      <c r="V376" s="29">
        <f t="shared" si="179"/>
        <v>0</v>
      </c>
      <c r="W376" s="29">
        <f t="shared" si="180"/>
        <v>0</v>
      </c>
      <c r="X376" s="29">
        <f t="shared" si="181"/>
        <v>0</v>
      </c>
      <c r="Y376" s="29">
        <f t="shared" si="182"/>
        <v>0</v>
      </c>
      <c r="Z376" s="29">
        <f t="shared" si="183"/>
        <v>625</v>
      </c>
    </row>
    <row r="377" spans="1:26" x14ac:dyDescent="0.3">
      <c r="A377" s="5" t="s">
        <v>3022</v>
      </c>
      <c r="B377" s="5" t="s">
        <v>3023</v>
      </c>
      <c r="C377" s="5">
        <v>32000</v>
      </c>
      <c r="D377" s="6">
        <v>37528</v>
      </c>
      <c r="E377" s="17">
        <f>VLOOKUP(A377,'forecast data dump'!$A$1:$H$3450,4,FALSE)</f>
        <v>44550</v>
      </c>
      <c r="F377" s="17">
        <f>VLOOKUP(A377,'forecast data dump'!$A$1:$H$3450,5,FALSE)</f>
        <v>44624</v>
      </c>
      <c r="G377" s="42">
        <f>VLOOKUP(A377,'forecast data dump'!$A$1:$H$3450,8,FALSE)</f>
        <v>0</v>
      </c>
      <c r="H377" s="5" t="s">
        <v>3762</v>
      </c>
      <c r="I377" s="39">
        <f t="shared" si="174"/>
        <v>32000</v>
      </c>
      <c r="J377" s="5"/>
      <c r="K377" s="5"/>
      <c r="L377" s="33">
        <f t="shared" si="175"/>
        <v>37528</v>
      </c>
      <c r="M377" s="33">
        <f t="shared" si="176"/>
        <v>37528</v>
      </c>
      <c r="N377" s="33">
        <f t="shared" si="177"/>
        <v>0</v>
      </c>
      <c r="Q377">
        <v>1</v>
      </c>
      <c r="U377" s="29">
        <f t="shared" si="178"/>
        <v>0</v>
      </c>
      <c r="V377" s="29">
        <f t="shared" si="179"/>
        <v>0</v>
      </c>
      <c r="W377" s="29">
        <f t="shared" si="180"/>
        <v>37528</v>
      </c>
      <c r="X377" s="29">
        <f t="shared" si="181"/>
        <v>0</v>
      </c>
      <c r="Y377" s="29">
        <f t="shared" si="182"/>
        <v>0</v>
      </c>
      <c r="Z377" s="29">
        <f t="shared" si="183"/>
        <v>0</v>
      </c>
    </row>
    <row r="378" spans="1:26" x14ac:dyDescent="0.3">
      <c r="A378" s="5" t="s">
        <v>3024</v>
      </c>
      <c r="B378" s="5" t="s">
        <v>3025</v>
      </c>
      <c r="C378" s="5">
        <v>4</v>
      </c>
      <c r="D378" s="6">
        <v>625</v>
      </c>
      <c r="E378" s="17">
        <f>VLOOKUP(A378,'forecast data dump'!$A$1:$H$3450,4,FALSE)</f>
        <v>44631</v>
      </c>
      <c r="F378" s="17">
        <f>VLOOKUP(A378,'forecast data dump'!$A$1:$H$3450,5,FALSE)</f>
        <v>44718</v>
      </c>
      <c r="G378" s="42">
        <f>VLOOKUP(A378,'forecast data dump'!$A$1:$H$3450,8,FALSE)</f>
        <v>0</v>
      </c>
      <c r="H378" s="5" t="s">
        <v>3763</v>
      </c>
      <c r="I378" s="39">
        <f t="shared" si="174"/>
        <v>4</v>
      </c>
      <c r="J378" s="5"/>
      <c r="K378" s="5"/>
      <c r="L378" s="33">
        <f t="shared" si="175"/>
        <v>625</v>
      </c>
      <c r="M378" s="33">
        <f t="shared" si="176"/>
        <v>625</v>
      </c>
      <c r="N378" s="33">
        <f t="shared" si="177"/>
        <v>0</v>
      </c>
      <c r="T378">
        <v>1</v>
      </c>
      <c r="U378" s="29">
        <f t="shared" si="178"/>
        <v>0</v>
      </c>
      <c r="V378" s="29">
        <f t="shared" si="179"/>
        <v>0</v>
      </c>
      <c r="W378" s="29">
        <f t="shared" si="180"/>
        <v>0</v>
      </c>
      <c r="X378" s="29">
        <f t="shared" si="181"/>
        <v>0</v>
      </c>
      <c r="Y378" s="29">
        <f t="shared" si="182"/>
        <v>0</v>
      </c>
      <c r="Z378" s="29">
        <f t="shared" si="183"/>
        <v>625</v>
      </c>
    </row>
    <row r="379" spans="1:26" x14ac:dyDescent="0.3">
      <c r="A379" s="5" t="s">
        <v>3026</v>
      </c>
      <c r="B379" s="5" t="s">
        <v>3027</v>
      </c>
      <c r="C379" s="5">
        <v>22000</v>
      </c>
      <c r="D379" s="6">
        <v>26046</v>
      </c>
      <c r="E379" s="17">
        <f>VLOOKUP(A379,'forecast data dump'!$A$1:$H$3450,4,FALSE)</f>
        <v>44631</v>
      </c>
      <c r="F379" s="17">
        <f>VLOOKUP(A379,'forecast data dump'!$A$1:$H$3450,5,FALSE)</f>
        <v>44718</v>
      </c>
      <c r="G379" s="42">
        <f>VLOOKUP(A379,'forecast data dump'!$A$1:$H$3450,8,FALSE)</f>
        <v>0</v>
      </c>
      <c r="H379" s="5" t="s">
        <v>3762</v>
      </c>
      <c r="I379" s="39">
        <f t="shared" si="174"/>
        <v>22000</v>
      </c>
      <c r="J379" s="5"/>
      <c r="K379" s="5"/>
      <c r="L379" s="33">
        <f t="shared" si="175"/>
        <v>26046</v>
      </c>
      <c r="M379" s="33">
        <f t="shared" si="176"/>
        <v>26046</v>
      </c>
      <c r="N379" s="33">
        <f t="shared" si="177"/>
        <v>0</v>
      </c>
      <c r="Q379">
        <v>1</v>
      </c>
      <c r="U379" s="29">
        <f t="shared" si="178"/>
        <v>0</v>
      </c>
      <c r="V379" s="29">
        <f t="shared" si="179"/>
        <v>0</v>
      </c>
      <c r="W379" s="29">
        <f t="shared" si="180"/>
        <v>26046</v>
      </c>
      <c r="X379" s="29">
        <f t="shared" si="181"/>
        <v>0</v>
      </c>
      <c r="Y379" s="29">
        <f t="shared" si="182"/>
        <v>0</v>
      </c>
      <c r="Z379" s="29">
        <f t="shared" si="183"/>
        <v>0</v>
      </c>
    </row>
    <row r="380" spans="1:26" x14ac:dyDescent="0.3">
      <c r="A380" s="5" t="s">
        <v>3034</v>
      </c>
      <c r="B380" s="5" t="s">
        <v>3035</v>
      </c>
      <c r="C380" s="5">
        <v>8</v>
      </c>
      <c r="D380" s="6">
        <v>940</v>
      </c>
      <c r="E380" s="17">
        <f>VLOOKUP(A380,'forecast data dump'!$A$1:$H$3450,4,FALSE)</f>
        <v>44454</v>
      </c>
      <c r="F380" s="17">
        <f>VLOOKUP(A380,'forecast data dump'!$A$1:$H$3450,5,FALSE)</f>
        <v>44470</v>
      </c>
      <c r="G380" s="42">
        <f>VLOOKUP(A380,'forecast data dump'!$A$1:$H$3450,8,FALSE)</f>
        <v>0</v>
      </c>
      <c r="H380" s="5" t="s">
        <v>3745</v>
      </c>
      <c r="I380" s="39">
        <f t="shared" si="174"/>
        <v>8</v>
      </c>
      <c r="J380" s="5"/>
      <c r="K380" s="5"/>
      <c r="L380" s="33">
        <f t="shared" si="175"/>
        <v>940</v>
      </c>
      <c r="M380" s="33">
        <f t="shared" si="176"/>
        <v>940</v>
      </c>
      <c r="N380" s="33">
        <f t="shared" si="177"/>
        <v>0</v>
      </c>
      <c r="T380">
        <v>1</v>
      </c>
      <c r="U380" s="29">
        <f t="shared" si="178"/>
        <v>0</v>
      </c>
      <c r="V380" s="29">
        <f t="shared" si="179"/>
        <v>0</v>
      </c>
      <c r="W380" s="29">
        <f t="shared" si="180"/>
        <v>0</v>
      </c>
      <c r="X380" s="29">
        <f t="shared" si="181"/>
        <v>0</v>
      </c>
      <c r="Y380" s="29">
        <f t="shared" si="182"/>
        <v>0</v>
      </c>
      <c r="Z380" s="29">
        <f t="shared" si="183"/>
        <v>940</v>
      </c>
    </row>
    <row r="381" spans="1:26" x14ac:dyDescent="0.3">
      <c r="A381" s="5" t="s">
        <v>3034</v>
      </c>
      <c r="B381" s="5" t="s">
        <v>3035</v>
      </c>
      <c r="C381" s="5">
        <v>8</v>
      </c>
      <c r="D381" s="6">
        <v>1042</v>
      </c>
      <c r="E381" s="17">
        <f>VLOOKUP(A381,'forecast data dump'!$A$1:$H$3450,4,FALSE)</f>
        <v>44454</v>
      </c>
      <c r="F381" s="17">
        <f>VLOOKUP(A381,'forecast data dump'!$A$1:$H$3450,5,FALSE)</f>
        <v>44470</v>
      </c>
      <c r="G381" s="42">
        <f>VLOOKUP(A381,'forecast data dump'!$A$1:$H$3450,8,FALSE)</f>
        <v>0</v>
      </c>
      <c r="H381" s="5" t="s">
        <v>3746</v>
      </c>
      <c r="I381" s="39">
        <f t="shared" si="174"/>
        <v>8</v>
      </c>
      <c r="J381" s="5"/>
      <c r="K381" s="5"/>
      <c r="L381" s="33">
        <f t="shared" si="175"/>
        <v>1042</v>
      </c>
      <c r="M381" s="33">
        <f t="shared" si="176"/>
        <v>1042</v>
      </c>
      <c r="N381" s="33">
        <f t="shared" si="177"/>
        <v>0</v>
      </c>
      <c r="T381">
        <v>1</v>
      </c>
      <c r="U381" s="29">
        <f t="shared" si="178"/>
        <v>0</v>
      </c>
      <c r="V381" s="29">
        <f t="shared" si="179"/>
        <v>0</v>
      </c>
      <c r="W381" s="29">
        <f t="shared" si="180"/>
        <v>0</v>
      </c>
      <c r="X381" s="29">
        <f t="shared" si="181"/>
        <v>0</v>
      </c>
      <c r="Y381" s="29">
        <f t="shared" si="182"/>
        <v>0</v>
      </c>
      <c r="Z381" s="29">
        <f t="shared" si="183"/>
        <v>1042</v>
      </c>
    </row>
    <row r="382" spans="1:26" x14ac:dyDescent="0.3">
      <c r="A382" s="5" t="s">
        <v>3036</v>
      </c>
      <c r="B382" s="5" t="s">
        <v>3037</v>
      </c>
      <c r="C382" s="5">
        <v>80</v>
      </c>
      <c r="D382" s="6">
        <v>9404</v>
      </c>
      <c r="E382" s="17">
        <f>VLOOKUP(A382,'forecast data dump'!$A$1:$H$3450,4,FALSE)</f>
        <v>44489</v>
      </c>
      <c r="F382" s="17">
        <f>VLOOKUP(A382,'forecast data dump'!$A$1:$H$3450,5,FALSE)</f>
        <v>44518</v>
      </c>
      <c r="G382" s="42">
        <f>VLOOKUP(A382,'forecast data dump'!$A$1:$H$3450,8,FALSE)</f>
        <v>0</v>
      </c>
      <c r="H382" s="5" t="s">
        <v>3745</v>
      </c>
      <c r="I382" s="39">
        <f t="shared" si="174"/>
        <v>80</v>
      </c>
      <c r="J382" s="5"/>
      <c r="K382" s="5"/>
      <c r="L382" s="33">
        <f t="shared" si="175"/>
        <v>9404</v>
      </c>
      <c r="M382" s="33">
        <f t="shared" si="176"/>
        <v>9404</v>
      </c>
      <c r="N382" s="33">
        <f t="shared" si="177"/>
        <v>0</v>
      </c>
      <c r="T382">
        <v>1</v>
      </c>
      <c r="U382" s="29">
        <f t="shared" si="178"/>
        <v>0</v>
      </c>
      <c r="V382" s="29">
        <f t="shared" si="179"/>
        <v>0</v>
      </c>
      <c r="W382" s="29">
        <f t="shared" si="180"/>
        <v>0</v>
      </c>
      <c r="X382" s="29">
        <f t="shared" si="181"/>
        <v>0</v>
      </c>
      <c r="Y382" s="29">
        <f t="shared" si="182"/>
        <v>0</v>
      </c>
      <c r="Z382" s="29">
        <f t="shared" si="183"/>
        <v>9404</v>
      </c>
    </row>
    <row r="383" spans="1:26" x14ac:dyDescent="0.3">
      <c r="A383" s="5" t="s">
        <v>3036</v>
      </c>
      <c r="B383" s="5" t="s">
        <v>3037</v>
      </c>
      <c r="C383" s="5">
        <v>80</v>
      </c>
      <c r="D383" s="6">
        <v>10424</v>
      </c>
      <c r="E383" s="17">
        <f>VLOOKUP(A383,'forecast data dump'!$A$1:$H$3450,4,FALSE)</f>
        <v>44489</v>
      </c>
      <c r="F383" s="17">
        <f>VLOOKUP(A383,'forecast data dump'!$A$1:$H$3450,5,FALSE)</f>
        <v>44518</v>
      </c>
      <c r="G383" s="42">
        <f>VLOOKUP(A383,'forecast data dump'!$A$1:$H$3450,8,FALSE)</f>
        <v>0</v>
      </c>
      <c r="H383" s="5" t="s">
        <v>3746</v>
      </c>
      <c r="I383" s="39">
        <f t="shared" si="174"/>
        <v>80</v>
      </c>
      <c r="J383" s="5"/>
      <c r="K383" s="5"/>
      <c r="L383" s="33">
        <f t="shared" si="175"/>
        <v>10424</v>
      </c>
      <c r="M383" s="33">
        <f t="shared" si="176"/>
        <v>10424</v>
      </c>
      <c r="N383" s="33">
        <f t="shared" si="177"/>
        <v>0</v>
      </c>
      <c r="T383">
        <v>1</v>
      </c>
      <c r="U383" s="29">
        <f t="shared" si="178"/>
        <v>0</v>
      </c>
      <c r="V383" s="29">
        <f t="shared" si="179"/>
        <v>0</v>
      </c>
      <c r="W383" s="29">
        <f t="shared" si="180"/>
        <v>0</v>
      </c>
      <c r="X383" s="29">
        <f t="shared" si="181"/>
        <v>0</v>
      </c>
      <c r="Y383" s="29">
        <f t="shared" si="182"/>
        <v>0</v>
      </c>
      <c r="Z383" s="29">
        <f t="shared" si="183"/>
        <v>10424</v>
      </c>
    </row>
    <row r="384" spans="1:26" x14ac:dyDescent="0.3">
      <c r="A384" s="5" t="s">
        <v>3038</v>
      </c>
      <c r="B384" s="5" t="s">
        <v>3039</v>
      </c>
      <c r="C384" s="5">
        <v>16</v>
      </c>
      <c r="D384" s="6">
        <v>1881</v>
      </c>
      <c r="E384" s="17">
        <f>VLOOKUP(A384,'forecast data dump'!$A$1:$H$3450,4,FALSE)</f>
        <v>44518</v>
      </c>
      <c r="F384" s="17">
        <f>VLOOKUP(A384,'forecast data dump'!$A$1:$H$3450,5,FALSE)</f>
        <v>44550</v>
      </c>
      <c r="G384" s="42">
        <f>VLOOKUP(A384,'forecast data dump'!$A$1:$H$3450,8,FALSE)</f>
        <v>0</v>
      </c>
      <c r="H384" s="5" t="s">
        <v>3745</v>
      </c>
      <c r="I384" s="39">
        <f t="shared" si="174"/>
        <v>16</v>
      </c>
      <c r="J384" s="5"/>
      <c r="K384" s="5"/>
      <c r="L384" s="33">
        <f t="shared" si="175"/>
        <v>1881</v>
      </c>
      <c r="M384" s="33">
        <f t="shared" si="176"/>
        <v>1881</v>
      </c>
      <c r="N384" s="33">
        <f t="shared" si="177"/>
        <v>0</v>
      </c>
      <c r="T384">
        <v>1</v>
      </c>
      <c r="U384" s="29">
        <f t="shared" si="178"/>
        <v>0</v>
      </c>
      <c r="V384" s="29">
        <f t="shared" si="179"/>
        <v>0</v>
      </c>
      <c r="W384" s="29">
        <f t="shared" si="180"/>
        <v>0</v>
      </c>
      <c r="X384" s="29">
        <f t="shared" si="181"/>
        <v>0</v>
      </c>
      <c r="Y384" s="29">
        <f t="shared" si="182"/>
        <v>0</v>
      </c>
      <c r="Z384" s="29">
        <f t="shared" si="183"/>
        <v>1881</v>
      </c>
    </row>
    <row r="385" spans="1:26" x14ac:dyDescent="0.3">
      <c r="A385" s="5" t="s">
        <v>3038</v>
      </c>
      <c r="B385" s="5" t="s">
        <v>3039</v>
      </c>
      <c r="C385" s="5">
        <v>16</v>
      </c>
      <c r="D385" s="6">
        <v>2085</v>
      </c>
      <c r="E385" s="17">
        <f>VLOOKUP(A385,'forecast data dump'!$A$1:$H$3450,4,FALSE)</f>
        <v>44518</v>
      </c>
      <c r="F385" s="17">
        <f>VLOOKUP(A385,'forecast data dump'!$A$1:$H$3450,5,FALSE)</f>
        <v>44550</v>
      </c>
      <c r="G385" s="42">
        <f>VLOOKUP(A385,'forecast data dump'!$A$1:$H$3450,8,FALSE)</f>
        <v>0</v>
      </c>
      <c r="H385" s="5" t="s">
        <v>3746</v>
      </c>
      <c r="I385" s="39">
        <f t="shared" si="174"/>
        <v>16</v>
      </c>
      <c r="J385" s="5"/>
      <c r="K385" s="5"/>
      <c r="L385" s="33">
        <f t="shared" si="175"/>
        <v>2085</v>
      </c>
      <c r="M385" s="33">
        <f t="shared" si="176"/>
        <v>2085</v>
      </c>
      <c r="N385" s="33">
        <f t="shared" si="177"/>
        <v>0</v>
      </c>
      <c r="T385">
        <v>1</v>
      </c>
      <c r="U385" s="29">
        <f t="shared" si="178"/>
        <v>0</v>
      </c>
      <c r="V385" s="29">
        <f t="shared" si="179"/>
        <v>0</v>
      </c>
      <c r="W385" s="29">
        <f t="shared" si="180"/>
        <v>0</v>
      </c>
      <c r="X385" s="29">
        <f t="shared" si="181"/>
        <v>0</v>
      </c>
      <c r="Y385" s="29">
        <f t="shared" si="182"/>
        <v>0</v>
      </c>
      <c r="Z385" s="29">
        <f t="shared" si="183"/>
        <v>2085</v>
      </c>
    </row>
    <row r="386" spans="1:26" x14ac:dyDescent="0.3">
      <c r="A386" s="5" t="s">
        <v>3040</v>
      </c>
      <c r="B386" s="5" t="s">
        <v>3041</v>
      </c>
      <c r="C386" s="5">
        <v>40</v>
      </c>
      <c r="D386" s="6">
        <v>4775</v>
      </c>
      <c r="E386" s="17">
        <f>VLOOKUP(A386,'forecast data dump'!$A$1:$H$3450,4,FALSE)</f>
        <v>44550</v>
      </c>
      <c r="F386" s="17">
        <f>VLOOKUP(A386,'forecast data dump'!$A$1:$H$3450,5,FALSE)</f>
        <v>44624</v>
      </c>
      <c r="G386" s="42">
        <f>VLOOKUP(A386,'forecast data dump'!$A$1:$H$3450,8,FALSE)</f>
        <v>0</v>
      </c>
      <c r="H386" s="5" t="s">
        <v>3745</v>
      </c>
      <c r="I386" s="39">
        <f t="shared" si="174"/>
        <v>40</v>
      </c>
      <c r="J386" s="5"/>
      <c r="K386" s="5"/>
      <c r="L386" s="33">
        <f t="shared" si="175"/>
        <v>4775</v>
      </c>
      <c r="M386" s="33">
        <f t="shared" si="176"/>
        <v>4775</v>
      </c>
      <c r="N386" s="33">
        <f t="shared" si="177"/>
        <v>0</v>
      </c>
      <c r="T386">
        <v>1</v>
      </c>
      <c r="U386" s="29">
        <f t="shared" si="178"/>
        <v>0</v>
      </c>
      <c r="V386" s="29">
        <f t="shared" si="179"/>
        <v>0</v>
      </c>
      <c r="W386" s="29">
        <f t="shared" si="180"/>
        <v>0</v>
      </c>
      <c r="X386" s="29">
        <f t="shared" si="181"/>
        <v>0</v>
      </c>
      <c r="Y386" s="29">
        <f t="shared" si="182"/>
        <v>0</v>
      </c>
      <c r="Z386" s="29">
        <f t="shared" si="183"/>
        <v>4775</v>
      </c>
    </row>
    <row r="387" spans="1:26" x14ac:dyDescent="0.3">
      <c r="A387" s="5" t="s">
        <v>3040</v>
      </c>
      <c r="B387" s="5" t="s">
        <v>3041</v>
      </c>
      <c r="C387" s="5">
        <v>40</v>
      </c>
      <c r="D387" s="6">
        <v>5294</v>
      </c>
      <c r="E387" s="17">
        <f>VLOOKUP(A387,'forecast data dump'!$A$1:$H$3450,4,FALSE)</f>
        <v>44550</v>
      </c>
      <c r="F387" s="17">
        <f>VLOOKUP(A387,'forecast data dump'!$A$1:$H$3450,5,FALSE)</f>
        <v>44624</v>
      </c>
      <c r="G387" s="42">
        <f>VLOOKUP(A387,'forecast data dump'!$A$1:$H$3450,8,FALSE)</f>
        <v>0</v>
      </c>
      <c r="H387" s="5" t="s">
        <v>3746</v>
      </c>
      <c r="I387" s="39">
        <f t="shared" si="174"/>
        <v>40</v>
      </c>
      <c r="J387" s="5"/>
      <c r="K387" s="5"/>
      <c r="L387" s="33">
        <f t="shared" si="175"/>
        <v>5294</v>
      </c>
      <c r="M387" s="33">
        <f t="shared" si="176"/>
        <v>5294</v>
      </c>
      <c r="N387" s="33">
        <f t="shared" si="177"/>
        <v>0</v>
      </c>
      <c r="T387">
        <v>1</v>
      </c>
      <c r="U387" s="29">
        <f t="shared" si="178"/>
        <v>0</v>
      </c>
      <c r="V387" s="29">
        <f t="shared" si="179"/>
        <v>0</v>
      </c>
      <c r="W387" s="29">
        <f t="shared" si="180"/>
        <v>0</v>
      </c>
      <c r="X387" s="29">
        <f t="shared" si="181"/>
        <v>0</v>
      </c>
      <c r="Y387" s="29">
        <f t="shared" si="182"/>
        <v>0</v>
      </c>
      <c r="Z387" s="29">
        <f t="shared" si="183"/>
        <v>5294</v>
      </c>
    </row>
    <row r="388" spans="1:26" x14ac:dyDescent="0.3">
      <c r="A388" s="5" t="s">
        <v>3042</v>
      </c>
      <c r="B388" s="5" t="s">
        <v>3043</v>
      </c>
      <c r="C388" s="5">
        <v>20</v>
      </c>
      <c r="D388" s="6">
        <v>2421</v>
      </c>
      <c r="E388" s="17">
        <f>VLOOKUP(A388,'forecast data dump'!$A$1:$H$3450,4,FALSE)</f>
        <v>44624</v>
      </c>
      <c r="F388" s="17">
        <f>VLOOKUP(A388,'forecast data dump'!$A$1:$H$3450,5,FALSE)</f>
        <v>44631</v>
      </c>
      <c r="G388" s="42">
        <f>VLOOKUP(A388,'forecast data dump'!$A$1:$H$3450,8,FALSE)</f>
        <v>0</v>
      </c>
      <c r="H388" s="5" t="s">
        <v>3741</v>
      </c>
      <c r="I388" s="39">
        <f t="shared" si="174"/>
        <v>20</v>
      </c>
      <c r="J388" s="5"/>
      <c r="K388" s="5"/>
      <c r="L388" s="33">
        <f t="shared" si="175"/>
        <v>2421</v>
      </c>
      <c r="M388" s="33">
        <f t="shared" si="176"/>
        <v>2421</v>
      </c>
      <c r="N388" s="33">
        <f t="shared" si="177"/>
        <v>0</v>
      </c>
      <c r="T388">
        <v>1</v>
      </c>
      <c r="U388" s="29">
        <f t="shared" si="178"/>
        <v>0</v>
      </c>
      <c r="V388" s="29">
        <f t="shared" si="179"/>
        <v>0</v>
      </c>
      <c r="W388" s="29">
        <f t="shared" si="180"/>
        <v>0</v>
      </c>
      <c r="X388" s="29">
        <f t="shared" si="181"/>
        <v>0</v>
      </c>
      <c r="Y388" s="29">
        <f t="shared" si="182"/>
        <v>0</v>
      </c>
      <c r="Z388" s="29">
        <f t="shared" si="183"/>
        <v>2421</v>
      </c>
    </row>
    <row r="389" spans="1:26" x14ac:dyDescent="0.3">
      <c r="A389" s="5" t="s">
        <v>3042</v>
      </c>
      <c r="B389" s="5" t="s">
        <v>3043</v>
      </c>
      <c r="C389" s="5">
        <v>4</v>
      </c>
      <c r="D389" s="6">
        <v>484</v>
      </c>
      <c r="E389" s="17">
        <f>VLOOKUP(A389,'forecast data dump'!$A$1:$H$3450,4,FALSE)</f>
        <v>44624</v>
      </c>
      <c r="F389" s="17">
        <f>VLOOKUP(A389,'forecast data dump'!$A$1:$H$3450,5,FALSE)</f>
        <v>44631</v>
      </c>
      <c r="G389" s="42">
        <f>VLOOKUP(A389,'forecast data dump'!$A$1:$H$3450,8,FALSE)</f>
        <v>0</v>
      </c>
      <c r="H389" s="5" t="s">
        <v>3745</v>
      </c>
      <c r="I389" s="39">
        <f t="shared" si="174"/>
        <v>4</v>
      </c>
      <c r="J389" s="5"/>
      <c r="K389" s="5"/>
      <c r="L389" s="33">
        <f t="shared" si="175"/>
        <v>484</v>
      </c>
      <c r="M389" s="33">
        <f t="shared" si="176"/>
        <v>484</v>
      </c>
      <c r="N389" s="33">
        <f t="shared" si="177"/>
        <v>0</v>
      </c>
      <c r="T389">
        <v>1</v>
      </c>
      <c r="U389" s="29">
        <f t="shared" si="178"/>
        <v>0</v>
      </c>
      <c r="V389" s="29">
        <f t="shared" si="179"/>
        <v>0</v>
      </c>
      <c r="W389" s="29">
        <f t="shared" si="180"/>
        <v>0</v>
      </c>
      <c r="X389" s="29">
        <f t="shared" si="181"/>
        <v>0</v>
      </c>
      <c r="Y389" s="29">
        <f t="shared" si="182"/>
        <v>0</v>
      </c>
      <c r="Z389" s="29">
        <f t="shared" si="183"/>
        <v>484</v>
      </c>
    </row>
    <row r="390" spans="1:26" x14ac:dyDescent="0.3">
      <c r="A390" s="5" t="s">
        <v>3042</v>
      </c>
      <c r="B390" s="5" t="s">
        <v>3043</v>
      </c>
      <c r="C390" s="5">
        <v>4</v>
      </c>
      <c r="D390" s="6">
        <v>537</v>
      </c>
      <c r="E390" s="17">
        <f>VLOOKUP(A390,'forecast data dump'!$A$1:$H$3450,4,FALSE)</f>
        <v>44624</v>
      </c>
      <c r="F390" s="17">
        <f>VLOOKUP(A390,'forecast data dump'!$A$1:$H$3450,5,FALSE)</f>
        <v>44631</v>
      </c>
      <c r="G390" s="42">
        <f>VLOOKUP(A390,'forecast data dump'!$A$1:$H$3450,8,FALSE)</f>
        <v>0</v>
      </c>
      <c r="H390" s="5" t="s">
        <v>3746</v>
      </c>
      <c r="I390" s="39">
        <f t="shared" si="174"/>
        <v>4</v>
      </c>
      <c r="J390" s="5"/>
      <c r="K390" s="5"/>
      <c r="L390" s="33">
        <f t="shared" si="175"/>
        <v>537</v>
      </c>
      <c r="M390" s="33">
        <f t="shared" si="176"/>
        <v>537</v>
      </c>
      <c r="N390" s="33">
        <f t="shared" si="177"/>
        <v>0</v>
      </c>
      <c r="T390">
        <v>1</v>
      </c>
      <c r="U390" s="29">
        <f t="shared" si="178"/>
        <v>0</v>
      </c>
      <c r="V390" s="29">
        <f t="shared" si="179"/>
        <v>0</v>
      </c>
      <c r="W390" s="29">
        <f t="shared" si="180"/>
        <v>0</v>
      </c>
      <c r="X390" s="29">
        <f t="shared" si="181"/>
        <v>0</v>
      </c>
      <c r="Y390" s="29">
        <f t="shared" si="182"/>
        <v>0</v>
      </c>
      <c r="Z390" s="29">
        <f t="shared" si="183"/>
        <v>537</v>
      </c>
    </row>
    <row r="391" spans="1:26" x14ac:dyDescent="0.3">
      <c r="A391" s="5" t="s">
        <v>3044</v>
      </c>
      <c r="B391" s="5" t="s">
        <v>3045</v>
      </c>
      <c r="C391" s="5">
        <v>80</v>
      </c>
      <c r="D391" s="6">
        <v>14607</v>
      </c>
      <c r="E391" s="17">
        <f>VLOOKUP(A391,'forecast data dump'!$A$1:$H$3450,4,FALSE)</f>
        <v>44631</v>
      </c>
      <c r="F391" s="17">
        <f>VLOOKUP(A391,'forecast data dump'!$A$1:$H$3450,5,FALSE)</f>
        <v>44718</v>
      </c>
      <c r="G391" s="42">
        <f>VLOOKUP(A391,'forecast data dump'!$A$1:$H$3450,8,FALSE)</f>
        <v>0</v>
      </c>
      <c r="H391" s="5" t="s">
        <v>3740</v>
      </c>
      <c r="I391" s="39">
        <f t="shared" si="174"/>
        <v>80</v>
      </c>
      <c r="J391" s="5"/>
      <c r="K391" s="5"/>
      <c r="L391" s="33">
        <f t="shared" si="175"/>
        <v>14607</v>
      </c>
      <c r="M391" s="33">
        <f t="shared" si="176"/>
        <v>14607</v>
      </c>
      <c r="N391" s="33">
        <f t="shared" si="177"/>
        <v>0</v>
      </c>
      <c r="T391">
        <v>1</v>
      </c>
      <c r="U391" s="29">
        <f t="shared" si="178"/>
        <v>0</v>
      </c>
      <c r="V391" s="29">
        <f t="shared" si="179"/>
        <v>0</v>
      </c>
      <c r="W391" s="29">
        <f t="shared" si="180"/>
        <v>0</v>
      </c>
      <c r="X391" s="29">
        <f t="shared" si="181"/>
        <v>0</v>
      </c>
      <c r="Y391" s="29">
        <f t="shared" si="182"/>
        <v>0</v>
      </c>
      <c r="Z391" s="29">
        <f t="shared" si="183"/>
        <v>14607</v>
      </c>
    </row>
    <row r="392" spans="1:26" x14ac:dyDescent="0.3">
      <c r="A392" s="5" t="s">
        <v>3044</v>
      </c>
      <c r="B392" s="5" t="s">
        <v>3045</v>
      </c>
      <c r="C392" s="5">
        <v>80</v>
      </c>
      <c r="D392" s="6">
        <v>10737</v>
      </c>
      <c r="E392" s="17">
        <f>VLOOKUP(A392,'forecast data dump'!$A$1:$H$3450,4,FALSE)</f>
        <v>44631</v>
      </c>
      <c r="F392" s="17">
        <f>VLOOKUP(A392,'forecast data dump'!$A$1:$H$3450,5,FALSE)</f>
        <v>44718</v>
      </c>
      <c r="G392" s="42">
        <f>VLOOKUP(A392,'forecast data dump'!$A$1:$H$3450,8,FALSE)</f>
        <v>0</v>
      </c>
      <c r="H392" s="5" t="s">
        <v>3746</v>
      </c>
      <c r="I392" s="39">
        <f t="shared" si="174"/>
        <v>80</v>
      </c>
      <c r="J392" s="5"/>
      <c r="K392" s="5"/>
      <c r="L392" s="33">
        <f t="shared" si="175"/>
        <v>10737</v>
      </c>
      <c r="M392" s="33">
        <f t="shared" si="176"/>
        <v>10737</v>
      </c>
      <c r="N392" s="33">
        <f t="shared" si="177"/>
        <v>0</v>
      </c>
      <c r="T392">
        <v>1</v>
      </c>
      <c r="U392" s="29">
        <f t="shared" si="178"/>
        <v>0</v>
      </c>
      <c r="V392" s="29">
        <f t="shared" si="179"/>
        <v>0</v>
      </c>
      <c r="W392" s="29">
        <f t="shared" si="180"/>
        <v>0</v>
      </c>
      <c r="X392" s="29">
        <f t="shared" si="181"/>
        <v>0</v>
      </c>
      <c r="Y392" s="29">
        <f t="shared" si="182"/>
        <v>0</v>
      </c>
      <c r="Z392" s="29">
        <f t="shared" si="183"/>
        <v>10737</v>
      </c>
    </row>
    <row r="393" spans="1:26" x14ac:dyDescent="0.3">
      <c r="A393" s="5" t="s">
        <v>3052</v>
      </c>
      <c r="B393" s="5" t="s">
        <v>3053</v>
      </c>
      <c r="C393" s="5">
        <v>104</v>
      </c>
      <c r="D393" s="6">
        <v>13552</v>
      </c>
      <c r="E393" s="17" t="str">
        <f>VLOOKUP(A393,'forecast data dump'!$A$1:$H$3450,4,FALSE)</f>
        <v>23-Oct-20 A</v>
      </c>
      <c r="F393" s="17">
        <f>VLOOKUP(A393,'forecast data dump'!$A$1:$H$3450,5,FALSE)</f>
        <v>44407</v>
      </c>
      <c r="G393" s="42">
        <v>0.4</v>
      </c>
      <c r="H393" s="5" t="s">
        <v>3746</v>
      </c>
      <c r="I393" s="39">
        <f t="shared" si="174"/>
        <v>62.4</v>
      </c>
      <c r="J393" s="5"/>
      <c r="K393" s="5"/>
      <c r="L393" s="33">
        <f t="shared" si="175"/>
        <v>8131.2</v>
      </c>
      <c r="M393" s="33">
        <f t="shared" si="176"/>
        <v>8131.2</v>
      </c>
      <c r="N393" s="33">
        <f t="shared" si="177"/>
        <v>0</v>
      </c>
      <c r="T393">
        <v>1</v>
      </c>
      <c r="U393" s="29">
        <f t="shared" si="178"/>
        <v>0</v>
      </c>
      <c r="V393" s="29">
        <f t="shared" si="179"/>
        <v>0</v>
      </c>
      <c r="W393" s="29">
        <f t="shared" si="180"/>
        <v>0</v>
      </c>
      <c r="X393" s="29">
        <f t="shared" si="181"/>
        <v>0</v>
      </c>
      <c r="Y393" s="29">
        <f t="shared" si="182"/>
        <v>0</v>
      </c>
      <c r="Z393" s="29">
        <f t="shared" si="183"/>
        <v>8131.2</v>
      </c>
    </row>
    <row r="394" spans="1:26" x14ac:dyDescent="0.3">
      <c r="A394" s="5" t="s">
        <v>3052</v>
      </c>
      <c r="B394" s="5" t="s">
        <v>3053</v>
      </c>
      <c r="C394" s="5">
        <v>104</v>
      </c>
      <c r="D394" s="6">
        <v>12225</v>
      </c>
      <c r="E394" s="17" t="str">
        <f>VLOOKUP(A394,'forecast data dump'!$A$1:$H$3450,4,FALSE)</f>
        <v>23-Oct-20 A</v>
      </c>
      <c r="F394" s="17">
        <f>VLOOKUP(A394,'forecast data dump'!$A$1:$H$3450,5,FALSE)</f>
        <v>44407</v>
      </c>
      <c r="G394" s="42">
        <v>0.4</v>
      </c>
      <c r="H394" s="5" t="s">
        <v>3745</v>
      </c>
      <c r="I394" s="39">
        <f t="shared" si="174"/>
        <v>62.4</v>
      </c>
      <c r="J394" s="5"/>
      <c r="K394" s="5"/>
      <c r="L394" s="33">
        <f t="shared" si="175"/>
        <v>7335</v>
      </c>
      <c r="M394" s="33">
        <f t="shared" si="176"/>
        <v>7335</v>
      </c>
      <c r="N394" s="33">
        <f t="shared" si="177"/>
        <v>0</v>
      </c>
      <c r="T394">
        <v>1</v>
      </c>
      <c r="U394" s="29">
        <f t="shared" si="178"/>
        <v>0</v>
      </c>
      <c r="V394" s="29">
        <f t="shared" si="179"/>
        <v>0</v>
      </c>
      <c r="W394" s="29">
        <f t="shared" si="180"/>
        <v>0</v>
      </c>
      <c r="X394" s="29">
        <f t="shared" si="181"/>
        <v>0</v>
      </c>
      <c r="Y394" s="29">
        <f t="shared" si="182"/>
        <v>0</v>
      </c>
      <c r="Z394" s="29">
        <f t="shared" si="183"/>
        <v>7335</v>
      </c>
    </row>
    <row r="395" spans="1:26" x14ac:dyDescent="0.3">
      <c r="A395" s="5" t="s">
        <v>3054</v>
      </c>
      <c r="B395" s="5" t="s">
        <v>3055</v>
      </c>
      <c r="C395" s="5">
        <v>100</v>
      </c>
      <c r="D395" s="6">
        <v>13030</v>
      </c>
      <c r="E395" s="17" t="str">
        <f>VLOOKUP(A395,'forecast data dump'!$A$1:$H$3450,4,FALSE)</f>
        <v>15-Jul-20 A</v>
      </c>
      <c r="F395" s="17">
        <f>VLOOKUP(A395,'forecast data dump'!$A$1:$H$3450,5,FALSE)</f>
        <v>44411</v>
      </c>
      <c r="G395" s="42">
        <v>0.4</v>
      </c>
      <c r="H395" s="5" t="s">
        <v>3746</v>
      </c>
      <c r="I395" s="39">
        <f t="shared" si="174"/>
        <v>60</v>
      </c>
      <c r="J395" s="5"/>
      <c r="K395" s="5"/>
      <c r="L395" s="33">
        <f t="shared" si="175"/>
        <v>7818</v>
      </c>
      <c r="M395" s="33">
        <f t="shared" si="176"/>
        <v>7818</v>
      </c>
      <c r="N395" s="33">
        <f t="shared" si="177"/>
        <v>0</v>
      </c>
      <c r="T395">
        <v>1</v>
      </c>
      <c r="U395" s="29">
        <f t="shared" si="178"/>
        <v>0</v>
      </c>
      <c r="V395" s="29">
        <f t="shared" si="179"/>
        <v>0</v>
      </c>
      <c r="W395" s="29">
        <f t="shared" si="180"/>
        <v>0</v>
      </c>
      <c r="X395" s="29">
        <f t="shared" si="181"/>
        <v>0</v>
      </c>
      <c r="Y395" s="29">
        <f t="shared" si="182"/>
        <v>0</v>
      </c>
      <c r="Z395" s="29">
        <f t="shared" si="183"/>
        <v>7818</v>
      </c>
    </row>
    <row r="396" spans="1:26" x14ac:dyDescent="0.3">
      <c r="A396" s="5" t="s">
        <v>3054</v>
      </c>
      <c r="B396" s="5" t="s">
        <v>3055</v>
      </c>
      <c r="C396" s="5">
        <v>200</v>
      </c>
      <c r="D396" s="6">
        <v>23509</v>
      </c>
      <c r="E396" s="17" t="str">
        <f>VLOOKUP(A396,'forecast data dump'!$A$1:$H$3450,4,FALSE)</f>
        <v>15-Jul-20 A</v>
      </c>
      <c r="F396" s="17">
        <f>VLOOKUP(A396,'forecast data dump'!$A$1:$H$3450,5,FALSE)</f>
        <v>44411</v>
      </c>
      <c r="G396" s="42">
        <v>0.4</v>
      </c>
      <c r="H396" s="5" t="s">
        <v>3745</v>
      </c>
      <c r="I396" s="39">
        <f t="shared" si="174"/>
        <v>120</v>
      </c>
      <c r="J396" s="5"/>
      <c r="K396" s="5"/>
      <c r="L396" s="33">
        <f t="shared" si="175"/>
        <v>14105.4</v>
      </c>
      <c r="M396" s="33">
        <f t="shared" si="176"/>
        <v>14105.4</v>
      </c>
      <c r="N396" s="33">
        <f t="shared" si="177"/>
        <v>0</v>
      </c>
      <c r="T396">
        <v>1</v>
      </c>
      <c r="U396" s="29">
        <f t="shared" si="178"/>
        <v>0</v>
      </c>
      <c r="V396" s="29">
        <f t="shared" si="179"/>
        <v>0</v>
      </c>
      <c r="W396" s="29">
        <f t="shared" si="180"/>
        <v>0</v>
      </c>
      <c r="X396" s="29">
        <f t="shared" si="181"/>
        <v>0</v>
      </c>
      <c r="Y396" s="29">
        <f t="shared" si="182"/>
        <v>0</v>
      </c>
      <c r="Z396" s="29">
        <f t="shared" si="183"/>
        <v>14105.4</v>
      </c>
    </row>
    <row r="397" spans="1:26" x14ac:dyDescent="0.3">
      <c r="A397" s="5" t="s">
        <v>3056</v>
      </c>
      <c r="B397" s="5" t="s">
        <v>3057</v>
      </c>
      <c r="C397" s="5">
        <v>120</v>
      </c>
      <c r="D397" s="6">
        <v>15637</v>
      </c>
      <c r="E397" s="17">
        <f>VLOOKUP(A397,'forecast data dump'!$A$1:$H$3450,4,FALSE)</f>
        <v>44411</v>
      </c>
      <c r="F397" s="17">
        <f>VLOOKUP(A397,'forecast data dump'!$A$1:$H$3450,5,FALSE)</f>
        <v>44454</v>
      </c>
      <c r="G397" s="42">
        <f>VLOOKUP(A397,'forecast data dump'!$A$1:$H$3450,8,FALSE)</f>
        <v>0</v>
      </c>
      <c r="H397" s="5" t="s">
        <v>3746</v>
      </c>
      <c r="I397" s="39">
        <f t="shared" si="174"/>
        <v>120</v>
      </c>
      <c r="J397" s="5"/>
      <c r="K397" s="5"/>
      <c r="L397" s="33">
        <f t="shared" si="175"/>
        <v>15637</v>
      </c>
      <c r="M397" s="33">
        <f t="shared" si="176"/>
        <v>15637</v>
      </c>
      <c r="N397" s="33">
        <f t="shared" si="177"/>
        <v>0</v>
      </c>
      <c r="T397">
        <v>1</v>
      </c>
      <c r="U397" s="29">
        <f t="shared" si="178"/>
        <v>0</v>
      </c>
      <c r="V397" s="29">
        <f t="shared" si="179"/>
        <v>0</v>
      </c>
      <c r="W397" s="29">
        <f t="shared" si="180"/>
        <v>0</v>
      </c>
      <c r="X397" s="29">
        <f t="shared" si="181"/>
        <v>0</v>
      </c>
      <c r="Y397" s="29">
        <f t="shared" si="182"/>
        <v>0</v>
      </c>
      <c r="Z397" s="29">
        <f t="shared" si="183"/>
        <v>15637</v>
      </c>
    </row>
    <row r="398" spans="1:26" x14ac:dyDescent="0.3">
      <c r="A398" s="5" t="s">
        <v>3056</v>
      </c>
      <c r="B398" s="5" t="s">
        <v>3057</v>
      </c>
      <c r="C398" s="5">
        <v>240</v>
      </c>
      <c r="D398" s="6">
        <v>28211</v>
      </c>
      <c r="E398" s="17">
        <f>VLOOKUP(A398,'forecast data dump'!$A$1:$H$3450,4,FALSE)</f>
        <v>44411</v>
      </c>
      <c r="F398" s="17">
        <f>VLOOKUP(A398,'forecast data dump'!$A$1:$H$3450,5,FALSE)</f>
        <v>44454</v>
      </c>
      <c r="G398" s="42">
        <f>VLOOKUP(A398,'forecast data dump'!$A$1:$H$3450,8,FALSE)</f>
        <v>0</v>
      </c>
      <c r="H398" s="5" t="s">
        <v>3745</v>
      </c>
      <c r="I398" s="39">
        <f t="shared" si="174"/>
        <v>240</v>
      </c>
      <c r="J398" s="5"/>
      <c r="K398" s="5"/>
      <c r="L398" s="33">
        <f t="shared" si="175"/>
        <v>28211</v>
      </c>
      <c r="M398" s="33">
        <f t="shared" si="176"/>
        <v>28211</v>
      </c>
      <c r="N398" s="33">
        <f t="shared" si="177"/>
        <v>0</v>
      </c>
      <c r="T398">
        <v>1</v>
      </c>
      <c r="U398" s="29">
        <f t="shared" si="178"/>
        <v>0</v>
      </c>
      <c r="V398" s="29">
        <f t="shared" si="179"/>
        <v>0</v>
      </c>
      <c r="W398" s="29">
        <f t="shared" si="180"/>
        <v>0</v>
      </c>
      <c r="X398" s="29">
        <f t="shared" si="181"/>
        <v>0</v>
      </c>
      <c r="Y398" s="29">
        <f t="shared" si="182"/>
        <v>0</v>
      </c>
      <c r="Z398" s="29">
        <f t="shared" si="183"/>
        <v>28211</v>
      </c>
    </row>
    <row r="399" spans="1:26" x14ac:dyDescent="0.3">
      <c r="A399" s="3" t="s">
        <v>7879</v>
      </c>
      <c r="B399" s="3"/>
      <c r="C399" s="3"/>
      <c r="D399" s="4"/>
      <c r="E399" s="15"/>
      <c r="F399" s="15"/>
      <c r="G399" s="41"/>
      <c r="H399" s="3"/>
      <c r="I399" s="38"/>
      <c r="J399" s="3"/>
      <c r="K399" s="3"/>
      <c r="L399" s="32"/>
      <c r="M399" s="32"/>
      <c r="N399" s="32"/>
      <c r="U399" s="29"/>
      <c r="V399" s="29"/>
      <c r="W399" s="29"/>
      <c r="X399" s="29"/>
      <c r="Y399" s="29"/>
      <c r="Z399" s="29"/>
    </row>
    <row r="400" spans="1:26" x14ac:dyDescent="0.3">
      <c r="A400" s="5" t="s">
        <v>3070</v>
      </c>
      <c r="B400" s="5" t="s">
        <v>3071</v>
      </c>
      <c r="C400" s="5">
        <v>24</v>
      </c>
      <c r="D400" s="6">
        <v>3640</v>
      </c>
      <c r="E400" s="17" t="str">
        <f>VLOOKUP(A400,'forecast data dump'!$A$1:$H$3450,4,FALSE)</f>
        <v>23-Oct-20 A</v>
      </c>
      <c r="F400" s="17">
        <f>VLOOKUP(A400,'forecast data dump'!$A$1:$H$3450,5,FALSE)</f>
        <v>44391</v>
      </c>
      <c r="G400" s="42">
        <v>0.6</v>
      </c>
      <c r="H400" s="5" t="s">
        <v>3733</v>
      </c>
      <c r="I400" s="39">
        <f t="shared" ref="I400:I416" si="184">C400*(1-G400)</f>
        <v>9.6000000000000014</v>
      </c>
      <c r="J400" s="5"/>
      <c r="K400" s="5"/>
      <c r="L400" s="33">
        <f t="shared" ref="L400:L416" si="185">D400*(1-G400)</f>
        <v>1456</v>
      </c>
      <c r="M400" s="33">
        <f t="shared" ref="M400:M416" si="186">IF(J400="",L400,(D400/C400)*J400)</f>
        <v>1456</v>
      </c>
      <c r="N400" s="33">
        <f t="shared" ref="N400:N416" si="187">L400-M400</f>
        <v>0</v>
      </c>
      <c r="R400">
        <v>1</v>
      </c>
      <c r="U400" s="29">
        <f t="shared" si="178"/>
        <v>0</v>
      </c>
      <c r="V400" s="29">
        <f t="shared" si="179"/>
        <v>0</v>
      </c>
      <c r="W400" s="29">
        <f t="shared" si="180"/>
        <v>0</v>
      </c>
      <c r="X400" s="29">
        <f t="shared" si="181"/>
        <v>1456</v>
      </c>
      <c r="Y400" s="29">
        <f t="shared" si="182"/>
        <v>0</v>
      </c>
      <c r="Z400" s="29">
        <f t="shared" si="183"/>
        <v>0</v>
      </c>
    </row>
    <row r="401" spans="1:26" x14ac:dyDescent="0.3">
      <c r="A401" s="5" t="s">
        <v>3070</v>
      </c>
      <c r="B401" s="5" t="s">
        <v>3071</v>
      </c>
      <c r="C401" s="5">
        <v>96</v>
      </c>
      <c r="D401" s="6">
        <v>11284</v>
      </c>
      <c r="E401" s="17" t="str">
        <f>VLOOKUP(A401,'forecast data dump'!$A$1:$H$3450,4,FALSE)</f>
        <v>23-Oct-20 A</v>
      </c>
      <c r="F401" s="17">
        <f>VLOOKUP(A401,'forecast data dump'!$A$1:$H$3450,5,FALSE)</f>
        <v>44391</v>
      </c>
      <c r="G401" s="42">
        <v>0.6</v>
      </c>
      <c r="H401" s="5" t="s">
        <v>3745</v>
      </c>
      <c r="I401" s="39">
        <f t="shared" si="184"/>
        <v>38.400000000000006</v>
      </c>
      <c r="J401" s="5"/>
      <c r="K401" s="5"/>
      <c r="L401" s="33">
        <f t="shared" si="185"/>
        <v>4513.6000000000004</v>
      </c>
      <c r="M401" s="33">
        <f t="shared" si="186"/>
        <v>4513.6000000000004</v>
      </c>
      <c r="N401" s="33">
        <f t="shared" si="187"/>
        <v>0</v>
      </c>
      <c r="R401">
        <v>1</v>
      </c>
      <c r="U401" s="29">
        <f t="shared" si="178"/>
        <v>0</v>
      </c>
      <c r="V401" s="29">
        <f t="shared" si="179"/>
        <v>0</v>
      </c>
      <c r="W401" s="29">
        <f t="shared" si="180"/>
        <v>0</v>
      </c>
      <c r="X401" s="29">
        <f t="shared" si="181"/>
        <v>4513.6000000000004</v>
      </c>
      <c r="Y401" s="29">
        <f t="shared" si="182"/>
        <v>0</v>
      </c>
      <c r="Z401" s="29">
        <f t="shared" si="183"/>
        <v>0</v>
      </c>
    </row>
    <row r="402" spans="1:26" x14ac:dyDescent="0.3">
      <c r="A402" s="5" t="s">
        <v>3070</v>
      </c>
      <c r="B402" s="5" t="s">
        <v>3071</v>
      </c>
      <c r="C402" s="5">
        <v>24</v>
      </c>
      <c r="D402" s="6">
        <v>3127</v>
      </c>
      <c r="E402" s="17" t="str">
        <f>VLOOKUP(A402,'forecast data dump'!$A$1:$H$3450,4,FALSE)</f>
        <v>23-Oct-20 A</v>
      </c>
      <c r="F402" s="17">
        <f>VLOOKUP(A402,'forecast data dump'!$A$1:$H$3450,5,FALSE)</f>
        <v>44391</v>
      </c>
      <c r="G402" s="42">
        <v>0.6</v>
      </c>
      <c r="H402" s="5" t="s">
        <v>3746</v>
      </c>
      <c r="I402" s="39">
        <f t="shared" si="184"/>
        <v>9.6000000000000014</v>
      </c>
      <c r="J402" s="5"/>
      <c r="K402" s="5"/>
      <c r="L402" s="33">
        <f t="shared" si="185"/>
        <v>1250.8000000000002</v>
      </c>
      <c r="M402" s="33">
        <f t="shared" si="186"/>
        <v>1250.8000000000002</v>
      </c>
      <c r="N402" s="33">
        <f t="shared" si="187"/>
        <v>0</v>
      </c>
      <c r="R402">
        <v>1</v>
      </c>
      <c r="U402" s="29">
        <f t="shared" si="178"/>
        <v>0</v>
      </c>
      <c r="V402" s="29">
        <f t="shared" si="179"/>
        <v>0</v>
      </c>
      <c r="W402" s="29">
        <f t="shared" si="180"/>
        <v>0</v>
      </c>
      <c r="X402" s="29">
        <f t="shared" si="181"/>
        <v>1250.8000000000002</v>
      </c>
      <c r="Y402" s="29">
        <f t="shared" si="182"/>
        <v>0</v>
      </c>
      <c r="Z402" s="29">
        <f t="shared" si="183"/>
        <v>0</v>
      </c>
    </row>
    <row r="403" spans="1:26" x14ac:dyDescent="0.3">
      <c r="A403" s="5" t="s">
        <v>3076</v>
      </c>
      <c r="B403" s="5" t="s">
        <v>3077</v>
      </c>
      <c r="C403" s="5">
        <v>16</v>
      </c>
      <c r="D403" s="6">
        <v>2427</v>
      </c>
      <c r="E403" s="17">
        <f>VLOOKUP(A403,'forecast data dump'!$A$1:$H$3450,4,FALSE)</f>
        <v>44410</v>
      </c>
      <c r="F403" s="17">
        <f>VLOOKUP(A403,'forecast data dump'!$A$1:$H$3450,5,FALSE)</f>
        <v>44466</v>
      </c>
      <c r="G403" s="42">
        <v>0.75</v>
      </c>
      <c r="H403" s="5" t="s">
        <v>3733</v>
      </c>
      <c r="I403" s="39">
        <f t="shared" si="184"/>
        <v>4</v>
      </c>
      <c r="J403" s="5"/>
      <c r="K403" s="5"/>
      <c r="L403" s="33">
        <f t="shared" si="185"/>
        <v>606.75</v>
      </c>
      <c r="M403" s="33">
        <f t="shared" si="186"/>
        <v>606.75</v>
      </c>
      <c r="N403" s="33">
        <f t="shared" si="187"/>
        <v>0</v>
      </c>
      <c r="T403">
        <v>1</v>
      </c>
      <c r="U403" s="29">
        <f t="shared" si="178"/>
        <v>0</v>
      </c>
      <c r="V403" s="29">
        <f t="shared" si="179"/>
        <v>0</v>
      </c>
      <c r="W403" s="29">
        <f t="shared" si="180"/>
        <v>0</v>
      </c>
      <c r="X403" s="29">
        <f t="shared" si="181"/>
        <v>0</v>
      </c>
      <c r="Y403" s="29">
        <f t="shared" si="182"/>
        <v>0</v>
      </c>
      <c r="Z403" s="29">
        <f t="shared" si="183"/>
        <v>606.75</v>
      </c>
    </row>
    <row r="404" spans="1:26" x14ac:dyDescent="0.3">
      <c r="A404" s="5" t="s">
        <v>3076</v>
      </c>
      <c r="B404" s="5" t="s">
        <v>3077</v>
      </c>
      <c r="C404" s="5">
        <v>72</v>
      </c>
      <c r="D404" s="6">
        <v>8463</v>
      </c>
      <c r="E404" s="17">
        <f>VLOOKUP(A404,'forecast data dump'!$A$1:$H$3450,4,FALSE)</f>
        <v>44410</v>
      </c>
      <c r="F404" s="17">
        <f>VLOOKUP(A404,'forecast data dump'!$A$1:$H$3450,5,FALSE)</f>
        <v>44466</v>
      </c>
      <c r="G404" s="42">
        <v>0.75</v>
      </c>
      <c r="H404" s="5" t="s">
        <v>3745</v>
      </c>
      <c r="I404" s="39">
        <f t="shared" si="184"/>
        <v>18</v>
      </c>
      <c r="J404" s="5"/>
      <c r="K404" s="5"/>
      <c r="L404" s="33">
        <f t="shared" si="185"/>
        <v>2115.75</v>
      </c>
      <c r="M404" s="33">
        <f t="shared" si="186"/>
        <v>2115.75</v>
      </c>
      <c r="N404" s="33">
        <f t="shared" si="187"/>
        <v>0</v>
      </c>
      <c r="T404">
        <v>1</v>
      </c>
      <c r="U404" s="29">
        <f t="shared" si="178"/>
        <v>0</v>
      </c>
      <c r="V404" s="29">
        <f t="shared" si="179"/>
        <v>0</v>
      </c>
      <c r="W404" s="29">
        <f t="shared" si="180"/>
        <v>0</v>
      </c>
      <c r="X404" s="29">
        <f t="shared" si="181"/>
        <v>0</v>
      </c>
      <c r="Y404" s="29">
        <f t="shared" si="182"/>
        <v>0</v>
      </c>
      <c r="Z404" s="29">
        <f t="shared" si="183"/>
        <v>2115.75</v>
      </c>
    </row>
    <row r="405" spans="1:26" x14ac:dyDescent="0.3">
      <c r="A405" s="5" t="s">
        <v>3076</v>
      </c>
      <c r="B405" s="5" t="s">
        <v>3077</v>
      </c>
      <c r="C405" s="5">
        <v>16</v>
      </c>
      <c r="D405" s="6">
        <v>2085</v>
      </c>
      <c r="E405" s="17">
        <f>VLOOKUP(A405,'forecast data dump'!$A$1:$H$3450,4,FALSE)</f>
        <v>44410</v>
      </c>
      <c r="F405" s="17">
        <f>VLOOKUP(A405,'forecast data dump'!$A$1:$H$3450,5,FALSE)</f>
        <v>44466</v>
      </c>
      <c r="G405" s="42">
        <v>0.75</v>
      </c>
      <c r="H405" s="5" t="s">
        <v>3746</v>
      </c>
      <c r="I405" s="39">
        <f t="shared" si="184"/>
        <v>4</v>
      </c>
      <c r="J405" s="5"/>
      <c r="K405" s="5"/>
      <c r="L405" s="33">
        <f t="shared" si="185"/>
        <v>521.25</v>
      </c>
      <c r="M405" s="33">
        <f t="shared" si="186"/>
        <v>521.25</v>
      </c>
      <c r="N405" s="33">
        <f t="shared" si="187"/>
        <v>0</v>
      </c>
      <c r="T405">
        <v>1</v>
      </c>
      <c r="U405" s="29">
        <f t="shared" si="178"/>
        <v>0</v>
      </c>
      <c r="V405" s="29">
        <f t="shared" si="179"/>
        <v>0</v>
      </c>
      <c r="W405" s="29">
        <f t="shared" si="180"/>
        <v>0</v>
      </c>
      <c r="X405" s="29">
        <f t="shared" si="181"/>
        <v>0</v>
      </c>
      <c r="Y405" s="29">
        <f t="shared" si="182"/>
        <v>0</v>
      </c>
      <c r="Z405" s="29">
        <f t="shared" si="183"/>
        <v>521.25</v>
      </c>
    </row>
    <row r="406" spans="1:26" x14ac:dyDescent="0.3">
      <c r="A406" s="5" t="s">
        <v>3078</v>
      </c>
      <c r="B406" s="5" t="s">
        <v>3079</v>
      </c>
      <c r="C406" s="5">
        <v>48</v>
      </c>
      <c r="D406" s="6">
        <v>7281</v>
      </c>
      <c r="E406" s="17">
        <f>VLOOKUP(A406,'forecast data dump'!$A$1:$H$3450,4,FALSE)</f>
        <v>44467</v>
      </c>
      <c r="F406" s="17">
        <f>VLOOKUP(A406,'forecast data dump'!$A$1:$H$3450,5,FALSE)</f>
        <v>44524</v>
      </c>
      <c r="G406" s="42">
        <v>0.75</v>
      </c>
      <c r="H406" s="5" t="s">
        <v>3733</v>
      </c>
      <c r="I406" s="39">
        <f t="shared" si="184"/>
        <v>12</v>
      </c>
      <c r="J406" s="5"/>
      <c r="K406" s="5"/>
      <c r="L406" s="33">
        <f t="shared" si="185"/>
        <v>1820.25</v>
      </c>
      <c r="M406" s="33">
        <f t="shared" si="186"/>
        <v>1820.25</v>
      </c>
      <c r="N406" s="33">
        <f t="shared" si="187"/>
        <v>0</v>
      </c>
      <c r="T406">
        <v>1</v>
      </c>
      <c r="U406" s="29">
        <f t="shared" si="178"/>
        <v>0</v>
      </c>
      <c r="V406" s="29">
        <f t="shared" si="179"/>
        <v>0</v>
      </c>
      <c r="W406" s="29">
        <f t="shared" si="180"/>
        <v>0</v>
      </c>
      <c r="X406" s="29">
        <f t="shared" si="181"/>
        <v>0</v>
      </c>
      <c r="Y406" s="29">
        <f t="shared" si="182"/>
        <v>0</v>
      </c>
      <c r="Z406" s="29">
        <f t="shared" si="183"/>
        <v>1820.25</v>
      </c>
    </row>
    <row r="407" spans="1:26" x14ac:dyDescent="0.3">
      <c r="A407" s="5" t="s">
        <v>3078</v>
      </c>
      <c r="B407" s="5" t="s">
        <v>3079</v>
      </c>
      <c r="C407" s="5">
        <v>144</v>
      </c>
      <c r="D407" s="6">
        <v>16927</v>
      </c>
      <c r="E407" s="17">
        <f>VLOOKUP(A407,'forecast data dump'!$A$1:$H$3450,4,FALSE)</f>
        <v>44467</v>
      </c>
      <c r="F407" s="17">
        <f>VLOOKUP(A407,'forecast data dump'!$A$1:$H$3450,5,FALSE)</f>
        <v>44524</v>
      </c>
      <c r="G407" s="42">
        <v>0.75</v>
      </c>
      <c r="H407" s="5" t="s">
        <v>3745</v>
      </c>
      <c r="I407" s="39">
        <f t="shared" si="184"/>
        <v>36</v>
      </c>
      <c r="J407" s="5"/>
      <c r="K407" s="5"/>
      <c r="L407" s="33">
        <f t="shared" si="185"/>
        <v>4231.75</v>
      </c>
      <c r="M407" s="33">
        <f t="shared" si="186"/>
        <v>4231.75</v>
      </c>
      <c r="N407" s="33">
        <f t="shared" si="187"/>
        <v>0</v>
      </c>
      <c r="T407">
        <v>1</v>
      </c>
      <c r="U407" s="29">
        <f t="shared" si="178"/>
        <v>0</v>
      </c>
      <c r="V407" s="29">
        <f t="shared" si="179"/>
        <v>0</v>
      </c>
      <c r="W407" s="29">
        <f t="shared" si="180"/>
        <v>0</v>
      </c>
      <c r="X407" s="29">
        <f t="shared" si="181"/>
        <v>0</v>
      </c>
      <c r="Y407" s="29">
        <f t="shared" si="182"/>
        <v>0</v>
      </c>
      <c r="Z407" s="29">
        <f t="shared" si="183"/>
        <v>4231.75</v>
      </c>
    </row>
    <row r="408" spans="1:26" x14ac:dyDescent="0.3">
      <c r="A408" s="5" t="s">
        <v>3078</v>
      </c>
      <c r="B408" s="5" t="s">
        <v>3079</v>
      </c>
      <c r="C408" s="5">
        <v>48</v>
      </c>
      <c r="D408" s="6">
        <v>6255</v>
      </c>
      <c r="E408" s="17">
        <f>VLOOKUP(A408,'forecast data dump'!$A$1:$H$3450,4,FALSE)</f>
        <v>44467</v>
      </c>
      <c r="F408" s="17">
        <f>VLOOKUP(A408,'forecast data dump'!$A$1:$H$3450,5,FALSE)</f>
        <v>44524</v>
      </c>
      <c r="G408" s="42">
        <v>0.75</v>
      </c>
      <c r="H408" s="5" t="s">
        <v>3746</v>
      </c>
      <c r="I408" s="39">
        <f t="shared" si="184"/>
        <v>12</v>
      </c>
      <c r="J408" s="5"/>
      <c r="K408" s="5"/>
      <c r="L408" s="33">
        <f t="shared" si="185"/>
        <v>1563.75</v>
      </c>
      <c r="M408" s="33">
        <f t="shared" si="186"/>
        <v>1563.75</v>
      </c>
      <c r="N408" s="33">
        <f t="shared" si="187"/>
        <v>0</v>
      </c>
      <c r="T408">
        <v>1</v>
      </c>
      <c r="U408" s="29">
        <f t="shared" si="178"/>
        <v>0</v>
      </c>
      <c r="V408" s="29">
        <f t="shared" si="179"/>
        <v>0</v>
      </c>
      <c r="W408" s="29">
        <f t="shared" si="180"/>
        <v>0</v>
      </c>
      <c r="X408" s="29">
        <f t="shared" si="181"/>
        <v>0</v>
      </c>
      <c r="Y408" s="29">
        <f t="shared" si="182"/>
        <v>0</v>
      </c>
      <c r="Z408" s="29">
        <f t="shared" si="183"/>
        <v>1563.75</v>
      </c>
    </row>
    <row r="409" spans="1:26" x14ac:dyDescent="0.3">
      <c r="A409" s="5" t="s">
        <v>3080</v>
      </c>
      <c r="B409" s="5" t="s">
        <v>3081</v>
      </c>
      <c r="C409" s="5">
        <v>48</v>
      </c>
      <c r="D409" s="6">
        <v>7496</v>
      </c>
      <c r="E409" s="17">
        <f>VLOOKUP(A409,'forecast data dump'!$A$1:$H$3450,4,FALSE)</f>
        <v>44529</v>
      </c>
      <c r="F409" s="17">
        <f>VLOOKUP(A409,'forecast data dump'!$A$1:$H$3450,5,FALSE)</f>
        <v>44601</v>
      </c>
      <c r="G409" s="42">
        <v>0.5</v>
      </c>
      <c r="H409" s="5" t="s">
        <v>3733</v>
      </c>
      <c r="I409" s="39">
        <f t="shared" si="184"/>
        <v>24</v>
      </c>
      <c r="J409" s="5"/>
      <c r="K409" s="5"/>
      <c r="L409" s="33">
        <f t="shared" si="185"/>
        <v>3748</v>
      </c>
      <c r="M409" s="33">
        <f t="shared" si="186"/>
        <v>3748</v>
      </c>
      <c r="N409" s="33">
        <f t="shared" si="187"/>
        <v>0</v>
      </c>
      <c r="T409">
        <v>1</v>
      </c>
      <c r="U409" s="29">
        <f t="shared" si="178"/>
        <v>0</v>
      </c>
      <c r="V409" s="29">
        <f t="shared" si="179"/>
        <v>0</v>
      </c>
      <c r="W409" s="29">
        <f t="shared" si="180"/>
        <v>0</v>
      </c>
      <c r="X409" s="29">
        <f t="shared" si="181"/>
        <v>0</v>
      </c>
      <c r="Y409" s="29">
        <f t="shared" si="182"/>
        <v>0</v>
      </c>
      <c r="Z409" s="29">
        <f t="shared" si="183"/>
        <v>3748</v>
      </c>
    </row>
    <row r="410" spans="1:26" x14ac:dyDescent="0.3">
      <c r="A410" s="5" t="s">
        <v>3080</v>
      </c>
      <c r="B410" s="5" t="s">
        <v>3081</v>
      </c>
      <c r="C410" s="5">
        <v>144</v>
      </c>
      <c r="D410" s="6">
        <v>17426</v>
      </c>
      <c r="E410" s="17">
        <f>VLOOKUP(A410,'forecast data dump'!$A$1:$H$3450,4,FALSE)</f>
        <v>44529</v>
      </c>
      <c r="F410" s="17">
        <f>VLOOKUP(A410,'forecast data dump'!$A$1:$H$3450,5,FALSE)</f>
        <v>44601</v>
      </c>
      <c r="G410" s="42">
        <v>0.5</v>
      </c>
      <c r="H410" s="5" t="s">
        <v>3745</v>
      </c>
      <c r="I410" s="39">
        <f t="shared" si="184"/>
        <v>72</v>
      </c>
      <c r="J410" s="5"/>
      <c r="K410" s="5"/>
      <c r="L410" s="33">
        <f t="shared" si="185"/>
        <v>8713</v>
      </c>
      <c r="M410" s="33">
        <f t="shared" si="186"/>
        <v>8713</v>
      </c>
      <c r="N410" s="33">
        <f t="shared" si="187"/>
        <v>0</v>
      </c>
      <c r="T410">
        <v>1</v>
      </c>
      <c r="U410" s="29">
        <f t="shared" si="178"/>
        <v>0</v>
      </c>
      <c r="V410" s="29">
        <f t="shared" si="179"/>
        <v>0</v>
      </c>
      <c r="W410" s="29">
        <f t="shared" si="180"/>
        <v>0</v>
      </c>
      <c r="X410" s="29">
        <f t="shared" si="181"/>
        <v>0</v>
      </c>
      <c r="Y410" s="29">
        <f t="shared" si="182"/>
        <v>0</v>
      </c>
      <c r="Z410" s="29">
        <f t="shared" si="183"/>
        <v>8713</v>
      </c>
    </row>
    <row r="411" spans="1:26" x14ac:dyDescent="0.3">
      <c r="A411" s="5" t="s">
        <v>3080</v>
      </c>
      <c r="B411" s="5" t="s">
        <v>3081</v>
      </c>
      <c r="C411" s="5">
        <v>48</v>
      </c>
      <c r="D411" s="6">
        <v>6439</v>
      </c>
      <c r="E411" s="17">
        <f>VLOOKUP(A411,'forecast data dump'!$A$1:$H$3450,4,FALSE)</f>
        <v>44529</v>
      </c>
      <c r="F411" s="17">
        <f>VLOOKUP(A411,'forecast data dump'!$A$1:$H$3450,5,FALSE)</f>
        <v>44601</v>
      </c>
      <c r="G411" s="42">
        <v>0.5</v>
      </c>
      <c r="H411" s="5" t="s">
        <v>3746</v>
      </c>
      <c r="I411" s="39">
        <f t="shared" si="184"/>
        <v>24</v>
      </c>
      <c r="J411" s="5"/>
      <c r="K411" s="5"/>
      <c r="L411" s="33">
        <f t="shared" si="185"/>
        <v>3219.5</v>
      </c>
      <c r="M411" s="33">
        <f t="shared" si="186"/>
        <v>3219.5</v>
      </c>
      <c r="N411" s="33">
        <f t="shared" si="187"/>
        <v>0</v>
      </c>
      <c r="T411">
        <v>1</v>
      </c>
      <c r="U411" s="29">
        <f t="shared" si="178"/>
        <v>0</v>
      </c>
      <c r="V411" s="29">
        <f t="shared" si="179"/>
        <v>0</v>
      </c>
      <c r="W411" s="29">
        <f t="shared" si="180"/>
        <v>0</v>
      </c>
      <c r="X411" s="29">
        <f t="shared" si="181"/>
        <v>0</v>
      </c>
      <c r="Y411" s="29">
        <f t="shared" si="182"/>
        <v>0</v>
      </c>
      <c r="Z411" s="29">
        <f t="shared" si="183"/>
        <v>3219.5</v>
      </c>
    </row>
    <row r="412" spans="1:26" x14ac:dyDescent="0.3">
      <c r="A412" s="5" t="s">
        <v>3082</v>
      </c>
      <c r="B412" s="5" t="s">
        <v>3083</v>
      </c>
      <c r="C412" s="5">
        <v>8</v>
      </c>
      <c r="D412" s="6">
        <v>1250</v>
      </c>
      <c r="E412" s="17">
        <f>VLOOKUP(A412,'forecast data dump'!$A$1:$H$3450,4,FALSE)</f>
        <v>44602</v>
      </c>
      <c r="F412" s="17">
        <f>VLOOKUP(A412,'forecast data dump'!$A$1:$H$3450,5,FALSE)</f>
        <v>44616</v>
      </c>
      <c r="G412" s="42">
        <f>VLOOKUP(A412,'forecast data dump'!$A$1:$H$3450,8,FALSE)</f>
        <v>0</v>
      </c>
      <c r="H412" s="5" t="s">
        <v>3733</v>
      </c>
      <c r="I412" s="39">
        <f t="shared" si="184"/>
        <v>8</v>
      </c>
      <c r="J412" s="5"/>
      <c r="K412" s="5"/>
      <c r="L412" s="33">
        <f t="shared" si="185"/>
        <v>1250</v>
      </c>
      <c r="M412" s="33">
        <f t="shared" si="186"/>
        <v>1250</v>
      </c>
      <c r="N412" s="33">
        <f t="shared" si="187"/>
        <v>0</v>
      </c>
      <c r="T412">
        <v>1</v>
      </c>
      <c r="U412" s="29">
        <f t="shared" si="178"/>
        <v>0</v>
      </c>
      <c r="V412" s="29">
        <f t="shared" si="179"/>
        <v>0</v>
      </c>
      <c r="W412" s="29">
        <f t="shared" si="180"/>
        <v>0</v>
      </c>
      <c r="X412" s="29">
        <f t="shared" si="181"/>
        <v>0</v>
      </c>
      <c r="Y412" s="29">
        <f t="shared" si="182"/>
        <v>0</v>
      </c>
      <c r="Z412" s="29">
        <f t="shared" si="183"/>
        <v>1250</v>
      </c>
    </row>
    <row r="413" spans="1:26" x14ac:dyDescent="0.3">
      <c r="A413" s="5" t="s">
        <v>3082</v>
      </c>
      <c r="B413" s="5" t="s">
        <v>3083</v>
      </c>
      <c r="C413" s="5">
        <v>40</v>
      </c>
      <c r="D413" s="6">
        <v>4843</v>
      </c>
      <c r="E413" s="17">
        <f>VLOOKUP(A413,'forecast data dump'!$A$1:$H$3450,4,FALSE)</f>
        <v>44602</v>
      </c>
      <c r="F413" s="17">
        <f>VLOOKUP(A413,'forecast data dump'!$A$1:$H$3450,5,FALSE)</f>
        <v>44616</v>
      </c>
      <c r="G413" s="42">
        <f>VLOOKUP(A413,'forecast data dump'!$A$1:$H$3450,8,FALSE)</f>
        <v>0</v>
      </c>
      <c r="H413" s="5" t="s">
        <v>3741</v>
      </c>
      <c r="I413" s="39">
        <f t="shared" si="184"/>
        <v>40</v>
      </c>
      <c r="J413" s="5"/>
      <c r="K413" s="5"/>
      <c r="L413" s="33">
        <f t="shared" si="185"/>
        <v>4843</v>
      </c>
      <c r="M413" s="33">
        <f t="shared" si="186"/>
        <v>4843</v>
      </c>
      <c r="N413" s="33">
        <f t="shared" si="187"/>
        <v>0</v>
      </c>
      <c r="T413">
        <v>1</v>
      </c>
      <c r="U413" s="29">
        <f t="shared" si="178"/>
        <v>0</v>
      </c>
      <c r="V413" s="29">
        <f t="shared" si="179"/>
        <v>0</v>
      </c>
      <c r="W413" s="29">
        <f t="shared" si="180"/>
        <v>0</v>
      </c>
      <c r="X413" s="29">
        <f t="shared" si="181"/>
        <v>0</v>
      </c>
      <c r="Y413" s="29">
        <f t="shared" si="182"/>
        <v>0</v>
      </c>
      <c r="Z413" s="29">
        <f t="shared" si="183"/>
        <v>4843</v>
      </c>
    </row>
    <row r="414" spans="1:26" x14ac:dyDescent="0.3">
      <c r="A414" s="5" t="s">
        <v>3082</v>
      </c>
      <c r="B414" s="5" t="s">
        <v>3083</v>
      </c>
      <c r="C414" s="5">
        <v>16</v>
      </c>
      <c r="D414" s="6">
        <v>1937</v>
      </c>
      <c r="E414" s="17">
        <f>VLOOKUP(A414,'forecast data dump'!$A$1:$H$3450,4,FALSE)</f>
        <v>44602</v>
      </c>
      <c r="F414" s="17">
        <f>VLOOKUP(A414,'forecast data dump'!$A$1:$H$3450,5,FALSE)</f>
        <v>44616</v>
      </c>
      <c r="G414" s="42">
        <f>VLOOKUP(A414,'forecast data dump'!$A$1:$H$3450,8,FALSE)</f>
        <v>0</v>
      </c>
      <c r="H414" s="5" t="s">
        <v>3745</v>
      </c>
      <c r="I414" s="39">
        <f t="shared" si="184"/>
        <v>16</v>
      </c>
      <c r="J414" s="5"/>
      <c r="K414" s="5"/>
      <c r="L414" s="33">
        <f t="shared" si="185"/>
        <v>1937</v>
      </c>
      <c r="M414" s="33">
        <f t="shared" si="186"/>
        <v>1937</v>
      </c>
      <c r="N414" s="33">
        <f t="shared" si="187"/>
        <v>0</v>
      </c>
      <c r="T414">
        <v>1</v>
      </c>
      <c r="U414" s="29">
        <f t="shared" si="178"/>
        <v>0</v>
      </c>
      <c r="V414" s="29">
        <f t="shared" si="179"/>
        <v>0</v>
      </c>
      <c r="W414" s="29">
        <f t="shared" si="180"/>
        <v>0</v>
      </c>
      <c r="X414" s="29">
        <f t="shared" si="181"/>
        <v>0</v>
      </c>
      <c r="Y414" s="29">
        <f t="shared" si="182"/>
        <v>0</v>
      </c>
      <c r="Z414" s="29">
        <f t="shared" si="183"/>
        <v>1937</v>
      </c>
    </row>
    <row r="415" spans="1:26" x14ac:dyDescent="0.3">
      <c r="A415" s="5" t="s">
        <v>3082</v>
      </c>
      <c r="B415" s="5" t="s">
        <v>3083</v>
      </c>
      <c r="C415" s="5">
        <v>8</v>
      </c>
      <c r="D415" s="6">
        <v>1074</v>
      </c>
      <c r="E415" s="17">
        <f>VLOOKUP(A415,'forecast data dump'!$A$1:$H$3450,4,FALSE)</f>
        <v>44602</v>
      </c>
      <c r="F415" s="17">
        <f>VLOOKUP(A415,'forecast data dump'!$A$1:$H$3450,5,FALSE)</f>
        <v>44616</v>
      </c>
      <c r="G415" s="42">
        <f>VLOOKUP(A415,'forecast data dump'!$A$1:$H$3450,8,FALSE)</f>
        <v>0</v>
      </c>
      <c r="H415" s="5" t="s">
        <v>3746</v>
      </c>
      <c r="I415" s="39">
        <f t="shared" si="184"/>
        <v>8</v>
      </c>
      <c r="J415" s="5"/>
      <c r="K415" s="5"/>
      <c r="L415" s="33">
        <f t="shared" si="185"/>
        <v>1074</v>
      </c>
      <c r="M415" s="33">
        <f t="shared" si="186"/>
        <v>1074</v>
      </c>
      <c r="N415" s="33">
        <f t="shared" si="187"/>
        <v>0</v>
      </c>
      <c r="T415">
        <v>1</v>
      </c>
      <c r="U415" s="29">
        <f t="shared" si="178"/>
        <v>0</v>
      </c>
      <c r="V415" s="29">
        <f t="shared" si="179"/>
        <v>0</v>
      </c>
      <c r="W415" s="29">
        <f t="shared" si="180"/>
        <v>0</v>
      </c>
      <c r="X415" s="29">
        <f t="shared" si="181"/>
        <v>0</v>
      </c>
      <c r="Y415" s="29">
        <f t="shared" si="182"/>
        <v>0</v>
      </c>
      <c r="Z415" s="29">
        <f t="shared" si="183"/>
        <v>1074</v>
      </c>
    </row>
    <row r="416" spans="1:26" x14ac:dyDescent="0.3">
      <c r="A416" s="5" t="s">
        <v>3084</v>
      </c>
      <c r="B416" s="5" t="s">
        <v>3085</v>
      </c>
      <c r="C416" s="5">
        <v>92000</v>
      </c>
      <c r="D416" s="6">
        <v>108883</v>
      </c>
      <c r="E416" s="17">
        <f>VLOOKUP(A416,'forecast data dump'!$A$1:$H$3450,4,FALSE)</f>
        <v>44529</v>
      </c>
      <c r="F416" s="17">
        <f>VLOOKUP(A416,'forecast data dump'!$A$1:$H$3450,5,FALSE)</f>
        <v>44601</v>
      </c>
      <c r="G416" s="42">
        <v>0.5</v>
      </c>
      <c r="H416" s="5" t="s">
        <v>3762</v>
      </c>
      <c r="I416" s="39">
        <f t="shared" si="184"/>
        <v>46000</v>
      </c>
      <c r="J416" s="5"/>
      <c r="K416" s="5"/>
      <c r="L416" s="33">
        <f t="shared" si="185"/>
        <v>54441.5</v>
      </c>
      <c r="M416" s="33">
        <f t="shared" si="186"/>
        <v>54441.5</v>
      </c>
      <c r="N416" s="33">
        <f t="shared" si="187"/>
        <v>0</v>
      </c>
      <c r="Q416">
        <v>1</v>
      </c>
      <c r="U416" s="29">
        <f t="shared" si="178"/>
        <v>0</v>
      </c>
      <c r="V416" s="29">
        <f t="shared" si="179"/>
        <v>0</v>
      </c>
      <c r="W416" s="29">
        <f t="shared" si="180"/>
        <v>54441.5</v>
      </c>
      <c r="X416" s="29">
        <f t="shared" si="181"/>
        <v>0</v>
      </c>
      <c r="Y416" s="29">
        <f t="shared" si="182"/>
        <v>0</v>
      </c>
      <c r="Z416" s="29">
        <f t="shared" si="183"/>
        <v>0</v>
      </c>
    </row>
    <row r="417" spans="1:26" x14ac:dyDescent="0.3">
      <c r="A417" s="3" t="s">
        <v>7880</v>
      </c>
      <c r="B417" s="3"/>
      <c r="C417" s="3"/>
      <c r="D417" s="4"/>
      <c r="E417" s="15"/>
      <c r="F417" s="15"/>
      <c r="G417" s="41"/>
      <c r="H417" s="3"/>
      <c r="I417" s="38"/>
      <c r="J417" s="3"/>
      <c r="K417" s="3"/>
      <c r="L417" s="32"/>
      <c r="M417" s="32"/>
      <c r="N417" s="32"/>
      <c r="U417" s="29"/>
      <c r="V417" s="29"/>
      <c r="W417" s="29"/>
      <c r="X417" s="29"/>
      <c r="Y417" s="29"/>
      <c r="Z417" s="29"/>
    </row>
    <row r="418" spans="1:26" x14ac:dyDescent="0.3">
      <c r="A418" s="5" t="s">
        <v>3106</v>
      </c>
      <c r="B418" s="5" t="s">
        <v>3107</v>
      </c>
      <c r="C418" s="5">
        <v>96</v>
      </c>
      <c r="D418" s="6">
        <v>14137</v>
      </c>
      <c r="E418" s="17" t="str">
        <f>VLOOKUP(A418,'forecast data dump'!$A$1:$H$3450,4,FALSE)</f>
        <v>22-Feb-21 A</v>
      </c>
      <c r="F418" s="17">
        <f>VLOOKUP(A418,'forecast data dump'!$A$1:$H$3450,5,FALSE)</f>
        <v>44392</v>
      </c>
      <c r="G418" s="42">
        <f>VLOOKUP(A418,'forecast data dump'!$A$1:$H$3450,8,FALSE)</f>
        <v>0.33</v>
      </c>
      <c r="H418" s="5" t="s">
        <v>3733</v>
      </c>
      <c r="I418" s="39">
        <f t="shared" ref="I418:I479" si="188">C418*(1-G418)</f>
        <v>64.319999999999993</v>
      </c>
      <c r="J418" s="5"/>
      <c r="K418" s="5"/>
      <c r="L418" s="33">
        <f t="shared" ref="L418:L479" si="189">D418*(1-G418)</f>
        <v>9471.7899999999991</v>
      </c>
      <c r="M418" s="33">
        <f t="shared" ref="M418:M479" si="190">IF(J418="",L418,(D418/C418)*J418)</f>
        <v>9471.7899999999991</v>
      </c>
      <c r="N418" s="33">
        <f t="shared" ref="N418:N479" si="191">L418-M418</f>
        <v>0</v>
      </c>
      <c r="R418">
        <v>1</v>
      </c>
      <c r="U418" s="29">
        <f t="shared" si="178"/>
        <v>0</v>
      </c>
      <c r="V418" s="29">
        <f t="shared" si="179"/>
        <v>0</v>
      </c>
      <c r="W418" s="29">
        <f t="shared" si="180"/>
        <v>0</v>
      </c>
      <c r="X418" s="29">
        <f t="shared" si="181"/>
        <v>9471.7899999999991</v>
      </c>
      <c r="Y418" s="29">
        <f t="shared" si="182"/>
        <v>0</v>
      </c>
      <c r="Z418" s="29">
        <f t="shared" si="183"/>
        <v>0</v>
      </c>
    </row>
    <row r="419" spans="1:26" x14ac:dyDescent="0.3">
      <c r="A419" s="5" t="s">
        <v>3106</v>
      </c>
      <c r="B419" s="5" t="s">
        <v>3107</v>
      </c>
      <c r="C419" s="5">
        <v>48</v>
      </c>
      <c r="D419" s="6">
        <v>5478</v>
      </c>
      <c r="E419" s="17" t="str">
        <f>VLOOKUP(A419,'forecast data dump'!$A$1:$H$3450,4,FALSE)</f>
        <v>22-Feb-21 A</v>
      </c>
      <c r="F419" s="17">
        <f>VLOOKUP(A419,'forecast data dump'!$A$1:$H$3450,5,FALSE)</f>
        <v>44392</v>
      </c>
      <c r="G419" s="42">
        <f>VLOOKUP(A419,'forecast data dump'!$A$1:$H$3450,8,FALSE)</f>
        <v>0.33</v>
      </c>
      <c r="H419" s="5" t="s">
        <v>3745</v>
      </c>
      <c r="I419" s="39">
        <f t="shared" si="188"/>
        <v>32.159999999999997</v>
      </c>
      <c r="J419" s="5"/>
      <c r="K419" s="5"/>
      <c r="L419" s="33">
        <f t="shared" si="189"/>
        <v>3670.2599999999998</v>
      </c>
      <c r="M419" s="33">
        <f t="shared" si="190"/>
        <v>3670.2599999999998</v>
      </c>
      <c r="N419" s="33">
        <f t="shared" si="191"/>
        <v>0</v>
      </c>
      <c r="R419">
        <v>1</v>
      </c>
      <c r="U419" s="29">
        <f t="shared" si="178"/>
        <v>0</v>
      </c>
      <c r="V419" s="29">
        <f t="shared" si="179"/>
        <v>0</v>
      </c>
      <c r="W419" s="29">
        <f t="shared" si="180"/>
        <v>0</v>
      </c>
      <c r="X419" s="29">
        <f t="shared" si="181"/>
        <v>3670.2599999999998</v>
      </c>
      <c r="Y419" s="29">
        <f t="shared" si="182"/>
        <v>0</v>
      </c>
      <c r="Z419" s="29">
        <f t="shared" si="183"/>
        <v>0</v>
      </c>
    </row>
    <row r="420" spans="1:26" x14ac:dyDescent="0.3">
      <c r="A420" s="5" t="s">
        <v>3106</v>
      </c>
      <c r="B420" s="5" t="s">
        <v>3107</v>
      </c>
      <c r="C420" s="5">
        <v>48</v>
      </c>
      <c r="D420" s="6">
        <v>5478</v>
      </c>
      <c r="E420" s="17" t="str">
        <f>VLOOKUP(A420,'forecast data dump'!$A$1:$H$3450,4,FALSE)</f>
        <v>22-Feb-21 A</v>
      </c>
      <c r="F420" s="17">
        <f>VLOOKUP(A420,'forecast data dump'!$A$1:$H$3450,5,FALSE)</f>
        <v>44392</v>
      </c>
      <c r="G420" s="42">
        <f>VLOOKUP(A420,'forecast data dump'!$A$1:$H$3450,8,FALSE)</f>
        <v>0.33</v>
      </c>
      <c r="H420" s="5" t="s">
        <v>3741</v>
      </c>
      <c r="I420" s="39">
        <f t="shared" si="188"/>
        <v>32.159999999999997</v>
      </c>
      <c r="J420" s="5"/>
      <c r="K420" s="5"/>
      <c r="L420" s="33">
        <f t="shared" si="189"/>
        <v>3670.2599999999998</v>
      </c>
      <c r="M420" s="33">
        <f t="shared" si="190"/>
        <v>3670.2599999999998</v>
      </c>
      <c r="N420" s="33">
        <f t="shared" si="191"/>
        <v>0</v>
      </c>
      <c r="R420">
        <v>1</v>
      </c>
      <c r="U420" s="29">
        <f t="shared" si="178"/>
        <v>0</v>
      </c>
      <c r="V420" s="29">
        <f t="shared" si="179"/>
        <v>0</v>
      </c>
      <c r="W420" s="29">
        <f t="shared" si="180"/>
        <v>0</v>
      </c>
      <c r="X420" s="29">
        <f t="shared" si="181"/>
        <v>3670.2599999999998</v>
      </c>
      <c r="Y420" s="29">
        <f t="shared" si="182"/>
        <v>0</v>
      </c>
      <c r="Z420" s="29">
        <f t="shared" si="183"/>
        <v>0</v>
      </c>
    </row>
    <row r="421" spans="1:26" x14ac:dyDescent="0.3">
      <c r="A421" s="5" t="s">
        <v>3108</v>
      </c>
      <c r="B421" s="5" t="s">
        <v>3109</v>
      </c>
      <c r="C421" s="5">
        <v>16</v>
      </c>
      <c r="D421" s="6">
        <v>2356</v>
      </c>
      <c r="E421" s="17" t="str">
        <f>VLOOKUP(A421,'forecast data dump'!$A$1:$H$3450,4,FALSE)</f>
        <v>08-Jun-21 A</v>
      </c>
      <c r="F421" s="17">
        <f>VLOOKUP(A421,'forecast data dump'!$A$1:$H$3450,5,FALSE)</f>
        <v>44439</v>
      </c>
      <c r="G421" s="42">
        <f>VLOOKUP(A421,'forecast data dump'!$A$1:$H$3450,8,FALSE)</f>
        <v>0.5</v>
      </c>
      <c r="H421" s="5" t="s">
        <v>3763</v>
      </c>
      <c r="I421" s="39">
        <f t="shared" si="188"/>
        <v>8</v>
      </c>
      <c r="J421" s="5"/>
      <c r="K421" s="5"/>
      <c r="L421" s="33">
        <f t="shared" si="189"/>
        <v>1178</v>
      </c>
      <c r="M421" s="33">
        <f t="shared" si="190"/>
        <v>1178</v>
      </c>
      <c r="N421" s="33">
        <f t="shared" si="191"/>
        <v>0</v>
      </c>
      <c r="R421">
        <v>1</v>
      </c>
      <c r="U421" s="29">
        <f t="shared" si="178"/>
        <v>0</v>
      </c>
      <c r="V421" s="29">
        <f t="shared" si="179"/>
        <v>0</v>
      </c>
      <c r="W421" s="29">
        <f t="shared" si="180"/>
        <v>0</v>
      </c>
      <c r="X421" s="29">
        <f t="shared" si="181"/>
        <v>1178</v>
      </c>
      <c r="Y421" s="29">
        <f t="shared" si="182"/>
        <v>0</v>
      </c>
      <c r="Z421" s="29">
        <f t="shared" si="183"/>
        <v>0</v>
      </c>
    </row>
    <row r="422" spans="1:26" x14ac:dyDescent="0.3">
      <c r="A422" s="5" t="s">
        <v>3110</v>
      </c>
      <c r="B422" s="5" t="s">
        <v>3111</v>
      </c>
      <c r="C422" s="5">
        <v>20</v>
      </c>
      <c r="D422" s="6">
        <v>3034</v>
      </c>
      <c r="E422" s="17">
        <f>VLOOKUP(A422,'forecast data dump'!$A$1:$H$3450,4,FALSE)</f>
        <v>44440</v>
      </c>
      <c r="F422" s="17">
        <f>VLOOKUP(A422,'forecast data dump'!$A$1:$H$3450,5,FALSE)</f>
        <v>44454</v>
      </c>
      <c r="G422" s="42">
        <f>VLOOKUP(A422,'forecast data dump'!$A$1:$H$3450,8,FALSE)</f>
        <v>0</v>
      </c>
      <c r="H422" s="5" t="s">
        <v>3733</v>
      </c>
      <c r="I422" s="39">
        <f t="shared" si="188"/>
        <v>20</v>
      </c>
      <c r="J422" s="5"/>
      <c r="K422" s="5"/>
      <c r="L422" s="33">
        <f t="shared" si="189"/>
        <v>3034</v>
      </c>
      <c r="M422" s="33">
        <f t="shared" si="190"/>
        <v>3034</v>
      </c>
      <c r="N422" s="33">
        <f t="shared" si="191"/>
        <v>0</v>
      </c>
      <c r="T422">
        <v>1</v>
      </c>
      <c r="U422" s="29">
        <f t="shared" si="178"/>
        <v>0</v>
      </c>
      <c r="V422" s="29">
        <f t="shared" si="179"/>
        <v>0</v>
      </c>
      <c r="W422" s="29">
        <f t="shared" si="180"/>
        <v>0</v>
      </c>
      <c r="X422" s="29">
        <f t="shared" si="181"/>
        <v>0</v>
      </c>
      <c r="Y422" s="29">
        <f t="shared" si="182"/>
        <v>0</v>
      </c>
      <c r="Z422" s="29">
        <f t="shared" si="183"/>
        <v>3034</v>
      </c>
    </row>
    <row r="423" spans="1:26" x14ac:dyDescent="0.3">
      <c r="A423" s="5" t="s">
        <v>3110</v>
      </c>
      <c r="B423" s="5" t="s">
        <v>3111</v>
      </c>
      <c r="C423" s="5">
        <v>16</v>
      </c>
      <c r="D423" s="6">
        <v>1881</v>
      </c>
      <c r="E423" s="17">
        <f>VLOOKUP(A423,'forecast data dump'!$A$1:$H$3450,4,FALSE)</f>
        <v>44440</v>
      </c>
      <c r="F423" s="17">
        <f>VLOOKUP(A423,'forecast data dump'!$A$1:$H$3450,5,FALSE)</f>
        <v>44454</v>
      </c>
      <c r="G423" s="42">
        <f>VLOOKUP(A423,'forecast data dump'!$A$1:$H$3450,8,FALSE)</f>
        <v>0</v>
      </c>
      <c r="H423" s="5" t="s">
        <v>3745</v>
      </c>
      <c r="I423" s="39">
        <f t="shared" si="188"/>
        <v>16</v>
      </c>
      <c r="J423" s="5"/>
      <c r="K423" s="5"/>
      <c r="L423" s="33">
        <f t="shared" si="189"/>
        <v>1881</v>
      </c>
      <c r="M423" s="33">
        <f t="shared" si="190"/>
        <v>1881</v>
      </c>
      <c r="N423" s="33">
        <f t="shared" si="191"/>
        <v>0</v>
      </c>
      <c r="T423">
        <v>1</v>
      </c>
      <c r="U423" s="29">
        <f t="shared" si="178"/>
        <v>0</v>
      </c>
      <c r="V423" s="29">
        <f t="shared" si="179"/>
        <v>0</v>
      </c>
      <c r="W423" s="29">
        <f t="shared" si="180"/>
        <v>0</v>
      </c>
      <c r="X423" s="29">
        <f t="shared" si="181"/>
        <v>0</v>
      </c>
      <c r="Y423" s="29">
        <f t="shared" si="182"/>
        <v>0</v>
      </c>
      <c r="Z423" s="29">
        <f t="shared" si="183"/>
        <v>1881</v>
      </c>
    </row>
    <row r="424" spans="1:26" x14ac:dyDescent="0.3">
      <c r="A424" s="5" t="s">
        <v>3110</v>
      </c>
      <c r="B424" s="5" t="s">
        <v>3111</v>
      </c>
      <c r="C424" s="5">
        <v>16</v>
      </c>
      <c r="D424" s="6">
        <v>1881</v>
      </c>
      <c r="E424" s="17">
        <f>VLOOKUP(A424,'forecast data dump'!$A$1:$H$3450,4,FALSE)</f>
        <v>44440</v>
      </c>
      <c r="F424" s="17">
        <f>VLOOKUP(A424,'forecast data dump'!$A$1:$H$3450,5,FALSE)</f>
        <v>44454</v>
      </c>
      <c r="G424" s="42">
        <f>VLOOKUP(A424,'forecast data dump'!$A$1:$H$3450,8,FALSE)</f>
        <v>0</v>
      </c>
      <c r="H424" s="5" t="s">
        <v>3741</v>
      </c>
      <c r="I424" s="39">
        <f t="shared" si="188"/>
        <v>16</v>
      </c>
      <c r="J424" s="5"/>
      <c r="K424" s="5"/>
      <c r="L424" s="33">
        <f t="shared" si="189"/>
        <v>1881</v>
      </c>
      <c r="M424" s="33">
        <f t="shared" si="190"/>
        <v>1881</v>
      </c>
      <c r="N424" s="33">
        <f t="shared" si="191"/>
        <v>0</v>
      </c>
      <c r="T424">
        <v>1</v>
      </c>
      <c r="U424" s="29">
        <f t="shared" si="178"/>
        <v>0</v>
      </c>
      <c r="V424" s="29">
        <f t="shared" si="179"/>
        <v>0</v>
      </c>
      <c r="W424" s="29">
        <f t="shared" si="180"/>
        <v>0</v>
      </c>
      <c r="X424" s="29">
        <f t="shared" si="181"/>
        <v>0</v>
      </c>
      <c r="Y424" s="29">
        <f t="shared" si="182"/>
        <v>0</v>
      </c>
      <c r="Z424" s="29">
        <f t="shared" si="183"/>
        <v>1881</v>
      </c>
    </row>
    <row r="425" spans="1:26" x14ac:dyDescent="0.3">
      <c r="A425" s="5" t="s">
        <v>3112</v>
      </c>
      <c r="B425" s="5" t="s">
        <v>3113</v>
      </c>
      <c r="C425" s="5">
        <v>32</v>
      </c>
      <c r="D425" s="6">
        <v>4854</v>
      </c>
      <c r="E425" s="17">
        <f>VLOOKUP(A425,'forecast data dump'!$A$1:$H$3450,4,FALSE)</f>
        <v>44455</v>
      </c>
      <c r="F425" s="17">
        <f>VLOOKUP(A425,'forecast data dump'!$A$1:$H$3450,5,FALSE)</f>
        <v>44530</v>
      </c>
      <c r="G425" s="42">
        <f>VLOOKUP(A425,'forecast data dump'!$A$1:$H$3450,8,FALSE)</f>
        <v>0</v>
      </c>
      <c r="H425" s="5" t="s">
        <v>3733</v>
      </c>
      <c r="I425" s="39">
        <f t="shared" si="188"/>
        <v>32</v>
      </c>
      <c r="J425" s="5"/>
      <c r="K425" s="5"/>
      <c r="L425" s="33">
        <f t="shared" si="189"/>
        <v>4854</v>
      </c>
      <c r="M425" s="33">
        <f t="shared" si="190"/>
        <v>4854</v>
      </c>
      <c r="N425" s="33">
        <f t="shared" si="191"/>
        <v>0</v>
      </c>
      <c r="T425">
        <v>1</v>
      </c>
      <c r="U425" s="29">
        <f t="shared" si="178"/>
        <v>0</v>
      </c>
      <c r="V425" s="29">
        <f t="shared" si="179"/>
        <v>0</v>
      </c>
      <c r="W425" s="29">
        <f t="shared" si="180"/>
        <v>0</v>
      </c>
      <c r="X425" s="29">
        <f t="shared" si="181"/>
        <v>0</v>
      </c>
      <c r="Y425" s="29">
        <f t="shared" si="182"/>
        <v>0</v>
      </c>
      <c r="Z425" s="29">
        <f t="shared" si="183"/>
        <v>4854</v>
      </c>
    </row>
    <row r="426" spans="1:26" x14ac:dyDescent="0.3">
      <c r="A426" s="5" t="s">
        <v>3112</v>
      </c>
      <c r="B426" s="5" t="s">
        <v>3113</v>
      </c>
      <c r="C426" s="5">
        <v>72</v>
      </c>
      <c r="D426" s="6">
        <v>8463</v>
      </c>
      <c r="E426" s="17">
        <f>VLOOKUP(A426,'forecast data dump'!$A$1:$H$3450,4,FALSE)</f>
        <v>44455</v>
      </c>
      <c r="F426" s="17">
        <f>VLOOKUP(A426,'forecast data dump'!$A$1:$H$3450,5,FALSE)</f>
        <v>44530</v>
      </c>
      <c r="G426" s="42">
        <f>VLOOKUP(A426,'forecast data dump'!$A$1:$H$3450,8,FALSE)</f>
        <v>0</v>
      </c>
      <c r="H426" s="5" t="s">
        <v>3745</v>
      </c>
      <c r="I426" s="39">
        <f t="shared" si="188"/>
        <v>72</v>
      </c>
      <c r="J426" s="5"/>
      <c r="K426" s="5"/>
      <c r="L426" s="33">
        <f t="shared" si="189"/>
        <v>8463</v>
      </c>
      <c r="M426" s="33">
        <f t="shared" si="190"/>
        <v>8463</v>
      </c>
      <c r="N426" s="33">
        <f t="shared" si="191"/>
        <v>0</v>
      </c>
      <c r="T426">
        <v>1</v>
      </c>
      <c r="U426" s="29">
        <f t="shared" si="178"/>
        <v>0</v>
      </c>
      <c r="V426" s="29">
        <f t="shared" si="179"/>
        <v>0</v>
      </c>
      <c r="W426" s="29">
        <f t="shared" si="180"/>
        <v>0</v>
      </c>
      <c r="X426" s="29">
        <f t="shared" si="181"/>
        <v>0</v>
      </c>
      <c r="Y426" s="29">
        <f t="shared" si="182"/>
        <v>0</v>
      </c>
      <c r="Z426" s="29">
        <f t="shared" si="183"/>
        <v>8463</v>
      </c>
    </row>
    <row r="427" spans="1:26" x14ac:dyDescent="0.3">
      <c r="A427" s="5" t="s">
        <v>3114</v>
      </c>
      <c r="B427" s="5" t="s">
        <v>3115</v>
      </c>
      <c r="C427" s="5">
        <v>24</v>
      </c>
      <c r="D427" s="6">
        <v>3640</v>
      </c>
      <c r="E427" s="17">
        <f>VLOOKUP(A427,'forecast data dump'!$A$1:$H$3450,4,FALSE)</f>
        <v>44531</v>
      </c>
      <c r="F427" s="17">
        <f>VLOOKUP(A427,'forecast data dump'!$A$1:$H$3450,5,FALSE)</f>
        <v>44574</v>
      </c>
      <c r="G427" s="42">
        <f>VLOOKUP(A427,'forecast data dump'!$A$1:$H$3450,8,FALSE)</f>
        <v>0</v>
      </c>
      <c r="H427" s="5" t="s">
        <v>3733</v>
      </c>
      <c r="I427" s="39">
        <f t="shared" si="188"/>
        <v>24</v>
      </c>
      <c r="J427" s="5"/>
      <c r="K427" s="5"/>
      <c r="L427" s="33">
        <f t="shared" si="189"/>
        <v>3640</v>
      </c>
      <c r="M427" s="33">
        <f t="shared" si="190"/>
        <v>3640</v>
      </c>
      <c r="N427" s="33">
        <f t="shared" si="191"/>
        <v>0</v>
      </c>
      <c r="T427">
        <v>1</v>
      </c>
      <c r="U427" s="29">
        <f t="shared" si="178"/>
        <v>0</v>
      </c>
      <c r="V427" s="29">
        <f t="shared" si="179"/>
        <v>0</v>
      </c>
      <c r="W427" s="29">
        <f t="shared" si="180"/>
        <v>0</v>
      </c>
      <c r="X427" s="29">
        <f t="shared" si="181"/>
        <v>0</v>
      </c>
      <c r="Y427" s="29">
        <f t="shared" si="182"/>
        <v>0</v>
      </c>
      <c r="Z427" s="29">
        <f t="shared" si="183"/>
        <v>3640</v>
      </c>
    </row>
    <row r="428" spans="1:26" x14ac:dyDescent="0.3">
      <c r="A428" s="5" t="s">
        <v>3114</v>
      </c>
      <c r="B428" s="5" t="s">
        <v>3115</v>
      </c>
      <c r="C428" s="5">
        <v>24</v>
      </c>
      <c r="D428" s="6">
        <v>2821</v>
      </c>
      <c r="E428" s="17">
        <f>VLOOKUP(A428,'forecast data dump'!$A$1:$H$3450,4,FALSE)</f>
        <v>44531</v>
      </c>
      <c r="F428" s="17">
        <f>VLOOKUP(A428,'forecast data dump'!$A$1:$H$3450,5,FALSE)</f>
        <v>44574</v>
      </c>
      <c r="G428" s="42">
        <f>VLOOKUP(A428,'forecast data dump'!$A$1:$H$3450,8,FALSE)</f>
        <v>0</v>
      </c>
      <c r="H428" s="5" t="s">
        <v>3745</v>
      </c>
      <c r="I428" s="39">
        <f t="shared" si="188"/>
        <v>24</v>
      </c>
      <c r="J428" s="5"/>
      <c r="K428" s="5"/>
      <c r="L428" s="33">
        <f t="shared" si="189"/>
        <v>2821</v>
      </c>
      <c r="M428" s="33">
        <f t="shared" si="190"/>
        <v>2821</v>
      </c>
      <c r="N428" s="33">
        <f t="shared" si="191"/>
        <v>0</v>
      </c>
      <c r="T428">
        <v>1</v>
      </c>
      <c r="U428" s="29">
        <f t="shared" si="178"/>
        <v>0</v>
      </c>
      <c r="V428" s="29">
        <f t="shared" si="179"/>
        <v>0</v>
      </c>
      <c r="W428" s="29">
        <f t="shared" si="180"/>
        <v>0</v>
      </c>
      <c r="X428" s="29">
        <f t="shared" si="181"/>
        <v>0</v>
      </c>
      <c r="Y428" s="29">
        <f t="shared" si="182"/>
        <v>0</v>
      </c>
      <c r="Z428" s="29">
        <f t="shared" si="183"/>
        <v>2821</v>
      </c>
    </row>
    <row r="429" spans="1:26" x14ac:dyDescent="0.3">
      <c r="A429" s="5" t="s">
        <v>3116</v>
      </c>
      <c r="B429" s="5" t="s">
        <v>3117</v>
      </c>
      <c r="C429" s="5">
        <v>96</v>
      </c>
      <c r="D429" s="6">
        <v>14882</v>
      </c>
      <c r="E429" s="17">
        <f>VLOOKUP(A429,'forecast data dump'!$A$1:$H$3450,4,FALSE)</f>
        <v>44575</v>
      </c>
      <c r="F429" s="17">
        <f>VLOOKUP(A429,'forecast data dump'!$A$1:$H$3450,5,FALSE)</f>
        <v>44704</v>
      </c>
      <c r="G429" s="42">
        <f>VLOOKUP(A429,'forecast data dump'!$A$1:$H$3450,8,FALSE)</f>
        <v>0</v>
      </c>
      <c r="H429" s="5" t="s">
        <v>3733</v>
      </c>
      <c r="I429" s="39">
        <f t="shared" si="188"/>
        <v>96</v>
      </c>
      <c r="J429" s="5"/>
      <c r="K429" s="5"/>
      <c r="L429" s="33">
        <f t="shared" si="189"/>
        <v>14882</v>
      </c>
      <c r="M429" s="33">
        <f t="shared" si="190"/>
        <v>14882</v>
      </c>
      <c r="N429" s="33">
        <f t="shared" si="191"/>
        <v>0</v>
      </c>
      <c r="T429">
        <v>1</v>
      </c>
      <c r="U429" s="29">
        <f t="shared" ref="U429:U490" si="192">O429*M429</f>
        <v>0</v>
      </c>
      <c r="V429" s="29">
        <f t="shared" ref="V429:V490" si="193">P429*M429</f>
        <v>0</v>
      </c>
      <c r="W429" s="29">
        <f t="shared" ref="W429:W490" si="194">Q429*M429</f>
        <v>0</v>
      </c>
      <c r="X429" s="29">
        <f t="shared" ref="X429:X490" si="195">R429*M429</f>
        <v>0</v>
      </c>
      <c r="Y429" s="29">
        <f t="shared" ref="Y429:Y490" si="196">S429*M429</f>
        <v>0</v>
      </c>
      <c r="Z429" s="29">
        <f t="shared" ref="Z429:Z490" si="197">T429*M429</f>
        <v>14882</v>
      </c>
    </row>
    <row r="430" spans="1:26" x14ac:dyDescent="0.3">
      <c r="A430" s="5" t="s">
        <v>3116</v>
      </c>
      <c r="B430" s="5" t="s">
        <v>3117</v>
      </c>
      <c r="C430" s="5">
        <v>96</v>
      </c>
      <c r="D430" s="6">
        <v>11533</v>
      </c>
      <c r="E430" s="17">
        <f>VLOOKUP(A430,'forecast data dump'!$A$1:$H$3450,4,FALSE)</f>
        <v>44575</v>
      </c>
      <c r="F430" s="17">
        <f>VLOOKUP(A430,'forecast data dump'!$A$1:$H$3450,5,FALSE)</f>
        <v>44704</v>
      </c>
      <c r="G430" s="42">
        <f>VLOOKUP(A430,'forecast data dump'!$A$1:$H$3450,8,FALSE)</f>
        <v>0</v>
      </c>
      <c r="H430" s="5" t="s">
        <v>3745</v>
      </c>
      <c r="I430" s="39">
        <f t="shared" si="188"/>
        <v>96</v>
      </c>
      <c r="J430" s="5"/>
      <c r="K430" s="5"/>
      <c r="L430" s="33">
        <f t="shared" si="189"/>
        <v>11533</v>
      </c>
      <c r="M430" s="33">
        <f t="shared" si="190"/>
        <v>11533</v>
      </c>
      <c r="N430" s="33">
        <f t="shared" si="191"/>
        <v>0</v>
      </c>
      <c r="T430">
        <v>1</v>
      </c>
      <c r="U430" s="29">
        <f t="shared" si="192"/>
        <v>0</v>
      </c>
      <c r="V430" s="29">
        <f t="shared" si="193"/>
        <v>0</v>
      </c>
      <c r="W430" s="29">
        <f t="shared" si="194"/>
        <v>0</v>
      </c>
      <c r="X430" s="29">
        <f t="shared" si="195"/>
        <v>0</v>
      </c>
      <c r="Y430" s="29">
        <f t="shared" si="196"/>
        <v>0</v>
      </c>
      <c r="Z430" s="29">
        <f t="shared" si="197"/>
        <v>11533</v>
      </c>
    </row>
    <row r="431" spans="1:26" x14ac:dyDescent="0.3">
      <c r="A431" s="5" t="s">
        <v>3118</v>
      </c>
      <c r="B431" s="5" t="s">
        <v>3119</v>
      </c>
      <c r="C431" s="5">
        <v>16</v>
      </c>
      <c r="D431" s="6">
        <v>2500</v>
      </c>
      <c r="E431" s="17">
        <f>VLOOKUP(A431,'forecast data dump'!$A$1:$H$3450,4,FALSE)</f>
        <v>44705</v>
      </c>
      <c r="F431" s="17">
        <f>VLOOKUP(A431,'forecast data dump'!$A$1:$H$3450,5,FALSE)</f>
        <v>44733</v>
      </c>
      <c r="G431" s="42">
        <f>VLOOKUP(A431,'forecast data dump'!$A$1:$H$3450,8,FALSE)</f>
        <v>0</v>
      </c>
      <c r="H431" s="5" t="s">
        <v>3733</v>
      </c>
      <c r="I431" s="39">
        <f t="shared" si="188"/>
        <v>16</v>
      </c>
      <c r="J431" s="5"/>
      <c r="K431" s="5"/>
      <c r="L431" s="33">
        <f t="shared" si="189"/>
        <v>2500</v>
      </c>
      <c r="M431" s="33">
        <f t="shared" si="190"/>
        <v>2500</v>
      </c>
      <c r="N431" s="33">
        <f t="shared" si="191"/>
        <v>0</v>
      </c>
      <c r="T431">
        <v>1</v>
      </c>
      <c r="U431" s="29">
        <f t="shared" si="192"/>
        <v>0</v>
      </c>
      <c r="V431" s="29">
        <f t="shared" si="193"/>
        <v>0</v>
      </c>
      <c r="W431" s="29">
        <f t="shared" si="194"/>
        <v>0</v>
      </c>
      <c r="X431" s="29">
        <f t="shared" si="195"/>
        <v>0</v>
      </c>
      <c r="Y431" s="29">
        <f t="shared" si="196"/>
        <v>0</v>
      </c>
      <c r="Z431" s="29">
        <f t="shared" si="197"/>
        <v>2500</v>
      </c>
    </row>
    <row r="432" spans="1:26" x14ac:dyDescent="0.3">
      <c r="A432" s="5" t="s">
        <v>3118</v>
      </c>
      <c r="B432" s="5" t="s">
        <v>3119</v>
      </c>
      <c r="C432" s="5">
        <v>16</v>
      </c>
      <c r="D432" s="6">
        <v>1937</v>
      </c>
      <c r="E432" s="17">
        <f>VLOOKUP(A432,'forecast data dump'!$A$1:$H$3450,4,FALSE)</f>
        <v>44705</v>
      </c>
      <c r="F432" s="17">
        <f>VLOOKUP(A432,'forecast data dump'!$A$1:$H$3450,5,FALSE)</f>
        <v>44733</v>
      </c>
      <c r="G432" s="42">
        <f>VLOOKUP(A432,'forecast data dump'!$A$1:$H$3450,8,FALSE)</f>
        <v>0</v>
      </c>
      <c r="H432" s="5" t="s">
        <v>3745</v>
      </c>
      <c r="I432" s="39">
        <f t="shared" si="188"/>
        <v>16</v>
      </c>
      <c r="J432" s="5"/>
      <c r="K432" s="5"/>
      <c r="L432" s="33">
        <f t="shared" si="189"/>
        <v>1937</v>
      </c>
      <c r="M432" s="33">
        <f t="shared" si="190"/>
        <v>1937</v>
      </c>
      <c r="N432" s="33">
        <f t="shared" si="191"/>
        <v>0</v>
      </c>
      <c r="T432">
        <v>1</v>
      </c>
      <c r="U432" s="29">
        <f t="shared" si="192"/>
        <v>0</v>
      </c>
      <c r="V432" s="29">
        <f t="shared" si="193"/>
        <v>0</v>
      </c>
      <c r="W432" s="29">
        <f t="shared" si="194"/>
        <v>0</v>
      </c>
      <c r="X432" s="29">
        <f t="shared" si="195"/>
        <v>0</v>
      </c>
      <c r="Y432" s="29">
        <f t="shared" si="196"/>
        <v>0</v>
      </c>
      <c r="Z432" s="29">
        <f t="shared" si="197"/>
        <v>1937</v>
      </c>
    </row>
    <row r="433" spans="1:26" x14ac:dyDescent="0.3">
      <c r="A433" s="5" t="s">
        <v>3118</v>
      </c>
      <c r="B433" s="5" t="s">
        <v>3119</v>
      </c>
      <c r="C433" s="5">
        <v>8</v>
      </c>
      <c r="D433" s="6">
        <v>969</v>
      </c>
      <c r="E433" s="17">
        <f>VLOOKUP(A433,'forecast data dump'!$A$1:$H$3450,4,FALSE)</f>
        <v>44705</v>
      </c>
      <c r="F433" s="17">
        <f>VLOOKUP(A433,'forecast data dump'!$A$1:$H$3450,5,FALSE)</f>
        <v>44733</v>
      </c>
      <c r="G433" s="42">
        <f>VLOOKUP(A433,'forecast data dump'!$A$1:$H$3450,8,FALSE)</f>
        <v>0</v>
      </c>
      <c r="H433" s="5" t="s">
        <v>3741</v>
      </c>
      <c r="I433" s="39">
        <f t="shared" si="188"/>
        <v>8</v>
      </c>
      <c r="J433" s="5"/>
      <c r="K433" s="5"/>
      <c r="L433" s="33">
        <f t="shared" si="189"/>
        <v>969</v>
      </c>
      <c r="M433" s="33">
        <f t="shared" si="190"/>
        <v>969</v>
      </c>
      <c r="N433" s="33">
        <f t="shared" si="191"/>
        <v>0</v>
      </c>
      <c r="T433">
        <v>1</v>
      </c>
      <c r="U433" s="29">
        <f t="shared" si="192"/>
        <v>0</v>
      </c>
      <c r="V433" s="29">
        <f t="shared" si="193"/>
        <v>0</v>
      </c>
      <c r="W433" s="29">
        <f t="shared" si="194"/>
        <v>0</v>
      </c>
      <c r="X433" s="29">
        <f t="shared" si="195"/>
        <v>0</v>
      </c>
      <c r="Y433" s="29">
        <f t="shared" si="196"/>
        <v>0</v>
      </c>
      <c r="Z433" s="29">
        <f t="shared" si="197"/>
        <v>969</v>
      </c>
    </row>
    <row r="434" spans="1:26" x14ac:dyDescent="0.3">
      <c r="A434" s="5" t="s">
        <v>3120</v>
      </c>
      <c r="B434" s="5" t="s">
        <v>3121</v>
      </c>
      <c r="C434" s="5">
        <v>53000</v>
      </c>
      <c r="D434" s="6">
        <v>62419</v>
      </c>
      <c r="E434" s="17">
        <f>VLOOKUP(A434,'forecast data dump'!$A$1:$H$3450,4,FALSE)</f>
        <v>44575</v>
      </c>
      <c r="F434" s="17">
        <f>VLOOKUP(A434,'forecast data dump'!$A$1:$H$3450,5,FALSE)</f>
        <v>44704</v>
      </c>
      <c r="G434" s="42">
        <f>VLOOKUP(A434,'forecast data dump'!$A$1:$H$3450,8,FALSE)</f>
        <v>0</v>
      </c>
      <c r="H434" s="5" t="s">
        <v>3762</v>
      </c>
      <c r="I434" s="39">
        <f t="shared" si="188"/>
        <v>53000</v>
      </c>
      <c r="J434" s="5"/>
      <c r="K434" s="5"/>
      <c r="L434" s="33">
        <f t="shared" si="189"/>
        <v>62419</v>
      </c>
      <c r="M434" s="33">
        <f t="shared" si="190"/>
        <v>62419</v>
      </c>
      <c r="N434" s="33">
        <f t="shared" si="191"/>
        <v>0</v>
      </c>
      <c r="Q434">
        <v>1</v>
      </c>
      <c r="U434" s="29">
        <f t="shared" si="192"/>
        <v>0</v>
      </c>
      <c r="V434" s="29">
        <f t="shared" si="193"/>
        <v>0</v>
      </c>
      <c r="W434" s="29">
        <f t="shared" si="194"/>
        <v>62419</v>
      </c>
      <c r="X434" s="29">
        <f t="shared" si="195"/>
        <v>0</v>
      </c>
      <c r="Y434" s="29">
        <f t="shared" si="196"/>
        <v>0</v>
      </c>
      <c r="Z434" s="29">
        <f t="shared" si="197"/>
        <v>0</v>
      </c>
    </row>
    <row r="435" spans="1:26" x14ac:dyDescent="0.3">
      <c r="A435" s="5" t="s">
        <v>3126</v>
      </c>
      <c r="B435" s="5" t="s">
        <v>3127</v>
      </c>
      <c r="C435" s="5">
        <v>16</v>
      </c>
      <c r="D435" s="6">
        <v>2356</v>
      </c>
      <c r="E435" s="17" t="str">
        <f>VLOOKUP(A435,'forecast data dump'!$A$1:$H$3450,4,FALSE)</f>
        <v>15-Jun-21 A</v>
      </c>
      <c r="F435" s="17">
        <f>VLOOKUP(A435,'forecast data dump'!$A$1:$H$3450,5,FALSE)</f>
        <v>44439</v>
      </c>
      <c r="G435" s="42">
        <f>VLOOKUP(A435,'forecast data dump'!$A$1:$H$3450,8,FALSE)</f>
        <v>0.5</v>
      </c>
      <c r="H435" s="5" t="s">
        <v>3733</v>
      </c>
      <c r="I435" s="39">
        <f t="shared" si="188"/>
        <v>8</v>
      </c>
      <c r="J435" s="5"/>
      <c r="K435" s="5"/>
      <c r="L435" s="33">
        <f t="shared" si="189"/>
        <v>1178</v>
      </c>
      <c r="M435" s="33">
        <f t="shared" si="190"/>
        <v>1178</v>
      </c>
      <c r="N435" s="33">
        <f t="shared" si="191"/>
        <v>0</v>
      </c>
      <c r="R435">
        <v>1</v>
      </c>
      <c r="U435" s="29">
        <f t="shared" si="192"/>
        <v>0</v>
      </c>
      <c r="V435" s="29">
        <f t="shared" si="193"/>
        <v>0</v>
      </c>
      <c r="W435" s="29">
        <f t="shared" si="194"/>
        <v>0</v>
      </c>
      <c r="X435" s="29">
        <f t="shared" si="195"/>
        <v>1178</v>
      </c>
      <c r="Y435" s="29">
        <f t="shared" si="196"/>
        <v>0</v>
      </c>
      <c r="Z435" s="29">
        <f t="shared" si="197"/>
        <v>0</v>
      </c>
    </row>
    <row r="436" spans="1:26" x14ac:dyDescent="0.3">
      <c r="A436" s="5" t="s">
        <v>3126</v>
      </c>
      <c r="B436" s="5" t="s">
        <v>3127</v>
      </c>
      <c r="C436" s="5">
        <v>20</v>
      </c>
      <c r="D436" s="6">
        <v>2282</v>
      </c>
      <c r="E436" s="17" t="str">
        <f>VLOOKUP(A436,'forecast data dump'!$A$1:$H$3450,4,FALSE)</f>
        <v>15-Jun-21 A</v>
      </c>
      <c r="F436" s="17">
        <f>VLOOKUP(A436,'forecast data dump'!$A$1:$H$3450,5,FALSE)</f>
        <v>44439</v>
      </c>
      <c r="G436" s="42">
        <f>VLOOKUP(A436,'forecast data dump'!$A$1:$H$3450,8,FALSE)</f>
        <v>0.5</v>
      </c>
      <c r="H436" s="5" t="s">
        <v>3745</v>
      </c>
      <c r="I436" s="39">
        <f t="shared" si="188"/>
        <v>10</v>
      </c>
      <c r="J436" s="5"/>
      <c r="K436" s="5"/>
      <c r="L436" s="33">
        <f t="shared" si="189"/>
        <v>1141</v>
      </c>
      <c r="M436" s="33">
        <f t="shared" si="190"/>
        <v>1141</v>
      </c>
      <c r="N436" s="33">
        <f t="shared" si="191"/>
        <v>0</v>
      </c>
      <c r="R436">
        <v>1</v>
      </c>
      <c r="U436" s="29">
        <f t="shared" si="192"/>
        <v>0</v>
      </c>
      <c r="V436" s="29">
        <f t="shared" si="193"/>
        <v>0</v>
      </c>
      <c r="W436" s="29">
        <f t="shared" si="194"/>
        <v>0</v>
      </c>
      <c r="X436" s="29">
        <f t="shared" si="195"/>
        <v>1141</v>
      </c>
      <c r="Y436" s="29">
        <f t="shared" si="196"/>
        <v>0</v>
      </c>
      <c r="Z436" s="29">
        <f t="shared" si="197"/>
        <v>0</v>
      </c>
    </row>
    <row r="437" spans="1:26" x14ac:dyDescent="0.3">
      <c r="A437" s="5" t="s">
        <v>3126</v>
      </c>
      <c r="B437" s="5" t="s">
        <v>3127</v>
      </c>
      <c r="C437" s="5">
        <v>8</v>
      </c>
      <c r="D437" s="6">
        <v>913</v>
      </c>
      <c r="E437" s="17" t="str">
        <f>VLOOKUP(A437,'forecast data dump'!$A$1:$H$3450,4,FALSE)</f>
        <v>15-Jun-21 A</v>
      </c>
      <c r="F437" s="17">
        <f>VLOOKUP(A437,'forecast data dump'!$A$1:$H$3450,5,FALSE)</f>
        <v>44439</v>
      </c>
      <c r="G437" s="42">
        <f>VLOOKUP(A437,'forecast data dump'!$A$1:$H$3450,8,FALSE)</f>
        <v>0.5</v>
      </c>
      <c r="H437" s="5" t="s">
        <v>3741</v>
      </c>
      <c r="I437" s="39">
        <f t="shared" si="188"/>
        <v>4</v>
      </c>
      <c r="J437" s="5"/>
      <c r="K437" s="5"/>
      <c r="L437" s="33">
        <f t="shared" si="189"/>
        <v>456.5</v>
      </c>
      <c r="M437" s="33">
        <f t="shared" si="190"/>
        <v>456.5</v>
      </c>
      <c r="N437" s="33">
        <f t="shared" si="191"/>
        <v>0</v>
      </c>
      <c r="R437">
        <v>1</v>
      </c>
      <c r="U437" s="29">
        <f t="shared" si="192"/>
        <v>0</v>
      </c>
      <c r="V437" s="29">
        <f t="shared" si="193"/>
        <v>0</v>
      </c>
      <c r="W437" s="29">
        <f t="shared" si="194"/>
        <v>0</v>
      </c>
      <c r="X437" s="29">
        <f t="shared" si="195"/>
        <v>456.5</v>
      </c>
      <c r="Y437" s="29">
        <f t="shared" si="196"/>
        <v>0</v>
      </c>
      <c r="Z437" s="29">
        <f t="shared" si="197"/>
        <v>0</v>
      </c>
    </row>
    <row r="438" spans="1:26" x14ac:dyDescent="0.3">
      <c r="A438" s="5" t="s">
        <v>3128</v>
      </c>
      <c r="B438" s="5" t="s">
        <v>3129</v>
      </c>
      <c r="C438" s="5">
        <v>8</v>
      </c>
      <c r="D438" s="6">
        <v>1178</v>
      </c>
      <c r="E438" s="17" t="str">
        <f>VLOOKUP(A438,'forecast data dump'!$A$1:$H$3450,4,FALSE)</f>
        <v>18-Mar-20 A</v>
      </c>
      <c r="F438" s="17">
        <f>VLOOKUP(A438,'forecast data dump'!$A$1:$H$3450,5,FALSE)</f>
        <v>44392</v>
      </c>
      <c r="G438" s="42">
        <f>VLOOKUP(A438,'forecast data dump'!$A$1:$H$3450,8,FALSE)</f>
        <v>0.4</v>
      </c>
      <c r="H438" s="5" t="s">
        <v>3744</v>
      </c>
      <c r="I438" s="39">
        <f t="shared" si="188"/>
        <v>4.8</v>
      </c>
      <c r="J438" s="5"/>
      <c r="K438" s="5"/>
      <c r="L438" s="33">
        <f t="shared" si="189"/>
        <v>706.8</v>
      </c>
      <c r="M438" s="33">
        <f t="shared" si="190"/>
        <v>706.8</v>
      </c>
      <c r="N438" s="33">
        <f t="shared" si="191"/>
        <v>0</v>
      </c>
      <c r="R438">
        <v>1</v>
      </c>
      <c r="U438" s="29">
        <f t="shared" si="192"/>
        <v>0</v>
      </c>
      <c r="V438" s="29">
        <f t="shared" si="193"/>
        <v>0</v>
      </c>
      <c r="W438" s="29">
        <f t="shared" si="194"/>
        <v>0</v>
      </c>
      <c r="X438" s="29">
        <f t="shared" si="195"/>
        <v>706.8</v>
      </c>
      <c r="Y438" s="29">
        <f t="shared" si="196"/>
        <v>0</v>
      </c>
      <c r="Z438" s="29">
        <f t="shared" si="197"/>
        <v>0</v>
      </c>
    </row>
    <row r="439" spans="1:26" x14ac:dyDescent="0.3">
      <c r="A439" s="5" t="s">
        <v>3128</v>
      </c>
      <c r="B439" s="5" t="s">
        <v>3129</v>
      </c>
      <c r="C439" s="5">
        <v>24</v>
      </c>
      <c r="D439" s="6">
        <v>2739</v>
      </c>
      <c r="E439" s="17" t="str">
        <f>VLOOKUP(A439,'forecast data dump'!$A$1:$H$3450,4,FALSE)</f>
        <v>18-Mar-20 A</v>
      </c>
      <c r="F439" s="17">
        <f>VLOOKUP(A439,'forecast data dump'!$A$1:$H$3450,5,FALSE)</f>
        <v>44392</v>
      </c>
      <c r="G439" s="42">
        <f>VLOOKUP(A439,'forecast data dump'!$A$1:$H$3450,8,FALSE)</f>
        <v>0.4</v>
      </c>
      <c r="H439" s="5" t="s">
        <v>3745</v>
      </c>
      <c r="I439" s="39">
        <f t="shared" si="188"/>
        <v>14.399999999999999</v>
      </c>
      <c r="J439" s="5"/>
      <c r="K439" s="5"/>
      <c r="L439" s="33">
        <f t="shared" si="189"/>
        <v>1643.3999999999999</v>
      </c>
      <c r="M439" s="33">
        <f t="shared" si="190"/>
        <v>1643.3999999999999</v>
      </c>
      <c r="N439" s="33">
        <f t="shared" si="191"/>
        <v>0</v>
      </c>
      <c r="R439">
        <v>1</v>
      </c>
      <c r="U439" s="29">
        <f t="shared" si="192"/>
        <v>0</v>
      </c>
      <c r="V439" s="29">
        <f t="shared" si="193"/>
        <v>0</v>
      </c>
      <c r="W439" s="29">
        <f t="shared" si="194"/>
        <v>0</v>
      </c>
      <c r="X439" s="29">
        <f t="shared" si="195"/>
        <v>1643.3999999999999</v>
      </c>
      <c r="Y439" s="29">
        <f t="shared" si="196"/>
        <v>0</v>
      </c>
      <c r="Z439" s="29">
        <f t="shared" si="197"/>
        <v>0</v>
      </c>
    </row>
    <row r="440" spans="1:26" x14ac:dyDescent="0.3">
      <c r="A440" s="5" t="s">
        <v>3132</v>
      </c>
      <c r="B440" s="5" t="s">
        <v>3133</v>
      </c>
      <c r="C440" s="5">
        <v>8</v>
      </c>
      <c r="D440" s="6">
        <v>1178</v>
      </c>
      <c r="E440" s="17" t="str">
        <f>VLOOKUP(A440,'forecast data dump'!$A$1:$H$3450,4,FALSE)</f>
        <v>08-Dec-20 A</v>
      </c>
      <c r="F440" s="17">
        <f>VLOOKUP(A440,'forecast data dump'!$A$1:$H$3450,5,FALSE)</f>
        <v>44392</v>
      </c>
      <c r="G440" s="42">
        <f>VLOOKUP(A440,'forecast data dump'!$A$1:$H$3450,8,FALSE)</f>
        <v>0.75</v>
      </c>
      <c r="H440" s="5" t="s">
        <v>3744</v>
      </c>
      <c r="I440" s="39">
        <f t="shared" si="188"/>
        <v>2</v>
      </c>
      <c r="J440" s="5"/>
      <c r="K440" s="5"/>
      <c r="L440" s="33">
        <f t="shared" si="189"/>
        <v>294.5</v>
      </c>
      <c r="M440" s="33">
        <f t="shared" si="190"/>
        <v>294.5</v>
      </c>
      <c r="N440" s="33">
        <f t="shared" si="191"/>
        <v>0</v>
      </c>
      <c r="R440">
        <v>1</v>
      </c>
      <c r="U440" s="29">
        <f t="shared" si="192"/>
        <v>0</v>
      </c>
      <c r="V440" s="29">
        <f t="shared" si="193"/>
        <v>0</v>
      </c>
      <c r="W440" s="29">
        <f t="shared" si="194"/>
        <v>0</v>
      </c>
      <c r="X440" s="29">
        <f t="shared" si="195"/>
        <v>294.5</v>
      </c>
      <c r="Y440" s="29">
        <f t="shared" si="196"/>
        <v>0</v>
      </c>
      <c r="Z440" s="29">
        <f t="shared" si="197"/>
        <v>0</v>
      </c>
    </row>
    <row r="441" spans="1:26" x14ac:dyDescent="0.3">
      <c r="A441" s="5" t="s">
        <v>3132</v>
      </c>
      <c r="B441" s="5" t="s">
        <v>3133</v>
      </c>
      <c r="C441" s="5">
        <v>24</v>
      </c>
      <c r="D441" s="6">
        <v>2739</v>
      </c>
      <c r="E441" s="17" t="str">
        <f>VLOOKUP(A441,'forecast data dump'!$A$1:$H$3450,4,FALSE)</f>
        <v>08-Dec-20 A</v>
      </c>
      <c r="F441" s="17">
        <f>VLOOKUP(A441,'forecast data dump'!$A$1:$H$3450,5,FALSE)</f>
        <v>44392</v>
      </c>
      <c r="G441" s="42">
        <f>VLOOKUP(A441,'forecast data dump'!$A$1:$H$3450,8,FALSE)</f>
        <v>0.75</v>
      </c>
      <c r="H441" s="5" t="s">
        <v>3745</v>
      </c>
      <c r="I441" s="39">
        <f t="shared" si="188"/>
        <v>6</v>
      </c>
      <c r="J441" s="5"/>
      <c r="K441" s="5"/>
      <c r="L441" s="33">
        <f t="shared" si="189"/>
        <v>684.75</v>
      </c>
      <c r="M441" s="33">
        <f t="shared" si="190"/>
        <v>684.75</v>
      </c>
      <c r="N441" s="33">
        <f t="shared" si="191"/>
        <v>0</v>
      </c>
      <c r="R441">
        <v>1</v>
      </c>
      <c r="U441" s="29">
        <f t="shared" si="192"/>
        <v>0</v>
      </c>
      <c r="V441" s="29">
        <f t="shared" si="193"/>
        <v>0</v>
      </c>
      <c r="W441" s="29">
        <f t="shared" si="194"/>
        <v>0</v>
      </c>
      <c r="X441" s="29">
        <f t="shared" si="195"/>
        <v>684.75</v>
      </c>
      <c r="Y441" s="29">
        <f t="shared" si="196"/>
        <v>0</v>
      </c>
      <c r="Z441" s="29">
        <f t="shared" si="197"/>
        <v>0</v>
      </c>
    </row>
    <row r="442" spans="1:26" x14ac:dyDescent="0.3">
      <c r="A442" s="5" t="s">
        <v>3136</v>
      </c>
      <c r="B442" s="5" t="s">
        <v>3137</v>
      </c>
      <c r="C442" s="5">
        <v>8</v>
      </c>
      <c r="D442" s="6">
        <v>1178</v>
      </c>
      <c r="E442" s="17" t="str">
        <f>VLOOKUP(A442,'forecast data dump'!$A$1:$H$3450,4,FALSE)</f>
        <v>23-Feb-21 A</v>
      </c>
      <c r="F442" s="17">
        <f>VLOOKUP(A442,'forecast data dump'!$A$1:$H$3450,5,FALSE)</f>
        <v>44392</v>
      </c>
      <c r="G442" s="42">
        <f>VLOOKUP(A442,'forecast data dump'!$A$1:$H$3450,8,FALSE)</f>
        <v>0.5</v>
      </c>
      <c r="H442" s="5" t="s">
        <v>3744</v>
      </c>
      <c r="I442" s="39">
        <f t="shared" si="188"/>
        <v>4</v>
      </c>
      <c r="J442" s="5"/>
      <c r="K442" s="5"/>
      <c r="L442" s="33">
        <f t="shared" si="189"/>
        <v>589</v>
      </c>
      <c r="M442" s="33">
        <f t="shared" si="190"/>
        <v>589</v>
      </c>
      <c r="N442" s="33">
        <f t="shared" si="191"/>
        <v>0</v>
      </c>
      <c r="R442">
        <v>1</v>
      </c>
      <c r="U442" s="29">
        <f t="shared" si="192"/>
        <v>0</v>
      </c>
      <c r="V442" s="29">
        <f t="shared" si="193"/>
        <v>0</v>
      </c>
      <c r="W442" s="29">
        <f t="shared" si="194"/>
        <v>0</v>
      </c>
      <c r="X442" s="29">
        <f t="shared" si="195"/>
        <v>589</v>
      </c>
      <c r="Y442" s="29">
        <f t="shared" si="196"/>
        <v>0</v>
      </c>
      <c r="Z442" s="29">
        <f t="shared" si="197"/>
        <v>0</v>
      </c>
    </row>
    <row r="443" spans="1:26" x14ac:dyDescent="0.3">
      <c r="A443" s="5" t="s">
        <v>3136</v>
      </c>
      <c r="B443" s="5" t="s">
        <v>3137</v>
      </c>
      <c r="C443" s="5">
        <v>24</v>
      </c>
      <c r="D443" s="6">
        <v>2739</v>
      </c>
      <c r="E443" s="17" t="str">
        <f>VLOOKUP(A443,'forecast data dump'!$A$1:$H$3450,4,FALSE)</f>
        <v>23-Feb-21 A</v>
      </c>
      <c r="F443" s="17">
        <f>VLOOKUP(A443,'forecast data dump'!$A$1:$H$3450,5,FALSE)</f>
        <v>44392</v>
      </c>
      <c r="G443" s="42">
        <f>VLOOKUP(A443,'forecast data dump'!$A$1:$H$3450,8,FALSE)</f>
        <v>0.5</v>
      </c>
      <c r="H443" s="5" t="s">
        <v>3745</v>
      </c>
      <c r="I443" s="39">
        <f t="shared" si="188"/>
        <v>12</v>
      </c>
      <c r="J443" s="5"/>
      <c r="K443" s="5"/>
      <c r="L443" s="33">
        <f t="shared" si="189"/>
        <v>1369.5</v>
      </c>
      <c r="M443" s="33">
        <f t="shared" si="190"/>
        <v>1369.5</v>
      </c>
      <c r="N443" s="33">
        <f t="shared" si="191"/>
        <v>0</v>
      </c>
      <c r="R443">
        <v>1</v>
      </c>
      <c r="U443" s="29">
        <f t="shared" si="192"/>
        <v>0</v>
      </c>
      <c r="V443" s="29">
        <f t="shared" si="193"/>
        <v>0</v>
      </c>
      <c r="W443" s="29">
        <f t="shared" si="194"/>
        <v>0</v>
      </c>
      <c r="X443" s="29">
        <f t="shared" si="195"/>
        <v>1369.5</v>
      </c>
      <c r="Y443" s="29">
        <f t="shared" si="196"/>
        <v>0</v>
      </c>
      <c r="Z443" s="29">
        <f t="shared" si="197"/>
        <v>0</v>
      </c>
    </row>
    <row r="444" spans="1:26" x14ac:dyDescent="0.3">
      <c r="A444" s="5" t="s">
        <v>3140</v>
      </c>
      <c r="B444" s="5" t="s">
        <v>3141</v>
      </c>
      <c r="C444" s="5">
        <v>8</v>
      </c>
      <c r="D444" s="6">
        <v>1199</v>
      </c>
      <c r="E444" s="17" t="str">
        <f>VLOOKUP(A444,'forecast data dump'!$A$1:$H$3450,4,FALSE)</f>
        <v>08-Dec-20 A</v>
      </c>
      <c r="F444" s="17">
        <f>VLOOKUP(A444,'forecast data dump'!$A$1:$H$3450,5,FALSE)</f>
        <v>44392</v>
      </c>
      <c r="G444" s="42">
        <v>0.5</v>
      </c>
      <c r="H444" s="5" t="s">
        <v>3744</v>
      </c>
      <c r="I444" s="39">
        <f t="shared" si="188"/>
        <v>4</v>
      </c>
      <c r="J444" s="5"/>
      <c r="K444" s="5"/>
      <c r="L444" s="33">
        <f t="shared" si="189"/>
        <v>599.5</v>
      </c>
      <c r="M444" s="33">
        <f t="shared" si="190"/>
        <v>599.5</v>
      </c>
      <c r="N444" s="33">
        <f t="shared" si="191"/>
        <v>0</v>
      </c>
      <c r="R444">
        <v>1</v>
      </c>
      <c r="U444" s="29">
        <f t="shared" si="192"/>
        <v>0</v>
      </c>
      <c r="V444" s="29">
        <f t="shared" si="193"/>
        <v>0</v>
      </c>
      <c r="W444" s="29">
        <f t="shared" si="194"/>
        <v>0</v>
      </c>
      <c r="X444" s="29">
        <f t="shared" si="195"/>
        <v>599.5</v>
      </c>
      <c r="Y444" s="29">
        <f t="shared" si="196"/>
        <v>0</v>
      </c>
      <c r="Z444" s="29">
        <f t="shared" si="197"/>
        <v>0</v>
      </c>
    </row>
    <row r="445" spans="1:26" x14ac:dyDescent="0.3">
      <c r="A445" s="5" t="s">
        <v>3140</v>
      </c>
      <c r="B445" s="5" t="s">
        <v>3141</v>
      </c>
      <c r="C445" s="5">
        <v>24</v>
      </c>
      <c r="D445" s="6">
        <v>2788</v>
      </c>
      <c r="E445" s="17" t="str">
        <f>VLOOKUP(A445,'forecast data dump'!$A$1:$H$3450,4,FALSE)</f>
        <v>08-Dec-20 A</v>
      </c>
      <c r="F445" s="17">
        <f>VLOOKUP(A445,'forecast data dump'!$A$1:$H$3450,5,FALSE)</f>
        <v>44392</v>
      </c>
      <c r="G445" s="42">
        <v>0.5</v>
      </c>
      <c r="H445" s="5" t="s">
        <v>3745</v>
      </c>
      <c r="I445" s="39">
        <f t="shared" si="188"/>
        <v>12</v>
      </c>
      <c r="J445" s="5"/>
      <c r="K445" s="5"/>
      <c r="L445" s="33">
        <f t="shared" si="189"/>
        <v>1394</v>
      </c>
      <c r="M445" s="33">
        <f t="shared" si="190"/>
        <v>1394</v>
      </c>
      <c r="N445" s="33">
        <f t="shared" si="191"/>
        <v>0</v>
      </c>
      <c r="R445">
        <v>1</v>
      </c>
      <c r="U445" s="29">
        <f t="shared" si="192"/>
        <v>0</v>
      </c>
      <c r="V445" s="29">
        <f t="shared" si="193"/>
        <v>0</v>
      </c>
      <c r="W445" s="29">
        <f t="shared" si="194"/>
        <v>0</v>
      </c>
      <c r="X445" s="29">
        <f t="shared" si="195"/>
        <v>1394</v>
      </c>
      <c r="Y445" s="29">
        <f t="shared" si="196"/>
        <v>0</v>
      </c>
      <c r="Z445" s="29">
        <f t="shared" si="197"/>
        <v>0</v>
      </c>
    </row>
    <row r="446" spans="1:26" x14ac:dyDescent="0.3">
      <c r="A446" s="5" t="s">
        <v>3142</v>
      </c>
      <c r="B446" s="5" t="s">
        <v>3143</v>
      </c>
      <c r="C446" s="5">
        <v>8</v>
      </c>
      <c r="D446" s="6">
        <v>1213</v>
      </c>
      <c r="E446" s="17" t="str">
        <f>VLOOKUP(A446,'forecast data dump'!$A$1:$H$3450,4,FALSE)</f>
        <v>08-Dec-20 A</v>
      </c>
      <c r="F446" s="17">
        <f>VLOOKUP(A446,'forecast data dump'!$A$1:$H$3450,5,FALSE)</f>
        <v>44392</v>
      </c>
      <c r="G446" s="42">
        <v>0.8</v>
      </c>
      <c r="H446" s="5" t="s">
        <v>3744</v>
      </c>
      <c r="I446" s="39">
        <f t="shared" si="188"/>
        <v>1.5999999999999996</v>
      </c>
      <c r="J446" s="5"/>
      <c r="K446" s="5"/>
      <c r="L446" s="33">
        <f t="shared" si="189"/>
        <v>242.59999999999994</v>
      </c>
      <c r="M446" s="33">
        <f t="shared" si="190"/>
        <v>242.59999999999994</v>
      </c>
      <c r="N446" s="33">
        <f t="shared" si="191"/>
        <v>0</v>
      </c>
      <c r="R446">
        <v>1</v>
      </c>
      <c r="U446" s="29">
        <f t="shared" si="192"/>
        <v>0</v>
      </c>
      <c r="V446" s="29">
        <f t="shared" si="193"/>
        <v>0</v>
      </c>
      <c r="W446" s="29">
        <f t="shared" si="194"/>
        <v>0</v>
      </c>
      <c r="X446" s="29">
        <f t="shared" si="195"/>
        <v>242.59999999999994</v>
      </c>
      <c r="Y446" s="29">
        <f t="shared" si="196"/>
        <v>0</v>
      </c>
      <c r="Z446" s="29">
        <f t="shared" si="197"/>
        <v>0</v>
      </c>
    </row>
    <row r="447" spans="1:26" x14ac:dyDescent="0.3">
      <c r="A447" s="5" t="s">
        <v>3142</v>
      </c>
      <c r="B447" s="5" t="s">
        <v>3143</v>
      </c>
      <c r="C447" s="5">
        <v>24</v>
      </c>
      <c r="D447" s="6">
        <v>2821</v>
      </c>
      <c r="E447" s="17" t="str">
        <f>VLOOKUP(A447,'forecast data dump'!$A$1:$H$3450,4,FALSE)</f>
        <v>08-Dec-20 A</v>
      </c>
      <c r="F447" s="17">
        <f>VLOOKUP(A447,'forecast data dump'!$A$1:$H$3450,5,FALSE)</f>
        <v>44392</v>
      </c>
      <c r="G447" s="42">
        <v>0.8</v>
      </c>
      <c r="H447" s="5" t="s">
        <v>3745</v>
      </c>
      <c r="I447" s="39">
        <f t="shared" si="188"/>
        <v>4.7999999999999989</v>
      </c>
      <c r="J447" s="5"/>
      <c r="K447" s="5"/>
      <c r="L447" s="33">
        <f t="shared" si="189"/>
        <v>564.19999999999982</v>
      </c>
      <c r="M447" s="33">
        <f t="shared" si="190"/>
        <v>564.19999999999982</v>
      </c>
      <c r="N447" s="33">
        <f t="shared" si="191"/>
        <v>0</v>
      </c>
      <c r="R447">
        <v>1</v>
      </c>
      <c r="U447" s="29">
        <f t="shared" si="192"/>
        <v>0</v>
      </c>
      <c r="V447" s="29">
        <f t="shared" si="193"/>
        <v>0</v>
      </c>
      <c r="W447" s="29">
        <f t="shared" si="194"/>
        <v>0</v>
      </c>
      <c r="X447" s="29">
        <f t="shared" si="195"/>
        <v>564.19999999999982</v>
      </c>
      <c r="Y447" s="29">
        <f t="shared" si="196"/>
        <v>0</v>
      </c>
      <c r="Z447" s="29">
        <f t="shared" si="197"/>
        <v>0</v>
      </c>
    </row>
    <row r="448" spans="1:26" x14ac:dyDescent="0.3">
      <c r="A448" s="5" t="s">
        <v>3144</v>
      </c>
      <c r="B448" s="5" t="s">
        <v>3145</v>
      </c>
      <c r="C448" s="5">
        <v>16</v>
      </c>
      <c r="D448" s="6">
        <v>2427</v>
      </c>
      <c r="E448" s="17" t="str">
        <f>VLOOKUP(A448,'forecast data dump'!$A$1:$H$3450,4,FALSE)</f>
        <v>14-Dec-20 A</v>
      </c>
      <c r="F448" s="17">
        <f>VLOOKUP(A448,'forecast data dump'!$A$1:$H$3450,5,FALSE)</f>
        <v>44392</v>
      </c>
      <c r="G448" s="42">
        <v>0.5</v>
      </c>
      <c r="H448" s="5" t="s">
        <v>3744</v>
      </c>
      <c r="I448" s="39">
        <f t="shared" si="188"/>
        <v>8</v>
      </c>
      <c r="J448" s="5"/>
      <c r="K448" s="5"/>
      <c r="L448" s="33">
        <f t="shared" si="189"/>
        <v>1213.5</v>
      </c>
      <c r="M448" s="33">
        <f t="shared" si="190"/>
        <v>1213.5</v>
      </c>
      <c r="N448" s="33">
        <f t="shared" si="191"/>
        <v>0</v>
      </c>
      <c r="R448">
        <v>1</v>
      </c>
      <c r="U448" s="29">
        <f t="shared" si="192"/>
        <v>0</v>
      </c>
      <c r="V448" s="29">
        <f t="shared" si="193"/>
        <v>0</v>
      </c>
      <c r="W448" s="29">
        <f t="shared" si="194"/>
        <v>0</v>
      </c>
      <c r="X448" s="29">
        <f t="shared" si="195"/>
        <v>1213.5</v>
      </c>
      <c r="Y448" s="29">
        <f t="shared" si="196"/>
        <v>0</v>
      </c>
      <c r="Z448" s="29">
        <f t="shared" si="197"/>
        <v>0</v>
      </c>
    </row>
    <row r="449" spans="1:26" x14ac:dyDescent="0.3">
      <c r="A449" s="5" t="s">
        <v>3144</v>
      </c>
      <c r="B449" s="5" t="s">
        <v>3145</v>
      </c>
      <c r="C449" s="5">
        <v>48</v>
      </c>
      <c r="D449" s="6">
        <v>5642</v>
      </c>
      <c r="E449" s="17" t="str">
        <f>VLOOKUP(A449,'forecast data dump'!$A$1:$H$3450,4,FALSE)</f>
        <v>14-Dec-20 A</v>
      </c>
      <c r="F449" s="17">
        <f>VLOOKUP(A449,'forecast data dump'!$A$1:$H$3450,5,FALSE)</f>
        <v>44392</v>
      </c>
      <c r="G449" s="42">
        <v>0.5</v>
      </c>
      <c r="H449" s="5" t="s">
        <v>3745</v>
      </c>
      <c r="I449" s="39">
        <f t="shared" si="188"/>
        <v>24</v>
      </c>
      <c r="J449" s="5"/>
      <c r="K449" s="5"/>
      <c r="L449" s="33">
        <f t="shared" si="189"/>
        <v>2821</v>
      </c>
      <c r="M449" s="33">
        <f t="shared" si="190"/>
        <v>2821</v>
      </c>
      <c r="N449" s="33">
        <f t="shared" si="191"/>
        <v>0</v>
      </c>
      <c r="R449">
        <v>1</v>
      </c>
      <c r="U449" s="29">
        <f t="shared" si="192"/>
        <v>0</v>
      </c>
      <c r="V449" s="29">
        <f t="shared" si="193"/>
        <v>0</v>
      </c>
      <c r="W449" s="29">
        <f t="shared" si="194"/>
        <v>0</v>
      </c>
      <c r="X449" s="29">
        <f t="shared" si="195"/>
        <v>2821</v>
      </c>
      <c r="Y449" s="29">
        <f t="shared" si="196"/>
        <v>0</v>
      </c>
      <c r="Z449" s="29">
        <f t="shared" si="197"/>
        <v>0</v>
      </c>
    </row>
    <row r="450" spans="1:26" x14ac:dyDescent="0.3">
      <c r="A450" s="5" t="s">
        <v>3148</v>
      </c>
      <c r="B450" s="5" t="s">
        <v>3149</v>
      </c>
      <c r="C450" s="5">
        <v>8</v>
      </c>
      <c r="D450" s="6">
        <v>1213</v>
      </c>
      <c r="E450" s="17" t="str">
        <f>VLOOKUP(A450,'forecast data dump'!$A$1:$H$3450,4,FALSE)</f>
        <v>18-Dec-20 A</v>
      </c>
      <c r="F450" s="17">
        <f>VLOOKUP(A450,'forecast data dump'!$A$1:$H$3450,5,FALSE)</f>
        <v>44396</v>
      </c>
      <c r="G450" s="42">
        <f>VLOOKUP(A450,'forecast data dump'!$A$1:$H$3450,8,FALSE)</f>
        <v>0.8</v>
      </c>
      <c r="H450" s="5" t="s">
        <v>3733</v>
      </c>
      <c r="I450" s="39">
        <f t="shared" si="188"/>
        <v>1.5999999999999996</v>
      </c>
      <c r="J450" s="5"/>
      <c r="K450" s="5"/>
      <c r="L450" s="33">
        <f t="shared" si="189"/>
        <v>242.59999999999994</v>
      </c>
      <c r="M450" s="33">
        <f t="shared" si="190"/>
        <v>242.59999999999994</v>
      </c>
      <c r="N450" s="33">
        <f t="shared" si="191"/>
        <v>0</v>
      </c>
      <c r="R450">
        <v>1</v>
      </c>
      <c r="U450" s="29">
        <f t="shared" si="192"/>
        <v>0</v>
      </c>
      <c r="V450" s="29">
        <f t="shared" si="193"/>
        <v>0</v>
      </c>
      <c r="W450" s="29">
        <f t="shared" si="194"/>
        <v>0</v>
      </c>
      <c r="X450" s="29">
        <f t="shared" si="195"/>
        <v>242.59999999999994</v>
      </c>
      <c r="Y450" s="29">
        <f t="shared" si="196"/>
        <v>0</v>
      </c>
      <c r="Z450" s="29">
        <f t="shared" si="197"/>
        <v>0</v>
      </c>
    </row>
    <row r="451" spans="1:26" x14ac:dyDescent="0.3">
      <c r="A451" s="5" t="s">
        <v>3148</v>
      </c>
      <c r="B451" s="5" t="s">
        <v>3149</v>
      </c>
      <c r="C451" s="5">
        <v>16</v>
      </c>
      <c r="D451" s="6">
        <v>1881</v>
      </c>
      <c r="E451" s="17" t="str">
        <f>VLOOKUP(A451,'forecast data dump'!$A$1:$H$3450,4,FALSE)</f>
        <v>18-Dec-20 A</v>
      </c>
      <c r="F451" s="17">
        <f>VLOOKUP(A451,'forecast data dump'!$A$1:$H$3450,5,FALSE)</f>
        <v>44396</v>
      </c>
      <c r="G451" s="42">
        <f>VLOOKUP(A451,'forecast data dump'!$A$1:$H$3450,8,FALSE)</f>
        <v>0.8</v>
      </c>
      <c r="H451" s="5" t="s">
        <v>3745</v>
      </c>
      <c r="I451" s="39">
        <f t="shared" si="188"/>
        <v>3.1999999999999993</v>
      </c>
      <c r="J451" s="5"/>
      <c r="K451" s="5"/>
      <c r="L451" s="33">
        <f t="shared" si="189"/>
        <v>376.19999999999993</v>
      </c>
      <c r="M451" s="33">
        <f t="shared" si="190"/>
        <v>376.19999999999993</v>
      </c>
      <c r="N451" s="33">
        <f t="shared" si="191"/>
        <v>0</v>
      </c>
      <c r="R451">
        <v>1</v>
      </c>
      <c r="U451" s="29">
        <f t="shared" si="192"/>
        <v>0</v>
      </c>
      <c r="V451" s="29">
        <f t="shared" si="193"/>
        <v>0</v>
      </c>
      <c r="W451" s="29">
        <f t="shared" si="194"/>
        <v>0</v>
      </c>
      <c r="X451" s="29">
        <f t="shared" si="195"/>
        <v>376.19999999999993</v>
      </c>
      <c r="Y451" s="29">
        <f t="shared" si="196"/>
        <v>0</v>
      </c>
      <c r="Z451" s="29">
        <f t="shared" si="197"/>
        <v>0</v>
      </c>
    </row>
    <row r="452" spans="1:26" x14ac:dyDescent="0.3">
      <c r="A452" s="5" t="s">
        <v>3150</v>
      </c>
      <c r="B452" s="5" t="s">
        <v>3151</v>
      </c>
      <c r="C452" s="5">
        <v>8</v>
      </c>
      <c r="D452" s="6">
        <v>1213</v>
      </c>
      <c r="E452" s="17" t="str">
        <f>VLOOKUP(A452,'forecast data dump'!$A$1:$H$3450,4,FALSE)</f>
        <v>15-Feb-21 A</v>
      </c>
      <c r="F452" s="17">
        <f>VLOOKUP(A452,'forecast data dump'!$A$1:$H$3450,5,FALSE)</f>
        <v>44396</v>
      </c>
      <c r="G452" s="42">
        <f>VLOOKUP(A452,'forecast data dump'!$A$1:$H$3450,8,FALSE)</f>
        <v>0.6</v>
      </c>
      <c r="H452" s="5" t="s">
        <v>3733</v>
      </c>
      <c r="I452" s="39">
        <f t="shared" si="188"/>
        <v>3.2</v>
      </c>
      <c r="J452" s="5"/>
      <c r="K452" s="5"/>
      <c r="L452" s="33">
        <f t="shared" si="189"/>
        <v>485.20000000000005</v>
      </c>
      <c r="M452" s="33">
        <f t="shared" si="190"/>
        <v>485.20000000000005</v>
      </c>
      <c r="N452" s="33">
        <f t="shared" si="191"/>
        <v>0</v>
      </c>
      <c r="R452">
        <v>1</v>
      </c>
      <c r="U452" s="29">
        <f t="shared" si="192"/>
        <v>0</v>
      </c>
      <c r="V452" s="29">
        <f t="shared" si="193"/>
        <v>0</v>
      </c>
      <c r="W452" s="29">
        <f t="shared" si="194"/>
        <v>0</v>
      </c>
      <c r="X452" s="29">
        <f t="shared" si="195"/>
        <v>485.20000000000005</v>
      </c>
      <c r="Y452" s="29">
        <f t="shared" si="196"/>
        <v>0</v>
      </c>
      <c r="Z452" s="29">
        <f t="shared" si="197"/>
        <v>0</v>
      </c>
    </row>
    <row r="453" spans="1:26" x14ac:dyDescent="0.3">
      <c r="A453" s="5" t="s">
        <v>3150</v>
      </c>
      <c r="B453" s="5" t="s">
        <v>3151</v>
      </c>
      <c r="C453" s="5">
        <v>16</v>
      </c>
      <c r="D453" s="6">
        <v>1881</v>
      </c>
      <c r="E453" s="17" t="str">
        <f>VLOOKUP(A453,'forecast data dump'!$A$1:$H$3450,4,FALSE)</f>
        <v>15-Feb-21 A</v>
      </c>
      <c r="F453" s="17">
        <f>VLOOKUP(A453,'forecast data dump'!$A$1:$H$3450,5,FALSE)</f>
        <v>44396</v>
      </c>
      <c r="G453" s="42">
        <f>VLOOKUP(A453,'forecast data dump'!$A$1:$H$3450,8,FALSE)</f>
        <v>0.6</v>
      </c>
      <c r="H453" s="5" t="s">
        <v>3745</v>
      </c>
      <c r="I453" s="39">
        <f t="shared" si="188"/>
        <v>6.4</v>
      </c>
      <c r="J453" s="5"/>
      <c r="K453" s="5"/>
      <c r="L453" s="33">
        <f t="shared" si="189"/>
        <v>752.40000000000009</v>
      </c>
      <c r="M453" s="33">
        <f t="shared" si="190"/>
        <v>752.40000000000009</v>
      </c>
      <c r="N453" s="33">
        <f t="shared" si="191"/>
        <v>0</v>
      </c>
      <c r="R453">
        <v>1</v>
      </c>
      <c r="U453" s="29">
        <f t="shared" si="192"/>
        <v>0</v>
      </c>
      <c r="V453" s="29">
        <f t="shared" si="193"/>
        <v>0</v>
      </c>
      <c r="W453" s="29">
        <f t="shared" si="194"/>
        <v>0</v>
      </c>
      <c r="X453" s="29">
        <f t="shared" si="195"/>
        <v>752.40000000000009</v>
      </c>
      <c r="Y453" s="29">
        <f t="shared" si="196"/>
        <v>0</v>
      </c>
      <c r="Z453" s="29">
        <f t="shared" si="197"/>
        <v>0</v>
      </c>
    </row>
    <row r="454" spans="1:26" x14ac:dyDescent="0.3">
      <c r="A454" s="5" t="s">
        <v>3152</v>
      </c>
      <c r="B454" s="5" t="s">
        <v>3153</v>
      </c>
      <c r="C454" s="5">
        <v>8</v>
      </c>
      <c r="D454" s="6">
        <v>1213</v>
      </c>
      <c r="E454" s="17" t="str">
        <f>VLOOKUP(A454,'forecast data dump'!$A$1:$H$3450,4,FALSE)</f>
        <v>18-Dec-20 A</v>
      </c>
      <c r="F454" s="17">
        <f>VLOOKUP(A454,'forecast data dump'!$A$1:$H$3450,5,FALSE)</f>
        <v>44396</v>
      </c>
      <c r="G454" s="42">
        <f>VLOOKUP(A454,'forecast data dump'!$A$1:$H$3450,8,FALSE)</f>
        <v>0.3</v>
      </c>
      <c r="H454" s="5" t="s">
        <v>3733</v>
      </c>
      <c r="I454" s="39">
        <f t="shared" si="188"/>
        <v>5.6</v>
      </c>
      <c r="J454" s="5"/>
      <c r="K454" s="5"/>
      <c r="L454" s="33">
        <f t="shared" si="189"/>
        <v>849.09999999999991</v>
      </c>
      <c r="M454" s="33">
        <f t="shared" si="190"/>
        <v>849.09999999999991</v>
      </c>
      <c r="N454" s="33">
        <f t="shared" si="191"/>
        <v>0</v>
      </c>
      <c r="R454">
        <v>1</v>
      </c>
      <c r="U454" s="29">
        <f t="shared" si="192"/>
        <v>0</v>
      </c>
      <c r="V454" s="29">
        <f t="shared" si="193"/>
        <v>0</v>
      </c>
      <c r="W454" s="29">
        <f t="shared" si="194"/>
        <v>0</v>
      </c>
      <c r="X454" s="29">
        <f t="shared" si="195"/>
        <v>849.09999999999991</v>
      </c>
      <c r="Y454" s="29">
        <f t="shared" si="196"/>
        <v>0</v>
      </c>
      <c r="Z454" s="29">
        <f t="shared" si="197"/>
        <v>0</v>
      </c>
    </row>
    <row r="455" spans="1:26" x14ac:dyDescent="0.3">
      <c r="A455" s="5" t="s">
        <v>3152</v>
      </c>
      <c r="B455" s="5" t="s">
        <v>3153</v>
      </c>
      <c r="C455" s="5">
        <v>16</v>
      </c>
      <c r="D455" s="6">
        <v>1881</v>
      </c>
      <c r="E455" s="17" t="str">
        <f>VLOOKUP(A455,'forecast data dump'!$A$1:$H$3450,4,FALSE)</f>
        <v>18-Dec-20 A</v>
      </c>
      <c r="F455" s="17">
        <f>VLOOKUP(A455,'forecast data dump'!$A$1:$H$3450,5,FALSE)</f>
        <v>44396</v>
      </c>
      <c r="G455" s="42">
        <f>VLOOKUP(A455,'forecast data dump'!$A$1:$H$3450,8,FALSE)</f>
        <v>0.3</v>
      </c>
      <c r="H455" s="5" t="s">
        <v>3745</v>
      </c>
      <c r="I455" s="39">
        <f t="shared" si="188"/>
        <v>11.2</v>
      </c>
      <c r="J455" s="5"/>
      <c r="K455" s="5"/>
      <c r="L455" s="33">
        <f t="shared" si="189"/>
        <v>1316.6999999999998</v>
      </c>
      <c r="M455" s="33">
        <f t="shared" si="190"/>
        <v>1316.6999999999998</v>
      </c>
      <c r="N455" s="33">
        <f t="shared" si="191"/>
        <v>0</v>
      </c>
      <c r="R455">
        <v>1</v>
      </c>
      <c r="U455" s="29">
        <f t="shared" si="192"/>
        <v>0</v>
      </c>
      <c r="V455" s="29">
        <f t="shared" si="193"/>
        <v>0</v>
      </c>
      <c r="W455" s="29">
        <f t="shared" si="194"/>
        <v>0</v>
      </c>
      <c r="X455" s="29">
        <f t="shared" si="195"/>
        <v>1316.6999999999998</v>
      </c>
      <c r="Y455" s="29">
        <f t="shared" si="196"/>
        <v>0</v>
      </c>
      <c r="Z455" s="29">
        <f t="shared" si="197"/>
        <v>0</v>
      </c>
    </row>
    <row r="456" spans="1:26" x14ac:dyDescent="0.3">
      <c r="A456" s="5" t="s">
        <v>3154</v>
      </c>
      <c r="B456" s="5" t="s">
        <v>3155</v>
      </c>
      <c r="C456" s="5">
        <v>8</v>
      </c>
      <c r="D456" s="6">
        <v>1213</v>
      </c>
      <c r="E456" s="17" t="str">
        <f>VLOOKUP(A456,'forecast data dump'!$A$1:$H$3450,4,FALSE)</f>
        <v>18-Dec-20 A</v>
      </c>
      <c r="F456" s="17">
        <f>VLOOKUP(A456,'forecast data dump'!$A$1:$H$3450,5,FALSE)</f>
        <v>44396</v>
      </c>
      <c r="G456" s="42">
        <v>0.4</v>
      </c>
      <c r="H456" s="5" t="s">
        <v>3733</v>
      </c>
      <c r="I456" s="39">
        <f t="shared" si="188"/>
        <v>4.8</v>
      </c>
      <c r="J456" s="5"/>
      <c r="K456" s="5"/>
      <c r="L456" s="33">
        <f t="shared" si="189"/>
        <v>727.8</v>
      </c>
      <c r="M456" s="33">
        <f t="shared" si="190"/>
        <v>727.8</v>
      </c>
      <c r="N456" s="33">
        <f t="shared" si="191"/>
        <v>0</v>
      </c>
      <c r="R456">
        <v>1</v>
      </c>
      <c r="U456" s="29">
        <f t="shared" si="192"/>
        <v>0</v>
      </c>
      <c r="V456" s="29">
        <f t="shared" si="193"/>
        <v>0</v>
      </c>
      <c r="W456" s="29">
        <f t="shared" si="194"/>
        <v>0</v>
      </c>
      <c r="X456" s="29">
        <f t="shared" si="195"/>
        <v>727.8</v>
      </c>
      <c r="Y456" s="29">
        <f t="shared" si="196"/>
        <v>0</v>
      </c>
      <c r="Z456" s="29">
        <f t="shared" si="197"/>
        <v>0</v>
      </c>
    </row>
    <row r="457" spans="1:26" x14ac:dyDescent="0.3">
      <c r="A457" s="5" t="s">
        <v>3154</v>
      </c>
      <c r="B457" s="5" t="s">
        <v>3155</v>
      </c>
      <c r="C457" s="5">
        <v>16</v>
      </c>
      <c r="D457" s="6">
        <v>1881</v>
      </c>
      <c r="E457" s="17" t="str">
        <f>VLOOKUP(A457,'forecast data dump'!$A$1:$H$3450,4,FALSE)</f>
        <v>18-Dec-20 A</v>
      </c>
      <c r="F457" s="17">
        <f>VLOOKUP(A457,'forecast data dump'!$A$1:$H$3450,5,FALSE)</f>
        <v>44396</v>
      </c>
      <c r="G457" s="42">
        <v>0.4</v>
      </c>
      <c r="H457" s="5" t="s">
        <v>3745</v>
      </c>
      <c r="I457" s="39">
        <f t="shared" si="188"/>
        <v>9.6</v>
      </c>
      <c r="J457" s="5"/>
      <c r="K457" s="5"/>
      <c r="L457" s="33">
        <f t="shared" si="189"/>
        <v>1128.5999999999999</v>
      </c>
      <c r="M457" s="33">
        <f t="shared" si="190"/>
        <v>1128.5999999999999</v>
      </c>
      <c r="N457" s="33">
        <f t="shared" si="191"/>
        <v>0</v>
      </c>
      <c r="R457">
        <v>1</v>
      </c>
      <c r="U457" s="29">
        <f t="shared" si="192"/>
        <v>0</v>
      </c>
      <c r="V457" s="29">
        <f t="shared" si="193"/>
        <v>0</v>
      </c>
      <c r="W457" s="29">
        <f t="shared" si="194"/>
        <v>0</v>
      </c>
      <c r="X457" s="29">
        <f t="shared" si="195"/>
        <v>1128.5999999999999</v>
      </c>
      <c r="Y457" s="29">
        <f t="shared" si="196"/>
        <v>0</v>
      </c>
      <c r="Z457" s="29">
        <f t="shared" si="197"/>
        <v>0</v>
      </c>
    </row>
    <row r="458" spans="1:26" x14ac:dyDescent="0.3">
      <c r="A458" s="5" t="s">
        <v>3156</v>
      </c>
      <c r="B458" s="5" t="s">
        <v>3157</v>
      </c>
      <c r="C458" s="5">
        <v>8</v>
      </c>
      <c r="D458" s="6">
        <v>1213</v>
      </c>
      <c r="E458" s="17" t="str">
        <f>VLOOKUP(A458,'forecast data dump'!$A$1:$H$3450,4,FALSE)</f>
        <v>22-Dec-20 A</v>
      </c>
      <c r="F458" s="17">
        <f>VLOOKUP(A458,'forecast data dump'!$A$1:$H$3450,5,FALSE)</f>
        <v>44396</v>
      </c>
      <c r="G458" s="42">
        <v>0.8</v>
      </c>
      <c r="H458" s="5" t="s">
        <v>3733</v>
      </c>
      <c r="I458" s="39">
        <f t="shared" si="188"/>
        <v>1.5999999999999996</v>
      </c>
      <c r="J458" s="5"/>
      <c r="K458" s="5"/>
      <c r="L458" s="33">
        <f t="shared" si="189"/>
        <v>242.59999999999994</v>
      </c>
      <c r="M458" s="33">
        <f t="shared" si="190"/>
        <v>242.59999999999994</v>
      </c>
      <c r="N458" s="33">
        <f t="shared" si="191"/>
        <v>0</v>
      </c>
      <c r="R458">
        <v>1</v>
      </c>
      <c r="U458" s="29">
        <f t="shared" si="192"/>
        <v>0</v>
      </c>
      <c r="V458" s="29">
        <f t="shared" si="193"/>
        <v>0</v>
      </c>
      <c r="W458" s="29">
        <f t="shared" si="194"/>
        <v>0</v>
      </c>
      <c r="X458" s="29">
        <f t="shared" si="195"/>
        <v>242.59999999999994</v>
      </c>
      <c r="Y458" s="29">
        <f t="shared" si="196"/>
        <v>0</v>
      </c>
      <c r="Z458" s="29">
        <f t="shared" si="197"/>
        <v>0</v>
      </c>
    </row>
    <row r="459" spans="1:26" x14ac:dyDescent="0.3">
      <c r="A459" s="5" t="s">
        <v>3156</v>
      </c>
      <c r="B459" s="5" t="s">
        <v>3157</v>
      </c>
      <c r="C459" s="5">
        <v>16</v>
      </c>
      <c r="D459" s="6">
        <v>1881</v>
      </c>
      <c r="E459" s="17" t="str">
        <f>VLOOKUP(A459,'forecast data dump'!$A$1:$H$3450,4,FALSE)</f>
        <v>22-Dec-20 A</v>
      </c>
      <c r="F459" s="17">
        <f>VLOOKUP(A459,'forecast data dump'!$A$1:$H$3450,5,FALSE)</f>
        <v>44396</v>
      </c>
      <c r="G459" s="42">
        <v>0.8</v>
      </c>
      <c r="H459" s="5" t="s">
        <v>3745</v>
      </c>
      <c r="I459" s="39">
        <f t="shared" si="188"/>
        <v>3.1999999999999993</v>
      </c>
      <c r="J459" s="5"/>
      <c r="K459" s="5"/>
      <c r="L459" s="33">
        <f t="shared" si="189"/>
        <v>376.19999999999993</v>
      </c>
      <c r="M459" s="33">
        <f t="shared" si="190"/>
        <v>376.19999999999993</v>
      </c>
      <c r="N459" s="33">
        <f t="shared" si="191"/>
        <v>0</v>
      </c>
      <c r="R459">
        <v>1</v>
      </c>
      <c r="U459" s="29">
        <f t="shared" si="192"/>
        <v>0</v>
      </c>
      <c r="V459" s="29">
        <f t="shared" si="193"/>
        <v>0</v>
      </c>
      <c r="W459" s="29">
        <f t="shared" si="194"/>
        <v>0</v>
      </c>
      <c r="X459" s="29">
        <f t="shared" si="195"/>
        <v>376.19999999999993</v>
      </c>
      <c r="Y459" s="29">
        <f t="shared" si="196"/>
        <v>0</v>
      </c>
      <c r="Z459" s="29">
        <f t="shared" si="197"/>
        <v>0</v>
      </c>
    </row>
    <row r="460" spans="1:26" x14ac:dyDescent="0.3">
      <c r="A460" s="5" t="s">
        <v>3158</v>
      </c>
      <c r="B460" s="5" t="s">
        <v>3159</v>
      </c>
      <c r="C460" s="5">
        <v>96</v>
      </c>
      <c r="D460" s="6">
        <v>14562</v>
      </c>
      <c r="E460" s="17" t="str">
        <f>VLOOKUP(A460,'forecast data dump'!$A$1:$H$3450,4,FALSE)</f>
        <v>15-Feb-21 A</v>
      </c>
      <c r="F460" s="17">
        <f>VLOOKUP(A460,'forecast data dump'!$A$1:$H$3450,5,FALSE)</f>
        <v>44463</v>
      </c>
      <c r="G460" s="42">
        <v>0.4</v>
      </c>
      <c r="H460" s="5" t="s">
        <v>3733</v>
      </c>
      <c r="I460" s="39">
        <f t="shared" si="188"/>
        <v>57.599999999999994</v>
      </c>
      <c r="J460" s="5"/>
      <c r="K460" s="5"/>
      <c r="L460" s="33">
        <f t="shared" si="189"/>
        <v>8737.1999999999989</v>
      </c>
      <c r="M460" s="33">
        <f t="shared" si="190"/>
        <v>8737.1999999999989</v>
      </c>
      <c r="N460" s="33">
        <f t="shared" si="191"/>
        <v>0</v>
      </c>
      <c r="R460">
        <v>1</v>
      </c>
      <c r="U460" s="29">
        <f t="shared" si="192"/>
        <v>0</v>
      </c>
      <c r="V460" s="29">
        <f t="shared" si="193"/>
        <v>0</v>
      </c>
      <c r="W460" s="29">
        <f t="shared" si="194"/>
        <v>0</v>
      </c>
      <c r="X460" s="29">
        <f t="shared" si="195"/>
        <v>8737.1999999999989</v>
      </c>
      <c r="Y460" s="29">
        <f t="shared" si="196"/>
        <v>0</v>
      </c>
      <c r="Z460" s="29">
        <f t="shared" si="197"/>
        <v>0</v>
      </c>
    </row>
    <row r="461" spans="1:26" x14ac:dyDescent="0.3">
      <c r="A461" s="5" t="s">
        <v>3158</v>
      </c>
      <c r="B461" s="5" t="s">
        <v>3159</v>
      </c>
      <c r="C461" s="5">
        <v>48</v>
      </c>
      <c r="D461" s="6">
        <v>5642</v>
      </c>
      <c r="E461" s="17" t="str">
        <f>VLOOKUP(A461,'forecast data dump'!$A$1:$H$3450,4,FALSE)</f>
        <v>15-Feb-21 A</v>
      </c>
      <c r="F461" s="17">
        <f>VLOOKUP(A461,'forecast data dump'!$A$1:$H$3450,5,FALSE)</f>
        <v>44463</v>
      </c>
      <c r="G461" s="42">
        <v>0.4</v>
      </c>
      <c r="H461" s="5" t="s">
        <v>3745</v>
      </c>
      <c r="I461" s="39">
        <f t="shared" si="188"/>
        <v>28.799999999999997</v>
      </c>
      <c r="J461" s="5"/>
      <c r="K461" s="5"/>
      <c r="L461" s="33">
        <f t="shared" si="189"/>
        <v>3385.2</v>
      </c>
      <c r="M461" s="33">
        <f t="shared" si="190"/>
        <v>3385.2</v>
      </c>
      <c r="N461" s="33">
        <f t="shared" si="191"/>
        <v>0</v>
      </c>
      <c r="R461">
        <v>1</v>
      </c>
      <c r="U461" s="29">
        <f t="shared" si="192"/>
        <v>0</v>
      </c>
      <c r="V461" s="29">
        <f t="shared" si="193"/>
        <v>0</v>
      </c>
      <c r="W461" s="29">
        <f t="shared" si="194"/>
        <v>0</v>
      </c>
      <c r="X461" s="29">
        <f t="shared" si="195"/>
        <v>3385.2</v>
      </c>
      <c r="Y461" s="29">
        <f t="shared" si="196"/>
        <v>0</v>
      </c>
      <c r="Z461" s="29">
        <f t="shared" si="197"/>
        <v>0</v>
      </c>
    </row>
    <row r="462" spans="1:26" x14ac:dyDescent="0.3">
      <c r="A462" s="5" t="s">
        <v>3158</v>
      </c>
      <c r="B462" s="5" t="s">
        <v>3159</v>
      </c>
      <c r="C462" s="5">
        <v>48</v>
      </c>
      <c r="D462" s="6">
        <v>5642</v>
      </c>
      <c r="E462" s="17" t="str">
        <f>VLOOKUP(A462,'forecast data dump'!$A$1:$H$3450,4,FALSE)</f>
        <v>15-Feb-21 A</v>
      </c>
      <c r="F462" s="17">
        <f>VLOOKUP(A462,'forecast data dump'!$A$1:$H$3450,5,FALSE)</f>
        <v>44463</v>
      </c>
      <c r="G462" s="42">
        <v>0.4</v>
      </c>
      <c r="H462" s="5" t="s">
        <v>3741</v>
      </c>
      <c r="I462" s="39">
        <f t="shared" si="188"/>
        <v>28.799999999999997</v>
      </c>
      <c r="J462" s="5"/>
      <c r="K462" s="5"/>
      <c r="L462" s="33">
        <f t="shared" si="189"/>
        <v>3385.2</v>
      </c>
      <c r="M462" s="33">
        <f t="shared" si="190"/>
        <v>3385.2</v>
      </c>
      <c r="N462" s="33">
        <f t="shared" si="191"/>
        <v>0</v>
      </c>
      <c r="R462">
        <v>1</v>
      </c>
      <c r="U462" s="29">
        <f t="shared" si="192"/>
        <v>0</v>
      </c>
      <c r="V462" s="29">
        <f t="shared" si="193"/>
        <v>0</v>
      </c>
      <c r="W462" s="29">
        <f t="shared" si="194"/>
        <v>0</v>
      </c>
      <c r="X462" s="29">
        <f t="shared" si="195"/>
        <v>3385.2</v>
      </c>
      <c r="Y462" s="29">
        <f t="shared" si="196"/>
        <v>0</v>
      </c>
      <c r="Z462" s="29">
        <f t="shared" si="197"/>
        <v>0</v>
      </c>
    </row>
    <row r="463" spans="1:26" x14ac:dyDescent="0.3">
      <c r="A463" s="5" t="s">
        <v>3160</v>
      </c>
      <c r="B463" s="5" t="s">
        <v>3161</v>
      </c>
      <c r="C463" s="5">
        <v>8</v>
      </c>
      <c r="D463" s="6">
        <v>1213</v>
      </c>
      <c r="E463" s="17">
        <f>VLOOKUP(A463,'forecast data dump'!$A$1:$H$3450,4,FALSE)</f>
        <v>44386</v>
      </c>
      <c r="F463" s="17">
        <f>VLOOKUP(A463,'forecast data dump'!$A$1:$H$3450,5,FALSE)</f>
        <v>44399</v>
      </c>
      <c r="G463" s="42">
        <f>VLOOKUP(A463,'forecast data dump'!$A$1:$H$3450,8,FALSE)</f>
        <v>0</v>
      </c>
      <c r="H463" s="5" t="s">
        <v>3733</v>
      </c>
      <c r="I463" s="39">
        <f t="shared" si="188"/>
        <v>8</v>
      </c>
      <c r="J463" s="5"/>
      <c r="K463" s="5"/>
      <c r="L463" s="33">
        <f t="shared" si="189"/>
        <v>1213</v>
      </c>
      <c r="M463" s="33">
        <f t="shared" si="190"/>
        <v>1213</v>
      </c>
      <c r="N463" s="33">
        <f t="shared" si="191"/>
        <v>0</v>
      </c>
      <c r="T463">
        <v>1</v>
      </c>
      <c r="U463" s="29">
        <f t="shared" si="192"/>
        <v>0</v>
      </c>
      <c r="V463" s="29">
        <f t="shared" si="193"/>
        <v>0</v>
      </c>
      <c r="W463" s="29">
        <f t="shared" si="194"/>
        <v>0</v>
      </c>
      <c r="X463" s="29">
        <f t="shared" si="195"/>
        <v>0</v>
      </c>
      <c r="Y463" s="29">
        <f t="shared" si="196"/>
        <v>0</v>
      </c>
      <c r="Z463" s="29">
        <f t="shared" si="197"/>
        <v>1213</v>
      </c>
    </row>
    <row r="464" spans="1:26" x14ac:dyDescent="0.3">
      <c r="A464" s="5" t="s">
        <v>3160</v>
      </c>
      <c r="B464" s="5" t="s">
        <v>3161</v>
      </c>
      <c r="C464" s="5">
        <v>16</v>
      </c>
      <c r="D464" s="6">
        <v>1881</v>
      </c>
      <c r="E464" s="17">
        <f>VLOOKUP(A464,'forecast data dump'!$A$1:$H$3450,4,FALSE)</f>
        <v>44386</v>
      </c>
      <c r="F464" s="17">
        <f>VLOOKUP(A464,'forecast data dump'!$A$1:$H$3450,5,FALSE)</f>
        <v>44399</v>
      </c>
      <c r="G464" s="42">
        <f>VLOOKUP(A464,'forecast data dump'!$A$1:$H$3450,8,FALSE)</f>
        <v>0</v>
      </c>
      <c r="H464" s="5" t="s">
        <v>3745</v>
      </c>
      <c r="I464" s="39">
        <f t="shared" si="188"/>
        <v>16</v>
      </c>
      <c r="J464" s="5"/>
      <c r="K464" s="5"/>
      <c r="L464" s="33">
        <f t="shared" si="189"/>
        <v>1881</v>
      </c>
      <c r="M464" s="33">
        <f t="shared" si="190"/>
        <v>1881</v>
      </c>
      <c r="N464" s="33">
        <f t="shared" si="191"/>
        <v>0</v>
      </c>
      <c r="T464">
        <v>1</v>
      </c>
      <c r="U464" s="29">
        <f t="shared" si="192"/>
        <v>0</v>
      </c>
      <c r="V464" s="29">
        <f t="shared" si="193"/>
        <v>0</v>
      </c>
      <c r="W464" s="29">
        <f t="shared" si="194"/>
        <v>0</v>
      </c>
      <c r="X464" s="29">
        <f t="shared" si="195"/>
        <v>0</v>
      </c>
      <c r="Y464" s="29">
        <f t="shared" si="196"/>
        <v>0</v>
      </c>
      <c r="Z464" s="29">
        <f t="shared" si="197"/>
        <v>1881</v>
      </c>
    </row>
    <row r="465" spans="1:26" x14ac:dyDescent="0.3">
      <c r="A465" s="5" t="s">
        <v>3162</v>
      </c>
      <c r="B465" s="5" t="s">
        <v>3163</v>
      </c>
      <c r="C465" s="5">
        <v>20</v>
      </c>
      <c r="D465" s="6">
        <v>3034</v>
      </c>
      <c r="E465" s="17">
        <f>VLOOKUP(A465,'forecast data dump'!$A$1:$H$3450,4,FALSE)</f>
        <v>44400</v>
      </c>
      <c r="F465" s="17">
        <f>VLOOKUP(A465,'forecast data dump'!$A$1:$H$3450,5,FALSE)</f>
        <v>44413</v>
      </c>
      <c r="G465" s="42">
        <f>VLOOKUP(A465,'forecast data dump'!$A$1:$H$3450,8,FALSE)</f>
        <v>0</v>
      </c>
      <c r="H465" s="5" t="s">
        <v>3733</v>
      </c>
      <c r="I465" s="39">
        <f t="shared" si="188"/>
        <v>20</v>
      </c>
      <c r="J465" s="5"/>
      <c r="K465" s="5"/>
      <c r="L465" s="33">
        <f t="shared" si="189"/>
        <v>3034</v>
      </c>
      <c r="M465" s="33">
        <f t="shared" si="190"/>
        <v>3034</v>
      </c>
      <c r="N465" s="33">
        <f t="shared" si="191"/>
        <v>0</v>
      </c>
      <c r="T465">
        <v>1</v>
      </c>
      <c r="U465" s="29">
        <f t="shared" si="192"/>
        <v>0</v>
      </c>
      <c r="V465" s="29">
        <f t="shared" si="193"/>
        <v>0</v>
      </c>
      <c r="W465" s="29">
        <f t="shared" si="194"/>
        <v>0</v>
      </c>
      <c r="X465" s="29">
        <f t="shared" si="195"/>
        <v>0</v>
      </c>
      <c r="Y465" s="29">
        <f t="shared" si="196"/>
        <v>0</v>
      </c>
      <c r="Z465" s="29">
        <f t="shared" si="197"/>
        <v>3034</v>
      </c>
    </row>
    <row r="466" spans="1:26" x14ac:dyDescent="0.3">
      <c r="A466" s="5" t="s">
        <v>3162</v>
      </c>
      <c r="B466" s="5" t="s">
        <v>3163</v>
      </c>
      <c r="C466" s="5">
        <v>8</v>
      </c>
      <c r="D466" s="6">
        <v>940</v>
      </c>
      <c r="E466" s="17">
        <f>VLOOKUP(A466,'forecast data dump'!$A$1:$H$3450,4,FALSE)</f>
        <v>44400</v>
      </c>
      <c r="F466" s="17">
        <f>VLOOKUP(A466,'forecast data dump'!$A$1:$H$3450,5,FALSE)</f>
        <v>44413</v>
      </c>
      <c r="G466" s="42">
        <f>VLOOKUP(A466,'forecast data dump'!$A$1:$H$3450,8,FALSE)</f>
        <v>0</v>
      </c>
      <c r="H466" s="5" t="s">
        <v>3745</v>
      </c>
      <c r="I466" s="39">
        <f t="shared" si="188"/>
        <v>8</v>
      </c>
      <c r="J466" s="5"/>
      <c r="K466" s="5"/>
      <c r="L466" s="33">
        <f t="shared" si="189"/>
        <v>940</v>
      </c>
      <c r="M466" s="33">
        <f t="shared" si="190"/>
        <v>940</v>
      </c>
      <c r="N466" s="33">
        <f t="shared" si="191"/>
        <v>0</v>
      </c>
      <c r="T466">
        <v>1</v>
      </c>
      <c r="U466" s="29">
        <f t="shared" si="192"/>
        <v>0</v>
      </c>
      <c r="V466" s="29">
        <f t="shared" si="193"/>
        <v>0</v>
      </c>
      <c r="W466" s="29">
        <f t="shared" si="194"/>
        <v>0</v>
      </c>
      <c r="X466" s="29">
        <f t="shared" si="195"/>
        <v>0</v>
      </c>
      <c r="Y466" s="29">
        <f t="shared" si="196"/>
        <v>0</v>
      </c>
      <c r="Z466" s="29">
        <f t="shared" si="197"/>
        <v>940</v>
      </c>
    </row>
    <row r="467" spans="1:26" x14ac:dyDescent="0.3">
      <c r="A467" s="5" t="s">
        <v>3162</v>
      </c>
      <c r="B467" s="5" t="s">
        <v>3163</v>
      </c>
      <c r="C467" s="5">
        <v>8</v>
      </c>
      <c r="D467" s="6">
        <v>940</v>
      </c>
      <c r="E467" s="17">
        <f>VLOOKUP(A467,'forecast data dump'!$A$1:$H$3450,4,FALSE)</f>
        <v>44400</v>
      </c>
      <c r="F467" s="17">
        <f>VLOOKUP(A467,'forecast data dump'!$A$1:$H$3450,5,FALSE)</f>
        <v>44413</v>
      </c>
      <c r="G467" s="42">
        <f>VLOOKUP(A467,'forecast data dump'!$A$1:$H$3450,8,FALSE)</f>
        <v>0</v>
      </c>
      <c r="H467" s="5" t="s">
        <v>3741</v>
      </c>
      <c r="I467" s="39">
        <f t="shared" si="188"/>
        <v>8</v>
      </c>
      <c r="J467" s="5"/>
      <c r="K467" s="5"/>
      <c r="L467" s="33">
        <f t="shared" si="189"/>
        <v>940</v>
      </c>
      <c r="M467" s="33">
        <f t="shared" si="190"/>
        <v>940</v>
      </c>
      <c r="N467" s="33">
        <f t="shared" si="191"/>
        <v>0</v>
      </c>
      <c r="T467">
        <v>1</v>
      </c>
      <c r="U467" s="29">
        <f t="shared" si="192"/>
        <v>0</v>
      </c>
      <c r="V467" s="29">
        <f t="shared" si="193"/>
        <v>0</v>
      </c>
      <c r="W467" s="29">
        <f t="shared" si="194"/>
        <v>0</v>
      </c>
      <c r="X467" s="29">
        <f t="shared" si="195"/>
        <v>0</v>
      </c>
      <c r="Y467" s="29">
        <f t="shared" si="196"/>
        <v>0</v>
      </c>
      <c r="Z467" s="29">
        <f t="shared" si="197"/>
        <v>940</v>
      </c>
    </row>
    <row r="468" spans="1:26" x14ac:dyDescent="0.3">
      <c r="A468" s="5" t="s">
        <v>3164</v>
      </c>
      <c r="B468" s="5" t="s">
        <v>3165</v>
      </c>
      <c r="C468" s="5">
        <v>32</v>
      </c>
      <c r="D468" s="6">
        <v>4854</v>
      </c>
      <c r="E468" s="17">
        <f>VLOOKUP(A468,'forecast data dump'!$A$1:$H$3450,4,FALSE)</f>
        <v>44414</v>
      </c>
      <c r="F468" s="17">
        <f>VLOOKUP(A468,'forecast data dump'!$A$1:$H$3450,5,FALSE)</f>
        <v>44546</v>
      </c>
      <c r="G468" s="42">
        <f>VLOOKUP(A468,'forecast data dump'!$A$1:$H$3450,8,FALSE)</f>
        <v>0</v>
      </c>
      <c r="H468" s="5" t="s">
        <v>3733</v>
      </c>
      <c r="I468" s="39">
        <f t="shared" si="188"/>
        <v>32</v>
      </c>
      <c r="J468" s="5"/>
      <c r="K468" s="5"/>
      <c r="L468" s="33">
        <f t="shared" si="189"/>
        <v>4854</v>
      </c>
      <c r="M468" s="33">
        <f t="shared" si="190"/>
        <v>4854</v>
      </c>
      <c r="N468" s="33">
        <f t="shared" si="191"/>
        <v>0</v>
      </c>
      <c r="T468">
        <v>1</v>
      </c>
      <c r="U468" s="29">
        <f t="shared" si="192"/>
        <v>0</v>
      </c>
      <c r="V468" s="29">
        <f t="shared" si="193"/>
        <v>0</v>
      </c>
      <c r="W468" s="29">
        <f t="shared" si="194"/>
        <v>0</v>
      </c>
      <c r="X468" s="29">
        <f t="shared" si="195"/>
        <v>0</v>
      </c>
      <c r="Y468" s="29">
        <f t="shared" si="196"/>
        <v>0</v>
      </c>
      <c r="Z468" s="29">
        <f t="shared" si="197"/>
        <v>4854</v>
      </c>
    </row>
    <row r="469" spans="1:26" x14ac:dyDescent="0.3">
      <c r="A469" s="5" t="s">
        <v>3164</v>
      </c>
      <c r="B469" s="5" t="s">
        <v>3165</v>
      </c>
      <c r="C469" s="5">
        <v>72</v>
      </c>
      <c r="D469" s="6">
        <v>8463</v>
      </c>
      <c r="E469" s="17">
        <f>VLOOKUP(A469,'forecast data dump'!$A$1:$H$3450,4,FALSE)</f>
        <v>44414</v>
      </c>
      <c r="F469" s="17">
        <f>VLOOKUP(A469,'forecast data dump'!$A$1:$H$3450,5,FALSE)</f>
        <v>44546</v>
      </c>
      <c r="G469" s="42">
        <f>VLOOKUP(A469,'forecast data dump'!$A$1:$H$3450,8,FALSE)</f>
        <v>0</v>
      </c>
      <c r="H469" s="5" t="s">
        <v>3745</v>
      </c>
      <c r="I469" s="39">
        <f t="shared" si="188"/>
        <v>72</v>
      </c>
      <c r="J469" s="5"/>
      <c r="K469" s="5"/>
      <c r="L469" s="33">
        <f t="shared" si="189"/>
        <v>8463</v>
      </c>
      <c r="M469" s="33">
        <f t="shared" si="190"/>
        <v>8463</v>
      </c>
      <c r="N469" s="33">
        <f t="shared" si="191"/>
        <v>0</v>
      </c>
      <c r="T469">
        <v>1</v>
      </c>
      <c r="U469" s="29">
        <f t="shared" si="192"/>
        <v>0</v>
      </c>
      <c r="V469" s="29">
        <f t="shared" si="193"/>
        <v>0</v>
      </c>
      <c r="W469" s="29">
        <f t="shared" si="194"/>
        <v>0</v>
      </c>
      <c r="X469" s="29">
        <f t="shared" si="195"/>
        <v>0</v>
      </c>
      <c r="Y469" s="29">
        <f t="shared" si="196"/>
        <v>0</v>
      </c>
      <c r="Z469" s="29">
        <f t="shared" si="197"/>
        <v>8463</v>
      </c>
    </row>
    <row r="470" spans="1:26" x14ac:dyDescent="0.3">
      <c r="A470" s="5" t="s">
        <v>3166</v>
      </c>
      <c r="B470" s="5" t="s">
        <v>3167</v>
      </c>
      <c r="C470" s="5">
        <v>24</v>
      </c>
      <c r="D470" s="6">
        <v>3648</v>
      </c>
      <c r="E470" s="17">
        <f>VLOOKUP(A470,'forecast data dump'!$A$1:$H$3450,4,FALSE)</f>
        <v>44547</v>
      </c>
      <c r="F470" s="17">
        <f>VLOOKUP(A470,'forecast data dump'!$A$1:$H$3450,5,FALSE)</f>
        <v>44593</v>
      </c>
      <c r="G470" s="42">
        <f>VLOOKUP(A470,'forecast data dump'!$A$1:$H$3450,8,FALSE)</f>
        <v>0</v>
      </c>
      <c r="H470" s="5" t="s">
        <v>3733</v>
      </c>
      <c r="I470" s="39">
        <f t="shared" si="188"/>
        <v>24</v>
      </c>
      <c r="J470" s="5"/>
      <c r="K470" s="5"/>
      <c r="L470" s="33">
        <f t="shared" si="189"/>
        <v>3648</v>
      </c>
      <c r="M470" s="33">
        <f t="shared" si="190"/>
        <v>3648</v>
      </c>
      <c r="N470" s="33">
        <f t="shared" si="191"/>
        <v>0</v>
      </c>
      <c r="T470">
        <v>1</v>
      </c>
      <c r="U470" s="29">
        <f t="shared" si="192"/>
        <v>0</v>
      </c>
      <c r="V470" s="29">
        <f t="shared" si="193"/>
        <v>0</v>
      </c>
      <c r="W470" s="29">
        <f t="shared" si="194"/>
        <v>0</v>
      </c>
      <c r="X470" s="29">
        <f t="shared" si="195"/>
        <v>0</v>
      </c>
      <c r="Y470" s="29">
        <f t="shared" si="196"/>
        <v>0</v>
      </c>
      <c r="Z470" s="29">
        <f t="shared" si="197"/>
        <v>3648</v>
      </c>
    </row>
    <row r="471" spans="1:26" x14ac:dyDescent="0.3">
      <c r="A471" s="5" t="s">
        <v>3166</v>
      </c>
      <c r="B471" s="5" t="s">
        <v>3167</v>
      </c>
      <c r="C471" s="5">
        <v>24</v>
      </c>
      <c r="D471" s="6">
        <v>2827</v>
      </c>
      <c r="E471" s="17">
        <f>VLOOKUP(A471,'forecast data dump'!$A$1:$H$3450,4,FALSE)</f>
        <v>44547</v>
      </c>
      <c r="F471" s="17">
        <f>VLOOKUP(A471,'forecast data dump'!$A$1:$H$3450,5,FALSE)</f>
        <v>44593</v>
      </c>
      <c r="G471" s="42">
        <f>VLOOKUP(A471,'forecast data dump'!$A$1:$H$3450,8,FALSE)</f>
        <v>0</v>
      </c>
      <c r="H471" s="5" t="s">
        <v>3745</v>
      </c>
      <c r="I471" s="39">
        <f t="shared" si="188"/>
        <v>24</v>
      </c>
      <c r="J471" s="5"/>
      <c r="K471" s="5"/>
      <c r="L471" s="33">
        <f t="shared" si="189"/>
        <v>2827</v>
      </c>
      <c r="M471" s="33">
        <f t="shared" si="190"/>
        <v>2827</v>
      </c>
      <c r="N471" s="33">
        <f t="shared" si="191"/>
        <v>0</v>
      </c>
      <c r="T471">
        <v>1</v>
      </c>
      <c r="U471" s="29">
        <f t="shared" si="192"/>
        <v>0</v>
      </c>
      <c r="V471" s="29">
        <f t="shared" si="193"/>
        <v>0</v>
      </c>
      <c r="W471" s="29">
        <f t="shared" si="194"/>
        <v>0</v>
      </c>
      <c r="X471" s="29">
        <f t="shared" si="195"/>
        <v>0</v>
      </c>
      <c r="Y471" s="29">
        <f t="shared" si="196"/>
        <v>0</v>
      </c>
      <c r="Z471" s="29">
        <f t="shared" si="197"/>
        <v>2827</v>
      </c>
    </row>
    <row r="472" spans="1:26" x14ac:dyDescent="0.3">
      <c r="A472" s="5" t="s">
        <v>3168</v>
      </c>
      <c r="B472" s="5" t="s">
        <v>3169</v>
      </c>
      <c r="C472" s="5">
        <v>96</v>
      </c>
      <c r="D472" s="6">
        <v>14998</v>
      </c>
      <c r="E472" s="17">
        <f>VLOOKUP(A472,'forecast data dump'!$A$1:$H$3450,4,FALSE)</f>
        <v>44594</v>
      </c>
      <c r="F472" s="17">
        <f>VLOOKUP(A472,'forecast data dump'!$A$1:$H$3450,5,FALSE)</f>
        <v>44764</v>
      </c>
      <c r="G472" s="42">
        <f>VLOOKUP(A472,'forecast data dump'!$A$1:$H$3450,8,FALSE)</f>
        <v>0</v>
      </c>
      <c r="H472" s="5" t="s">
        <v>3733</v>
      </c>
      <c r="I472" s="39">
        <f t="shared" si="188"/>
        <v>96</v>
      </c>
      <c r="J472" s="5"/>
      <c r="K472" s="5"/>
      <c r="L472" s="33">
        <f t="shared" si="189"/>
        <v>14998</v>
      </c>
      <c r="M472" s="33">
        <f t="shared" si="190"/>
        <v>14998</v>
      </c>
      <c r="N472" s="33">
        <f t="shared" si="191"/>
        <v>0</v>
      </c>
      <c r="T472">
        <v>1</v>
      </c>
      <c r="U472" s="29">
        <f t="shared" si="192"/>
        <v>0</v>
      </c>
      <c r="V472" s="29">
        <f t="shared" si="193"/>
        <v>0</v>
      </c>
      <c r="W472" s="29">
        <f t="shared" si="194"/>
        <v>0</v>
      </c>
      <c r="X472" s="29">
        <f t="shared" si="195"/>
        <v>0</v>
      </c>
      <c r="Y472" s="29">
        <f t="shared" si="196"/>
        <v>0</v>
      </c>
      <c r="Z472" s="29">
        <f t="shared" si="197"/>
        <v>14998</v>
      </c>
    </row>
    <row r="473" spans="1:26" x14ac:dyDescent="0.3">
      <c r="A473" s="5" t="s">
        <v>3168</v>
      </c>
      <c r="B473" s="5" t="s">
        <v>3169</v>
      </c>
      <c r="C473" s="5">
        <v>96</v>
      </c>
      <c r="D473" s="6">
        <v>11623</v>
      </c>
      <c r="E473" s="17">
        <f>VLOOKUP(A473,'forecast data dump'!$A$1:$H$3450,4,FALSE)</f>
        <v>44594</v>
      </c>
      <c r="F473" s="17">
        <f>VLOOKUP(A473,'forecast data dump'!$A$1:$H$3450,5,FALSE)</f>
        <v>44764</v>
      </c>
      <c r="G473" s="42">
        <f>VLOOKUP(A473,'forecast data dump'!$A$1:$H$3450,8,FALSE)</f>
        <v>0</v>
      </c>
      <c r="H473" s="5" t="s">
        <v>3745</v>
      </c>
      <c r="I473" s="39">
        <f t="shared" si="188"/>
        <v>96</v>
      </c>
      <c r="J473" s="5"/>
      <c r="K473" s="5"/>
      <c r="L473" s="33">
        <f t="shared" si="189"/>
        <v>11623</v>
      </c>
      <c r="M473" s="33">
        <f t="shared" si="190"/>
        <v>11623</v>
      </c>
      <c r="N473" s="33">
        <f t="shared" si="191"/>
        <v>0</v>
      </c>
      <c r="T473">
        <v>1</v>
      </c>
      <c r="U473" s="29">
        <f t="shared" si="192"/>
        <v>0</v>
      </c>
      <c r="V473" s="29">
        <f t="shared" si="193"/>
        <v>0</v>
      </c>
      <c r="W473" s="29">
        <f t="shared" si="194"/>
        <v>0</v>
      </c>
      <c r="X473" s="29">
        <f t="shared" si="195"/>
        <v>0</v>
      </c>
      <c r="Y473" s="29">
        <f t="shared" si="196"/>
        <v>0</v>
      </c>
      <c r="Z473" s="29">
        <f t="shared" si="197"/>
        <v>11623</v>
      </c>
    </row>
    <row r="474" spans="1:26" x14ac:dyDescent="0.3">
      <c r="A474" s="5" t="s">
        <v>3170</v>
      </c>
      <c r="B474" s="5" t="s">
        <v>3171</v>
      </c>
      <c r="C474" s="5">
        <v>54000</v>
      </c>
      <c r="D474" s="6">
        <v>63930</v>
      </c>
      <c r="E474" s="17">
        <f>VLOOKUP(A474,'forecast data dump'!$A$1:$H$3450,4,FALSE)</f>
        <v>44594</v>
      </c>
      <c r="F474" s="17">
        <f>VLOOKUP(A474,'forecast data dump'!$A$1:$H$3450,5,FALSE)</f>
        <v>44764</v>
      </c>
      <c r="G474" s="42">
        <f>VLOOKUP(A474,'forecast data dump'!$A$1:$H$3450,8,FALSE)</f>
        <v>0</v>
      </c>
      <c r="H474" s="5" t="s">
        <v>3762</v>
      </c>
      <c r="I474" s="39">
        <f t="shared" si="188"/>
        <v>54000</v>
      </c>
      <c r="J474" s="5"/>
      <c r="K474" s="5"/>
      <c r="L474" s="33">
        <f t="shared" si="189"/>
        <v>63930</v>
      </c>
      <c r="M474" s="33">
        <f t="shared" si="190"/>
        <v>63930</v>
      </c>
      <c r="N474" s="33">
        <f t="shared" si="191"/>
        <v>0</v>
      </c>
      <c r="Q474">
        <v>1</v>
      </c>
      <c r="U474" s="29">
        <f t="shared" si="192"/>
        <v>0</v>
      </c>
      <c r="V474" s="29">
        <f t="shared" si="193"/>
        <v>0</v>
      </c>
      <c r="W474" s="29">
        <f t="shared" si="194"/>
        <v>63930</v>
      </c>
      <c r="X474" s="29">
        <f t="shared" si="195"/>
        <v>0</v>
      </c>
      <c r="Y474" s="29">
        <f t="shared" si="196"/>
        <v>0</v>
      </c>
      <c r="Z474" s="29">
        <f t="shared" si="197"/>
        <v>0</v>
      </c>
    </row>
    <row r="475" spans="1:26" x14ac:dyDescent="0.3">
      <c r="A475" s="5" t="s">
        <v>3172</v>
      </c>
      <c r="B475" s="5" t="s">
        <v>3173</v>
      </c>
      <c r="C475" s="5">
        <v>16</v>
      </c>
      <c r="D475" s="6">
        <v>2500</v>
      </c>
      <c r="E475" s="17">
        <f>VLOOKUP(A475,'forecast data dump'!$A$1:$H$3450,4,FALSE)</f>
        <v>44767</v>
      </c>
      <c r="F475" s="17">
        <f>VLOOKUP(A475,'forecast data dump'!$A$1:$H$3450,5,FALSE)</f>
        <v>44792</v>
      </c>
      <c r="G475" s="42">
        <f>VLOOKUP(A475,'forecast data dump'!$A$1:$H$3450,8,FALSE)</f>
        <v>0</v>
      </c>
      <c r="H475" s="5" t="s">
        <v>3733</v>
      </c>
      <c r="I475" s="39">
        <f t="shared" si="188"/>
        <v>16</v>
      </c>
      <c r="J475" s="5"/>
      <c r="K475" s="5"/>
      <c r="L475" s="33">
        <f t="shared" si="189"/>
        <v>2500</v>
      </c>
      <c r="M475" s="33">
        <f t="shared" si="190"/>
        <v>2500</v>
      </c>
      <c r="N475" s="33">
        <f t="shared" si="191"/>
        <v>0</v>
      </c>
      <c r="T475">
        <v>1</v>
      </c>
      <c r="U475" s="29">
        <f t="shared" si="192"/>
        <v>0</v>
      </c>
      <c r="V475" s="29">
        <f t="shared" si="193"/>
        <v>0</v>
      </c>
      <c r="W475" s="29">
        <f t="shared" si="194"/>
        <v>0</v>
      </c>
      <c r="X475" s="29">
        <f t="shared" si="195"/>
        <v>0</v>
      </c>
      <c r="Y475" s="29">
        <f t="shared" si="196"/>
        <v>0</v>
      </c>
      <c r="Z475" s="29">
        <f t="shared" si="197"/>
        <v>2500</v>
      </c>
    </row>
    <row r="476" spans="1:26" x14ac:dyDescent="0.3">
      <c r="A476" s="5" t="s">
        <v>3172</v>
      </c>
      <c r="B476" s="5" t="s">
        <v>3173</v>
      </c>
      <c r="C476" s="5">
        <v>16</v>
      </c>
      <c r="D476" s="6">
        <v>1937</v>
      </c>
      <c r="E476" s="17">
        <f>VLOOKUP(A476,'forecast data dump'!$A$1:$H$3450,4,FALSE)</f>
        <v>44767</v>
      </c>
      <c r="F476" s="17">
        <f>VLOOKUP(A476,'forecast data dump'!$A$1:$H$3450,5,FALSE)</f>
        <v>44792</v>
      </c>
      <c r="G476" s="42">
        <f>VLOOKUP(A476,'forecast data dump'!$A$1:$H$3450,8,FALSE)</f>
        <v>0</v>
      </c>
      <c r="H476" s="5" t="s">
        <v>3745</v>
      </c>
      <c r="I476" s="39">
        <f t="shared" si="188"/>
        <v>16</v>
      </c>
      <c r="J476" s="5"/>
      <c r="K476" s="5"/>
      <c r="L476" s="33">
        <f t="shared" si="189"/>
        <v>1937</v>
      </c>
      <c r="M476" s="33">
        <f t="shared" si="190"/>
        <v>1937</v>
      </c>
      <c r="N476" s="33">
        <f t="shared" si="191"/>
        <v>0</v>
      </c>
      <c r="T476">
        <v>1</v>
      </c>
      <c r="U476" s="29">
        <f t="shared" si="192"/>
        <v>0</v>
      </c>
      <c r="V476" s="29">
        <f t="shared" si="193"/>
        <v>0</v>
      </c>
      <c r="W476" s="29">
        <f t="shared" si="194"/>
        <v>0</v>
      </c>
      <c r="X476" s="29">
        <f t="shared" si="195"/>
        <v>0</v>
      </c>
      <c r="Y476" s="29">
        <f t="shared" si="196"/>
        <v>0</v>
      </c>
      <c r="Z476" s="29">
        <f t="shared" si="197"/>
        <v>1937</v>
      </c>
    </row>
    <row r="477" spans="1:26" x14ac:dyDescent="0.3">
      <c r="A477" s="5" t="s">
        <v>3172</v>
      </c>
      <c r="B477" s="5" t="s">
        <v>3173</v>
      </c>
      <c r="C477" s="5">
        <v>8</v>
      </c>
      <c r="D477" s="6">
        <v>969</v>
      </c>
      <c r="E477" s="17">
        <f>VLOOKUP(A477,'forecast data dump'!$A$1:$H$3450,4,FALSE)</f>
        <v>44767</v>
      </c>
      <c r="F477" s="17">
        <f>VLOOKUP(A477,'forecast data dump'!$A$1:$H$3450,5,FALSE)</f>
        <v>44792</v>
      </c>
      <c r="G477" s="42">
        <f>VLOOKUP(A477,'forecast data dump'!$A$1:$H$3450,8,FALSE)</f>
        <v>0</v>
      </c>
      <c r="H477" s="5" t="s">
        <v>3741</v>
      </c>
      <c r="I477" s="39">
        <f t="shared" si="188"/>
        <v>8</v>
      </c>
      <c r="J477" s="5"/>
      <c r="K477" s="5"/>
      <c r="L477" s="33">
        <f t="shared" si="189"/>
        <v>969</v>
      </c>
      <c r="M477" s="33">
        <f t="shared" si="190"/>
        <v>969</v>
      </c>
      <c r="N477" s="33">
        <f t="shared" si="191"/>
        <v>0</v>
      </c>
      <c r="T477">
        <v>1</v>
      </c>
      <c r="U477" s="29">
        <f t="shared" si="192"/>
        <v>0</v>
      </c>
      <c r="V477" s="29">
        <f t="shared" si="193"/>
        <v>0</v>
      </c>
      <c r="W477" s="29">
        <f t="shared" si="194"/>
        <v>0</v>
      </c>
      <c r="X477" s="29">
        <f t="shared" si="195"/>
        <v>0</v>
      </c>
      <c r="Y477" s="29">
        <f t="shared" si="196"/>
        <v>0</v>
      </c>
      <c r="Z477" s="29">
        <f t="shared" si="197"/>
        <v>969</v>
      </c>
    </row>
    <row r="478" spans="1:26" x14ac:dyDescent="0.3">
      <c r="A478" s="5" t="s">
        <v>3174</v>
      </c>
      <c r="B478" s="5" t="s">
        <v>3175</v>
      </c>
      <c r="C478" s="5">
        <v>8</v>
      </c>
      <c r="D478" s="6">
        <v>1213</v>
      </c>
      <c r="E478" s="17" t="str">
        <f>VLOOKUP(A478,'forecast data dump'!$A$1:$H$3450,4,FALSE)</f>
        <v>15-Feb-21 A</v>
      </c>
      <c r="F478" s="17">
        <f>VLOOKUP(A478,'forecast data dump'!$A$1:$H$3450,5,FALSE)</f>
        <v>44396</v>
      </c>
      <c r="G478" s="42">
        <f>VLOOKUP(A478,'forecast data dump'!$A$1:$H$3450,8,FALSE)</f>
        <v>0.3</v>
      </c>
      <c r="H478" s="5" t="s">
        <v>3733</v>
      </c>
      <c r="I478" s="39">
        <f t="shared" si="188"/>
        <v>5.6</v>
      </c>
      <c r="J478" s="5"/>
      <c r="K478" s="5"/>
      <c r="L478" s="33">
        <f t="shared" si="189"/>
        <v>849.09999999999991</v>
      </c>
      <c r="M478" s="33">
        <f t="shared" si="190"/>
        <v>849.09999999999991</v>
      </c>
      <c r="N478" s="33">
        <f t="shared" si="191"/>
        <v>0</v>
      </c>
      <c r="R478">
        <v>1</v>
      </c>
      <c r="U478" s="29">
        <f t="shared" si="192"/>
        <v>0</v>
      </c>
      <c r="V478" s="29">
        <f t="shared" si="193"/>
        <v>0</v>
      </c>
      <c r="W478" s="29">
        <f t="shared" si="194"/>
        <v>0</v>
      </c>
      <c r="X478" s="29">
        <f t="shared" si="195"/>
        <v>849.09999999999991</v>
      </c>
      <c r="Y478" s="29">
        <f t="shared" si="196"/>
        <v>0</v>
      </c>
      <c r="Z478" s="29">
        <f t="shared" si="197"/>
        <v>0</v>
      </c>
    </row>
    <row r="479" spans="1:26" x14ac:dyDescent="0.3">
      <c r="A479" s="5" t="s">
        <v>3174</v>
      </c>
      <c r="B479" s="5" t="s">
        <v>3175</v>
      </c>
      <c r="C479" s="5">
        <v>16</v>
      </c>
      <c r="D479" s="6">
        <v>1881</v>
      </c>
      <c r="E479" s="17" t="str">
        <f>VLOOKUP(A479,'forecast data dump'!$A$1:$H$3450,4,FALSE)</f>
        <v>15-Feb-21 A</v>
      </c>
      <c r="F479" s="17">
        <f>VLOOKUP(A479,'forecast data dump'!$A$1:$H$3450,5,FALSE)</f>
        <v>44396</v>
      </c>
      <c r="G479" s="42">
        <f>VLOOKUP(A479,'forecast data dump'!$A$1:$H$3450,8,FALSE)</f>
        <v>0.3</v>
      </c>
      <c r="H479" s="5" t="s">
        <v>3745</v>
      </c>
      <c r="I479" s="39">
        <f t="shared" si="188"/>
        <v>11.2</v>
      </c>
      <c r="J479" s="5"/>
      <c r="K479" s="5"/>
      <c r="L479" s="33">
        <f t="shared" si="189"/>
        <v>1316.6999999999998</v>
      </c>
      <c r="M479" s="33">
        <f t="shared" si="190"/>
        <v>1316.6999999999998</v>
      </c>
      <c r="N479" s="33">
        <f t="shared" si="191"/>
        <v>0</v>
      </c>
      <c r="R479">
        <v>1</v>
      </c>
      <c r="U479" s="29">
        <f t="shared" si="192"/>
        <v>0</v>
      </c>
      <c r="V479" s="29">
        <f t="shared" si="193"/>
        <v>0</v>
      </c>
      <c r="W479" s="29">
        <f t="shared" si="194"/>
        <v>0</v>
      </c>
      <c r="X479" s="29">
        <f t="shared" si="195"/>
        <v>1316.6999999999998</v>
      </c>
      <c r="Y479" s="29">
        <f t="shared" si="196"/>
        <v>0</v>
      </c>
      <c r="Z479" s="29">
        <f t="shared" si="197"/>
        <v>0</v>
      </c>
    </row>
    <row r="480" spans="1:26" x14ac:dyDescent="0.3">
      <c r="A480" s="5" t="s">
        <v>3176</v>
      </c>
      <c r="B480" s="5" t="s">
        <v>3177</v>
      </c>
      <c r="C480" s="5">
        <v>16</v>
      </c>
      <c r="D480" s="6">
        <v>2427</v>
      </c>
      <c r="E480" s="17" t="str">
        <f>VLOOKUP(A480,'forecast data dump'!$A$1:$H$3450,4,FALSE)</f>
        <v>01-Jul-21*</v>
      </c>
      <c r="F480" s="17">
        <f>VLOOKUP(A480,'forecast data dump'!$A$1:$H$3450,5,FALSE)</f>
        <v>44392</v>
      </c>
      <c r="G480" s="42">
        <f>VLOOKUP(A480,'forecast data dump'!$A$1:$H$3450,8,FALSE)</f>
        <v>0</v>
      </c>
      <c r="H480" s="5" t="s">
        <v>3744</v>
      </c>
      <c r="I480" s="39">
        <f t="shared" ref="I480" si="198">C480*(1-G480)</f>
        <v>16</v>
      </c>
      <c r="J480" s="5"/>
      <c r="K480" s="5"/>
      <c r="L480" s="33">
        <f t="shared" ref="L480" si="199">D480*(1-G480)</f>
        <v>2427</v>
      </c>
      <c r="M480" s="33">
        <f t="shared" ref="M480" si="200">IF(J480="",L480,(D480/C480)*J480)</f>
        <v>2427</v>
      </c>
      <c r="N480" s="33">
        <f t="shared" ref="N480" si="201">L480-M480</f>
        <v>0</v>
      </c>
      <c r="T480">
        <v>1</v>
      </c>
      <c r="U480" s="29">
        <f t="shared" si="192"/>
        <v>0</v>
      </c>
      <c r="V480" s="29">
        <f t="shared" si="193"/>
        <v>0</v>
      </c>
      <c r="W480" s="29">
        <f t="shared" si="194"/>
        <v>0</v>
      </c>
      <c r="X480" s="29">
        <f t="shared" si="195"/>
        <v>0</v>
      </c>
      <c r="Y480" s="29">
        <f t="shared" si="196"/>
        <v>0</v>
      </c>
      <c r="Z480" s="29">
        <f t="shared" si="197"/>
        <v>2427</v>
      </c>
    </row>
    <row r="481" spans="1:26" x14ac:dyDescent="0.3">
      <c r="A481" s="3" t="s">
        <v>7881</v>
      </c>
      <c r="B481" s="3"/>
      <c r="C481" s="3"/>
      <c r="D481" s="4"/>
      <c r="E481" s="15"/>
      <c r="F481" s="15"/>
      <c r="G481" s="41"/>
      <c r="H481" s="3"/>
      <c r="I481" s="38"/>
      <c r="J481" s="3"/>
      <c r="K481" s="3"/>
      <c r="L481" s="32"/>
      <c r="M481" s="32"/>
      <c r="N481" s="32"/>
      <c r="U481" s="29"/>
      <c r="V481" s="29"/>
      <c r="W481" s="29"/>
      <c r="X481" s="29"/>
      <c r="Y481" s="29"/>
      <c r="Z481" s="29"/>
    </row>
    <row r="482" spans="1:26" x14ac:dyDescent="0.3">
      <c r="A482" s="5" t="s">
        <v>2918</v>
      </c>
      <c r="B482" s="5" t="s">
        <v>2919</v>
      </c>
      <c r="C482" s="5">
        <v>12</v>
      </c>
      <c r="D482" s="6">
        <v>1820</v>
      </c>
      <c r="E482" s="17">
        <f>VLOOKUP(A482,'forecast data dump'!$A$1:$H$3450,4,FALSE)</f>
        <v>44410</v>
      </c>
      <c r="F482" s="17">
        <f>VLOOKUP(A482,'forecast data dump'!$A$1:$H$3450,5,FALSE)</f>
        <v>44442</v>
      </c>
      <c r="G482" s="42">
        <v>0.2</v>
      </c>
      <c r="H482" s="5" t="s">
        <v>3763</v>
      </c>
      <c r="I482" s="39">
        <f t="shared" ref="I482:I500" si="202">C482*(1-G482)</f>
        <v>9.6000000000000014</v>
      </c>
      <c r="J482" s="5"/>
      <c r="K482" s="5"/>
      <c r="L482" s="33">
        <f t="shared" ref="L482:L500" si="203">D482*(1-G482)</f>
        <v>1456</v>
      </c>
      <c r="M482" s="33">
        <f t="shared" ref="M482:M500" si="204">IF(J482="",L482,(D482/C482)*J482)</f>
        <v>1456</v>
      </c>
      <c r="N482" s="33">
        <f t="shared" ref="N482:N500" si="205">L482-M482</f>
        <v>0</v>
      </c>
      <c r="T482">
        <v>1</v>
      </c>
      <c r="U482" s="29">
        <f t="shared" si="192"/>
        <v>0</v>
      </c>
      <c r="V482" s="29">
        <f t="shared" si="193"/>
        <v>0</v>
      </c>
      <c r="W482" s="29">
        <f t="shared" si="194"/>
        <v>0</v>
      </c>
      <c r="X482" s="29">
        <f t="shared" si="195"/>
        <v>0</v>
      </c>
      <c r="Y482" s="29">
        <f t="shared" si="196"/>
        <v>0</v>
      </c>
      <c r="Z482" s="29">
        <f t="shared" si="197"/>
        <v>1456</v>
      </c>
    </row>
    <row r="483" spans="1:26" x14ac:dyDescent="0.3">
      <c r="A483" s="5" t="s">
        <v>2920</v>
      </c>
      <c r="B483" s="5" t="s">
        <v>2921</v>
      </c>
      <c r="C483" s="5">
        <v>8</v>
      </c>
      <c r="D483" s="6">
        <v>1213</v>
      </c>
      <c r="E483" s="17">
        <f>VLOOKUP(A483,'forecast data dump'!$A$1:$H$3450,4,FALSE)</f>
        <v>44446</v>
      </c>
      <c r="F483" s="17">
        <f>VLOOKUP(A483,'forecast data dump'!$A$1:$H$3450,5,FALSE)</f>
        <v>44459</v>
      </c>
      <c r="G483" s="42">
        <f>VLOOKUP(A483,'forecast data dump'!$A$1:$H$3450,8,FALSE)</f>
        <v>0</v>
      </c>
      <c r="H483" s="5" t="s">
        <v>3763</v>
      </c>
      <c r="I483" s="39">
        <f t="shared" si="202"/>
        <v>8</v>
      </c>
      <c r="J483" s="5"/>
      <c r="K483" s="5"/>
      <c r="L483" s="33">
        <f t="shared" si="203"/>
        <v>1213</v>
      </c>
      <c r="M483" s="33">
        <f t="shared" si="204"/>
        <v>1213</v>
      </c>
      <c r="N483" s="33">
        <f t="shared" si="205"/>
        <v>0</v>
      </c>
      <c r="T483">
        <v>1</v>
      </c>
      <c r="U483" s="29">
        <f t="shared" si="192"/>
        <v>0</v>
      </c>
      <c r="V483" s="29">
        <f t="shared" si="193"/>
        <v>0</v>
      </c>
      <c r="W483" s="29">
        <f t="shared" si="194"/>
        <v>0</v>
      </c>
      <c r="X483" s="29">
        <f t="shared" si="195"/>
        <v>0</v>
      </c>
      <c r="Y483" s="29">
        <f t="shared" si="196"/>
        <v>0</v>
      </c>
      <c r="Z483" s="29">
        <f t="shared" si="197"/>
        <v>1213</v>
      </c>
    </row>
    <row r="484" spans="1:26" x14ac:dyDescent="0.3">
      <c r="A484" s="5" t="s">
        <v>2922</v>
      </c>
      <c r="B484" s="5" t="s">
        <v>2923</v>
      </c>
      <c r="C484" s="5">
        <v>8</v>
      </c>
      <c r="D484" s="6">
        <v>940</v>
      </c>
      <c r="E484" s="17">
        <f>VLOOKUP(A484,'forecast data dump'!$A$1:$H$3450,4,FALSE)</f>
        <v>44460</v>
      </c>
      <c r="F484" s="17">
        <f>VLOOKUP(A484,'forecast data dump'!$A$1:$H$3450,5,FALSE)</f>
        <v>44473</v>
      </c>
      <c r="G484" s="42">
        <f>VLOOKUP(A484,'forecast data dump'!$A$1:$H$3450,8,FALSE)</f>
        <v>0</v>
      </c>
      <c r="H484" s="5" t="s">
        <v>3745</v>
      </c>
      <c r="I484" s="39">
        <f t="shared" si="202"/>
        <v>8</v>
      </c>
      <c r="J484" s="5"/>
      <c r="K484" s="5"/>
      <c r="L484" s="33">
        <f t="shared" si="203"/>
        <v>940</v>
      </c>
      <c r="M484" s="33">
        <f t="shared" si="204"/>
        <v>940</v>
      </c>
      <c r="N484" s="33">
        <f t="shared" si="205"/>
        <v>0</v>
      </c>
      <c r="T484">
        <v>1</v>
      </c>
      <c r="U484" s="29">
        <f t="shared" si="192"/>
        <v>0</v>
      </c>
      <c r="V484" s="29">
        <f t="shared" si="193"/>
        <v>0</v>
      </c>
      <c r="W484" s="29">
        <f t="shared" si="194"/>
        <v>0</v>
      </c>
      <c r="X484" s="29">
        <f t="shared" si="195"/>
        <v>0</v>
      </c>
      <c r="Y484" s="29">
        <f t="shared" si="196"/>
        <v>0</v>
      </c>
      <c r="Z484" s="29">
        <f t="shared" si="197"/>
        <v>940</v>
      </c>
    </row>
    <row r="485" spans="1:26" x14ac:dyDescent="0.3">
      <c r="A485" s="5" t="s">
        <v>2922</v>
      </c>
      <c r="B485" s="5" t="s">
        <v>2923</v>
      </c>
      <c r="C485" s="5">
        <v>16</v>
      </c>
      <c r="D485" s="6">
        <v>2427</v>
      </c>
      <c r="E485" s="17">
        <f>VLOOKUP(A485,'forecast data dump'!$A$1:$H$3450,4,FALSE)</f>
        <v>44460</v>
      </c>
      <c r="F485" s="17">
        <f>VLOOKUP(A485,'forecast data dump'!$A$1:$H$3450,5,FALSE)</f>
        <v>44473</v>
      </c>
      <c r="G485" s="42">
        <f>VLOOKUP(A485,'forecast data dump'!$A$1:$H$3450,8,FALSE)</f>
        <v>0</v>
      </c>
      <c r="H485" s="5" t="s">
        <v>3744</v>
      </c>
      <c r="I485" s="39">
        <f t="shared" si="202"/>
        <v>16</v>
      </c>
      <c r="J485" s="5"/>
      <c r="K485" s="5"/>
      <c r="L485" s="33">
        <f t="shared" si="203"/>
        <v>2427</v>
      </c>
      <c r="M485" s="33">
        <f t="shared" si="204"/>
        <v>2427</v>
      </c>
      <c r="N485" s="33">
        <f t="shared" si="205"/>
        <v>0</v>
      </c>
      <c r="T485">
        <v>1</v>
      </c>
      <c r="U485" s="29">
        <f t="shared" si="192"/>
        <v>0</v>
      </c>
      <c r="V485" s="29">
        <f t="shared" si="193"/>
        <v>0</v>
      </c>
      <c r="W485" s="29">
        <f t="shared" si="194"/>
        <v>0</v>
      </c>
      <c r="X485" s="29">
        <f t="shared" si="195"/>
        <v>0</v>
      </c>
      <c r="Y485" s="29">
        <f t="shared" si="196"/>
        <v>0</v>
      </c>
      <c r="Z485" s="29">
        <f t="shared" si="197"/>
        <v>2427</v>
      </c>
    </row>
    <row r="486" spans="1:26" x14ac:dyDescent="0.3">
      <c r="A486" s="5" t="s">
        <v>2924</v>
      </c>
      <c r="B486" s="5" t="s">
        <v>2925</v>
      </c>
      <c r="C486" s="5">
        <v>8</v>
      </c>
      <c r="D486" s="6">
        <v>940</v>
      </c>
      <c r="E486" s="17">
        <f>VLOOKUP(A486,'forecast data dump'!$A$1:$H$3450,4,FALSE)</f>
        <v>44474</v>
      </c>
      <c r="F486" s="17">
        <f>VLOOKUP(A486,'forecast data dump'!$A$1:$H$3450,5,FALSE)</f>
        <v>44488</v>
      </c>
      <c r="G486" s="42">
        <f>VLOOKUP(A486,'forecast data dump'!$A$1:$H$3450,8,FALSE)</f>
        <v>0</v>
      </c>
      <c r="H486" s="5" t="s">
        <v>3745</v>
      </c>
      <c r="I486" s="39">
        <f t="shared" si="202"/>
        <v>8</v>
      </c>
      <c r="J486" s="5"/>
      <c r="K486" s="5"/>
      <c r="L486" s="33">
        <f t="shared" si="203"/>
        <v>940</v>
      </c>
      <c r="M486" s="33">
        <f t="shared" si="204"/>
        <v>940</v>
      </c>
      <c r="N486" s="33">
        <f t="shared" si="205"/>
        <v>0</v>
      </c>
      <c r="T486">
        <v>1</v>
      </c>
      <c r="U486" s="29">
        <f t="shared" si="192"/>
        <v>0</v>
      </c>
      <c r="V486" s="29">
        <f t="shared" si="193"/>
        <v>0</v>
      </c>
      <c r="W486" s="29">
        <f t="shared" si="194"/>
        <v>0</v>
      </c>
      <c r="X486" s="29">
        <f t="shared" si="195"/>
        <v>0</v>
      </c>
      <c r="Y486" s="29">
        <f t="shared" si="196"/>
        <v>0</v>
      </c>
      <c r="Z486" s="29">
        <f t="shared" si="197"/>
        <v>940</v>
      </c>
    </row>
    <row r="487" spans="1:26" x14ac:dyDescent="0.3">
      <c r="A487" s="5" t="s">
        <v>2924</v>
      </c>
      <c r="B487" s="5" t="s">
        <v>2925</v>
      </c>
      <c r="C487" s="5">
        <v>8</v>
      </c>
      <c r="D487" s="6">
        <v>1213</v>
      </c>
      <c r="E487" s="17">
        <f>VLOOKUP(A487,'forecast data dump'!$A$1:$H$3450,4,FALSE)</f>
        <v>44474</v>
      </c>
      <c r="F487" s="17">
        <f>VLOOKUP(A487,'forecast data dump'!$A$1:$H$3450,5,FALSE)</f>
        <v>44488</v>
      </c>
      <c r="G487" s="42">
        <f>VLOOKUP(A487,'forecast data dump'!$A$1:$H$3450,8,FALSE)</f>
        <v>0</v>
      </c>
      <c r="H487" s="5" t="s">
        <v>3744</v>
      </c>
      <c r="I487" s="39">
        <f t="shared" si="202"/>
        <v>8</v>
      </c>
      <c r="J487" s="5"/>
      <c r="K487" s="5"/>
      <c r="L487" s="33">
        <f t="shared" si="203"/>
        <v>1213</v>
      </c>
      <c r="M487" s="33">
        <f t="shared" si="204"/>
        <v>1213</v>
      </c>
      <c r="N487" s="33">
        <f t="shared" si="205"/>
        <v>0</v>
      </c>
      <c r="T487">
        <v>1</v>
      </c>
      <c r="U487" s="29">
        <f t="shared" si="192"/>
        <v>0</v>
      </c>
      <c r="V487" s="29">
        <f t="shared" si="193"/>
        <v>0</v>
      </c>
      <c r="W487" s="29">
        <f t="shared" si="194"/>
        <v>0</v>
      </c>
      <c r="X487" s="29">
        <f t="shared" si="195"/>
        <v>0</v>
      </c>
      <c r="Y487" s="29">
        <f t="shared" si="196"/>
        <v>0</v>
      </c>
      <c r="Z487" s="29">
        <f t="shared" si="197"/>
        <v>1213</v>
      </c>
    </row>
    <row r="488" spans="1:26" x14ac:dyDescent="0.3">
      <c r="A488" s="5" t="s">
        <v>2926</v>
      </c>
      <c r="B488" s="5" t="s">
        <v>2927</v>
      </c>
      <c r="C488" s="5">
        <v>24</v>
      </c>
      <c r="D488" s="6">
        <v>2821</v>
      </c>
      <c r="E488" s="17">
        <f>VLOOKUP(A488,'forecast data dump'!$A$1:$H$3450,4,FALSE)</f>
        <v>44489</v>
      </c>
      <c r="F488" s="17">
        <f>VLOOKUP(A488,'forecast data dump'!$A$1:$H$3450,5,FALSE)</f>
        <v>44533</v>
      </c>
      <c r="G488" s="42">
        <f>VLOOKUP(A488,'forecast data dump'!$A$1:$H$3450,8,FALSE)</f>
        <v>0</v>
      </c>
      <c r="H488" s="5" t="s">
        <v>3745</v>
      </c>
      <c r="I488" s="39">
        <f t="shared" si="202"/>
        <v>24</v>
      </c>
      <c r="J488" s="5"/>
      <c r="K488" s="5"/>
      <c r="L488" s="33">
        <f t="shared" si="203"/>
        <v>2821</v>
      </c>
      <c r="M488" s="33">
        <f t="shared" si="204"/>
        <v>2821</v>
      </c>
      <c r="N488" s="33">
        <f t="shared" si="205"/>
        <v>0</v>
      </c>
      <c r="T488">
        <v>1</v>
      </c>
      <c r="U488" s="29">
        <f t="shared" si="192"/>
        <v>0</v>
      </c>
      <c r="V488" s="29">
        <f t="shared" si="193"/>
        <v>0</v>
      </c>
      <c r="W488" s="29">
        <f t="shared" si="194"/>
        <v>0</v>
      </c>
      <c r="X488" s="29">
        <f t="shared" si="195"/>
        <v>0</v>
      </c>
      <c r="Y488" s="29">
        <f t="shared" si="196"/>
        <v>0</v>
      </c>
      <c r="Z488" s="29">
        <f t="shared" si="197"/>
        <v>2821</v>
      </c>
    </row>
    <row r="489" spans="1:26" x14ac:dyDescent="0.3">
      <c r="A489" s="5" t="s">
        <v>2926</v>
      </c>
      <c r="B489" s="5" t="s">
        <v>2927</v>
      </c>
      <c r="C489" s="5">
        <v>24</v>
      </c>
      <c r="D489" s="6">
        <v>3640</v>
      </c>
      <c r="E489" s="17">
        <f>VLOOKUP(A489,'forecast data dump'!$A$1:$H$3450,4,FALSE)</f>
        <v>44489</v>
      </c>
      <c r="F489" s="17">
        <f>VLOOKUP(A489,'forecast data dump'!$A$1:$H$3450,5,FALSE)</f>
        <v>44533</v>
      </c>
      <c r="G489" s="42">
        <f>VLOOKUP(A489,'forecast data dump'!$A$1:$H$3450,8,FALSE)</f>
        <v>0</v>
      </c>
      <c r="H489" s="5" t="s">
        <v>3744</v>
      </c>
      <c r="I489" s="39">
        <f t="shared" si="202"/>
        <v>24</v>
      </c>
      <c r="J489" s="5"/>
      <c r="K489" s="5"/>
      <c r="L489" s="33">
        <f t="shared" si="203"/>
        <v>3640</v>
      </c>
      <c r="M489" s="33">
        <f t="shared" si="204"/>
        <v>3640</v>
      </c>
      <c r="N489" s="33">
        <f t="shared" si="205"/>
        <v>0</v>
      </c>
      <c r="T489">
        <v>1</v>
      </c>
      <c r="U489" s="29">
        <f t="shared" si="192"/>
        <v>0</v>
      </c>
      <c r="V489" s="29">
        <f t="shared" si="193"/>
        <v>0</v>
      </c>
      <c r="W489" s="29">
        <f t="shared" si="194"/>
        <v>0</v>
      </c>
      <c r="X489" s="29">
        <f t="shared" si="195"/>
        <v>0</v>
      </c>
      <c r="Y489" s="29">
        <f t="shared" si="196"/>
        <v>0</v>
      </c>
      <c r="Z489" s="29">
        <f t="shared" si="197"/>
        <v>3640</v>
      </c>
    </row>
    <row r="490" spans="1:26" x14ac:dyDescent="0.3">
      <c r="A490" s="5" t="s">
        <v>2928</v>
      </c>
      <c r="B490" s="5" t="s">
        <v>2929</v>
      </c>
      <c r="C490" s="5">
        <v>48</v>
      </c>
      <c r="D490" s="6">
        <v>5780</v>
      </c>
      <c r="E490" s="17">
        <f>VLOOKUP(A490,'forecast data dump'!$A$1:$H$3450,4,FALSE)</f>
        <v>44536</v>
      </c>
      <c r="F490" s="17">
        <f>VLOOKUP(A490,'forecast data dump'!$A$1:$H$3450,5,FALSE)</f>
        <v>44623</v>
      </c>
      <c r="G490" s="42">
        <f>VLOOKUP(A490,'forecast data dump'!$A$1:$H$3450,8,FALSE)</f>
        <v>0</v>
      </c>
      <c r="H490" s="5" t="s">
        <v>3745</v>
      </c>
      <c r="I490" s="39">
        <f t="shared" si="202"/>
        <v>48</v>
      </c>
      <c r="J490" s="5"/>
      <c r="K490" s="5"/>
      <c r="L490" s="33">
        <f t="shared" si="203"/>
        <v>5780</v>
      </c>
      <c r="M490" s="33">
        <f t="shared" si="204"/>
        <v>5780</v>
      </c>
      <c r="N490" s="33">
        <f t="shared" si="205"/>
        <v>0</v>
      </c>
      <c r="T490">
        <v>1</v>
      </c>
      <c r="U490" s="29">
        <f t="shared" si="192"/>
        <v>0</v>
      </c>
      <c r="V490" s="29">
        <f t="shared" si="193"/>
        <v>0</v>
      </c>
      <c r="W490" s="29">
        <f t="shared" si="194"/>
        <v>0</v>
      </c>
      <c r="X490" s="29">
        <f t="shared" si="195"/>
        <v>0</v>
      </c>
      <c r="Y490" s="29">
        <f t="shared" si="196"/>
        <v>0</v>
      </c>
      <c r="Z490" s="29">
        <f t="shared" si="197"/>
        <v>5780</v>
      </c>
    </row>
    <row r="491" spans="1:26" x14ac:dyDescent="0.3">
      <c r="A491" s="5" t="s">
        <v>2928</v>
      </c>
      <c r="B491" s="5" t="s">
        <v>2929</v>
      </c>
      <c r="C491" s="5">
        <v>48</v>
      </c>
      <c r="D491" s="6">
        <v>7459</v>
      </c>
      <c r="E491" s="17">
        <f>VLOOKUP(A491,'forecast data dump'!$A$1:$H$3450,4,FALSE)</f>
        <v>44536</v>
      </c>
      <c r="F491" s="17">
        <f>VLOOKUP(A491,'forecast data dump'!$A$1:$H$3450,5,FALSE)</f>
        <v>44623</v>
      </c>
      <c r="G491" s="42">
        <f>VLOOKUP(A491,'forecast data dump'!$A$1:$H$3450,8,FALSE)</f>
        <v>0</v>
      </c>
      <c r="H491" s="5" t="s">
        <v>3744</v>
      </c>
      <c r="I491" s="39">
        <f t="shared" si="202"/>
        <v>48</v>
      </c>
      <c r="J491" s="5"/>
      <c r="K491" s="5"/>
      <c r="L491" s="33">
        <f t="shared" si="203"/>
        <v>7459</v>
      </c>
      <c r="M491" s="33">
        <f t="shared" si="204"/>
        <v>7459</v>
      </c>
      <c r="N491" s="33">
        <f t="shared" si="205"/>
        <v>0</v>
      </c>
      <c r="T491">
        <v>1</v>
      </c>
      <c r="U491" s="29">
        <f t="shared" ref="U491:U554" si="206">O491*M491</f>
        <v>0</v>
      </c>
      <c r="V491" s="29">
        <f t="shared" ref="V491:V554" si="207">P491*M491</f>
        <v>0</v>
      </c>
      <c r="W491" s="29">
        <f t="shared" ref="W491:W554" si="208">Q491*M491</f>
        <v>0</v>
      </c>
      <c r="X491" s="29">
        <f t="shared" ref="X491:X554" si="209">R491*M491</f>
        <v>0</v>
      </c>
      <c r="Y491" s="29">
        <f t="shared" ref="Y491:Y554" si="210">S491*M491</f>
        <v>0</v>
      </c>
      <c r="Z491" s="29">
        <f t="shared" ref="Z491:Z554" si="211">T491*M491</f>
        <v>7459</v>
      </c>
    </row>
    <row r="492" spans="1:26" x14ac:dyDescent="0.3">
      <c r="A492" s="5" t="s">
        <v>2930</v>
      </c>
      <c r="B492" s="5" t="s">
        <v>2931</v>
      </c>
      <c r="C492" s="5">
        <v>4</v>
      </c>
      <c r="D492" s="6">
        <v>484</v>
      </c>
      <c r="E492" s="17">
        <f>VLOOKUP(A492,'forecast data dump'!$A$1:$H$3450,4,FALSE)</f>
        <v>44624</v>
      </c>
      <c r="F492" s="17">
        <f>VLOOKUP(A492,'forecast data dump'!$A$1:$H$3450,5,FALSE)</f>
        <v>44637</v>
      </c>
      <c r="G492" s="42">
        <f>VLOOKUP(A492,'forecast data dump'!$A$1:$H$3450,8,FALSE)</f>
        <v>0</v>
      </c>
      <c r="H492" s="5" t="s">
        <v>3745</v>
      </c>
      <c r="I492" s="39">
        <f t="shared" si="202"/>
        <v>4</v>
      </c>
      <c r="J492" s="5"/>
      <c r="K492" s="5"/>
      <c r="L492" s="33">
        <f t="shared" si="203"/>
        <v>484</v>
      </c>
      <c r="M492" s="33">
        <f t="shared" si="204"/>
        <v>484</v>
      </c>
      <c r="N492" s="33">
        <f t="shared" si="205"/>
        <v>0</v>
      </c>
      <c r="T492">
        <v>1</v>
      </c>
      <c r="U492" s="29">
        <f t="shared" si="206"/>
        <v>0</v>
      </c>
      <c r="V492" s="29">
        <f t="shared" si="207"/>
        <v>0</v>
      </c>
      <c r="W492" s="29">
        <f t="shared" si="208"/>
        <v>0</v>
      </c>
      <c r="X492" s="29">
        <f t="shared" si="209"/>
        <v>0</v>
      </c>
      <c r="Y492" s="29">
        <f t="shared" si="210"/>
        <v>0</v>
      </c>
      <c r="Z492" s="29">
        <f t="shared" si="211"/>
        <v>484</v>
      </c>
    </row>
    <row r="493" spans="1:26" x14ac:dyDescent="0.3">
      <c r="A493" s="5" t="s">
        <v>2930</v>
      </c>
      <c r="B493" s="5" t="s">
        <v>2931</v>
      </c>
      <c r="C493" s="5">
        <v>4</v>
      </c>
      <c r="D493" s="6">
        <v>484</v>
      </c>
      <c r="E493" s="17">
        <f>VLOOKUP(A493,'forecast data dump'!$A$1:$H$3450,4,FALSE)</f>
        <v>44624</v>
      </c>
      <c r="F493" s="17">
        <f>VLOOKUP(A493,'forecast data dump'!$A$1:$H$3450,5,FALSE)</f>
        <v>44637</v>
      </c>
      <c r="G493" s="42">
        <f>VLOOKUP(A493,'forecast data dump'!$A$1:$H$3450,8,FALSE)</f>
        <v>0</v>
      </c>
      <c r="H493" s="5" t="s">
        <v>3741</v>
      </c>
      <c r="I493" s="39">
        <f t="shared" si="202"/>
        <v>4</v>
      </c>
      <c r="J493" s="5"/>
      <c r="K493" s="5"/>
      <c r="L493" s="33">
        <f t="shared" si="203"/>
        <v>484</v>
      </c>
      <c r="M493" s="33">
        <f t="shared" si="204"/>
        <v>484</v>
      </c>
      <c r="N493" s="33">
        <f t="shared" si="205"/>
        <v>0</v>
      </c>
      <c r="T493">
        <v>1</v>
      </c>
      <c r="U493" s="29">
        <f t="shared" si="206"/>
        <v>0</v>
      </c>
      <c r="V493" s="29">
        <f t="shared" si="207"/>
        <v>0</v>
      </c>
      <c r="W493" s="29">
        <f t="shared" si="208"/>
        <v>0</v>
      </c>
      <c r="X493" s="29">
        <f t="shared" si="209"/>
        <v>0</v>
      </c>
      <c r="Y493" s="29">
        <f t="shared" si="210"/>
        <v>0</v>
      </c>
      <c r="Z493" s="29">
        <f t="shared" si="211"/>
        <v>484</v>
      </c>
    </row>
    <row r="494" spans="1:26" x14ac:dyDescent="0.3">
      <c r="A494" s="5" t="s">
        <v>2930</v>
      </c>
      <c r="B494" s="5" t="s">
        <v>2931</v>
      </c>
      <c r="C494" s="5">
        <v>8</v>
      </c>
      <c r="D494" s="6">
        <v>1250</v>
      </c>
      <c r="E494" s="17">
        <f>VLOOKUP(A494,'forecast data dump'!$A$1:$H$3450,4,FALSE)</f>
        <v>44624</v>
      </c>
      <c r="F494" s="17">
        <f>VLOOKUP(A494,'forecast data dump'!$A$1:$H$3450,5,FALSE)</f>
        <v>44637</v>
      </c>
      <c r="G494" s="42">
        <f>VLOOKUP(A494,'forecast data dump'!$A$1:$H$3450,8,FALSE)</f>
        <v>0</v>
      </c>
      <c r="H494" s="5" t="s">
        <v>3744</v>
      </c>
      <c r="I494" s="39">
        <f t="shared" si="202"/>
        <v>8</v>
      </c>
      <c r="J494" s="5"/>
      <c r="K494" s="5"/>
      <c r="L494" s="33">
        <f t="shared" si="203"/>
        <v>1250</v>
      </c>
      <c r="M494" s="33">
        <f t="shared" si="204"/>
        <v>1250</v>
      </c>
      <c r="N494" s="33">
        <f t="shared" si="205"/>
        <v>0</v>
      </c>
      <c r="T494">
        <v>1</v>
      </c>
      <c r="U494" s="29">
        <f t="shared" si="206"/>
        <v>0</v>
      </c>
      <c r="V494" s="29">
        <f t="shared" si="207"/>
        <v>0</v>
      </c>
      <c r="W494" s="29">
        <f t="shared" si="208"/>
        <v>0</v>
      </c>
      <c r="X494" s="29">
        <f t="shared" si="209"/>
        <v>0</v>
      </c>
      <c r="Y494" s="29">
        <f t="shared" si="210"/>
        <v>0</v>
      </c>
      <c r="Z494" s="29">
        <f t="shared" si="211"/>
        <v>1250</v>
      </c>
    </row>
    <row r="495" spans="1:26" x14ac:dyDescent="0.3">
      <c r="A495" s="5" t="s">
        <v>2930</v>
      </c>
      <c r="B495" s="5" t="s">
        <v>2931</v>
      </c>
      <c r="C495" s="5">
        <v>4</v>
      </c>
      <c r="D495" s="6">
        <v>484</v>
      </c>
      <c r="E495" s="17">
        <f>VLOOKUP(A495,'forecast data dump'!$A$1:$H$3450,4,FALSE)</f>
        <v>44624</v>
      </c>
      <c r="F495" s="17">
        <f>VLOOKUP(A495,'forecast data dump'!$A$1:$H$3450,5,FALSE)</f>
        <v>44637</v>
      </c>
      <c r="G495" s="42">
        <f>VLOOKUP(A495,'forecast data dump'!$A$1:$H$3450,8,FALSE)</f>
        <v>0</v>
      </c>
      <c r="H495" s="5" t="s">
        <v>3742</v>
      </c>
      <c r="I495" s="39">
        <f t="shared" si="202"/>
        <v>4</v>
      </c>
      <c r="J495" s="5"/>
      <c r="K495" s="5"/>
      <c r="L495" s="33">
        <f t="shared" si="203"/>
        <v>484</v>
      </c>
      <c r="M495" s="33">
        <f t="shared" si="204"/>
        <v>484</v>
      </c>
      <c r="N495" s="33">
        <f t="shared" si="205"/>
        <v>0</v>
      </c>
      <c r="T495">
        <v>1</v>
      </c>
      <c r="U495" s="29">
        <f t="shared" si="206"/>
        <v>0</v>
      </c>
      <c r="V495" s="29">
        <f t="shared" si="207"/>
        <v>0</v>
      </c>
      <c r="W495" s="29">
        <f t="shared" si="208"/>
        <v>0</v>
      </c>
      <c r="X495" s="29">
        <f t="shared" si="209"/>
        <v>0</v>
      </c>
      <c r="Y495" s="29">
        <f t="shared" si="210"/>
        <v>0</v>
      </c>
      <c r="Z495" s="29">
        <f t="shared" si="211"/>
        <v>484</v>
      </c>
    </row>
    <row r="496" spans="1:26" x14ac:dyDescent="0.3">
      <c r="A496" s="5" t="s">
        <v>2932</v>
      </c>
      <c r="B496" s="5" t="s">
        <v>2933</v>
      </c>
      <c r="C496" s="5">
        <v>12000</v>
      </c>
      <c r="D496" s="6">
        <v>14156</v>
      </c>
      <c r="E496" s="17">
        <f>VLOOKUP(A496,'forecast data dump'!$A$1:$H$3450,4,FALSE)</f>
        <v>44536</v>
      </c>
      <c r="F496" s="17">
        <f>VLOOKUP(A496,'forecast data dump'!$A$1:$H$3450,5,FALSE)</f>
        <v>44623</v>
      </c>
      <c r="G496" s="42">
        <f>VLOOKUP(A496,'forecast data dump'!$A$1:$H$3450,8,FALSE)</f>
        <v>0</v>
      </c>
      <c r="H496" s="5" t="s">
        <v>3762</v>
      </c>
      <c r="I496" s="39">
        <f t="shared" si="202"/>
        <v>12000</v>
      </c>
      <c r="J496" s="5"/>
      <c r="K496" s="5"/>
      <c r="L496" s="33">
        <f t="shared" si="203"/>
        <v>14156</v>
      </c>
      <c r="M496" s="33">
        <f t="shared" si="204"/>
        <v>14156</v>
      </c>
      <c r="N496" s="33">
        <f t="shared" si="205"/>
        <v>0</v>
      </c>
      <c r="Q496">
        <v>1</v>
      </c>
      <c r="U496" s="29">
        <f t="shared" si="206"/>
        <v>0</v>
      </c>
      <c r="V496" s="29">
        <f t="shared" si="207"/>
        <v>0</v>
      </c>
      <c r="W496" s="29">
        <f t="shared" si="208"/>
        <v>14156</v>
      </c>
      <c r="X496" s="29">
        <f t="shared" si="209"/>
        <v>0</v>
      </c>
      <c r="Y496" s="29">
        <f t="shared" si="210"/>
        <v>0</v>
      </c>
      <c r="Z496" s="29">
        <f t="shared" si="211"/>
        <v>0</v>
      </c>
    </row>
    <row r="497" spans="1:26" x14ac:dyDescent="0.3">
      <c r="A497" s="5" t="s">
        <v>2936</v>
      </c>
      <c r="B497" s="5" t="s">
        <v>2937</v>
      </c>
      <c r="C497" s="5">
        <v>24</v>
      </c>
      <c r="D497" s="6">
        <v>2821</v>
      </c>
      <c r="E497" s="17">
        <f>VLOOKUP(A497,'forecast data dump'!$A$1:$H$3450,4,FALSE)</f>
        <v>44410</v>
      </c>
      <c r="F497" s="17">
        <f>VLOOKUP(A497,'forecast data dump'!$A$1:$H$3450,5,FALSE)</f>
        <v>44442</v>
      </c>
      <c r="G497" s="42">
        <v>0.2</v>
      </c>
      <c r="H497" s="5" t="s">
        <v>3745</v>
      </c>
      <c r="I497" s="39">
        <f t="shared" si="202"/>
        <v>19.200000000000003</v>
      </c>
      <c r="J497" s="5"/>
      <c r="K497" s="5"/>
      <c r="L497" s="33">
        <f t="shared" si="203"/>
        <v>2256.8000000000002</v>
      </c>
      <c r="M497" s="33">
        <f t="shared" si="204"/>
        <v>2256.8000000000002</v>
      </c>
      <c r="N497" s="33">
        <f t="shared" si="205"/>
        <v>0</v>
      </c>
      <c r="T497">
        <v>1</v>
      </c>
      <c r="U497" s="29">
        <f t="shared" si="206"/>
        <v>0</v>
      </c>
      <c r="V497" s="29">
        <f t="shared" si="207"/>
        <v>0</v>
      </c>
      <c r="W497" s="29">
        <f t="shared" si="208"/>
        <v>0</v>
      </c>
      <c r="X497" s="29">
        <f t="shared" si="209"/>
        <v>0</v>
      </c>
      <c r="Y497" s="29">
        <f t="shared" si="210"/>
        <v>0</v>
      </c>
      <c r="Z497" s="29">
        <f t="shared" si="211"/>
        <v>2256.8000000000002</v>
      </c>
    </row>
    <row r="498" spans="1:26" x14ac:dyDescent="0.3">
      <c r="A498" s="5" t="s">
        <v>2936</v>
      </c>
      <c r="B498" s="5" t="s">
        <v>2937</v>
      </c>
      <c r="C498" s="5">
        <v>48</v>
      </c>
      <c r="D498" s="6">
        <v>7281</v>
      </c>
      <c r="E498" s="17">
        <f>VLOOKUP(A498,'forecast data dump'!$A$1:$H$3450,4,FALSE)</f>
        <v>44410</v>
      </c>
      <c r="F498" s="17">
        <f>VLOOKUP(A498,'forecast data dump'!$A$1:$H$3450,5,FALSE)</f>
        <v>44442</v>
      </c>
      <c r="G498" s="42">
        <v>0.2</v>
      </c>
      <c r="H498" s="5" t="s">
        <v>3744</v>
      </c>
      <c r="I498" s="39">
        <f t="shared" si="202"/>
        <v>38.400000000000006</v>
      </c>
      <c r="J498" s="5"/>
      <c r="K498" s="5"/>
      <c r="L498" s="33">
        <f t="shared" si="203"/>
        <v>5824.8</v>
      </c>
      <c r="M498" s="33">
        <f t="shared" si="204"/>
        <v>5824.8</v>
      </c>
      <c r="N498" s="33">
        <f t="shared" si="205"/>
        <v>0</v>
      </c>
      <c r="T498">
        <v>1</v>
      </c>
      <c r="U498" s="29">
        <f t="shared" si="206"/>
        <v>0</v>
      </c>
      <c r="V498" s="29">
        <f t="shared" si="207"/>
        <v>0</v>
      </c>
      <c r="W498" s="29">
        <f t="shared" si="208"/>
        <v>0</v>
      </c>
      <c r="X498" s="29">
        <f t="shared" si="209"/>
        <v>0</v>
      </c>
      <c r="Y498" s="29">
        <f t="shared" si="210"/>
        <v>0</v>
      </c>
      <c r="Z498" s="29">
        <f t="shared" si="211"/>
        <v>5824.8</v>
      </c>
    </row>
    <row r="499" spans="1:26" x14ac:dyDescent="0.3">
      <c r="A499" s="5" t="s">
        <v>2938</v>
      </c>
      <c r="B499" s="5" t="s">
        <v>2939</v>
      </c>
      <c r="C499" s="5">
        <v>8</v>
      </c>
      <c r="D499" s="6">
        <v>940</v>
      </c>
      <c r="E499" s="17">
        <f>VLOOKUP(A499,'forecast data dump'!$A$1:$H$3450,4,FALSE)</f>
        <v>44446</v>
      </c>
      <c r="F499" s="17">
        <f>VLOOKUP(A499,'forecast data dump'!$A$1:$H$3450,5,FALSE)</f>
        <v>44459</v>
      </c>
      <c r="G499" s="42">
        <f>VLOOKUP(A499,'forecast data dump'!$A$1:$H$3450,8,FALSE)</f>
        <v>0</v>
      </c>
      <c r="H499" s="5" t="s">
        <v>3745</v>
      </c>
      <c r="I499" s="39">
        <f t="shared" si="202"/>
        <v>8</v>
      </c>
      <c r="J499" s="5"/>
      <c r="K499" s="5"/>
      <c r="L499" s="33">
        <f t="shared" si="203"/>
        <v>940</v>
      </c>
      <c r="M499" s="33">
        <f t="shared" si="204"/>
        <v>940</v>
      </c>
      <c r="N499" s="33">
        <f t="shared" si="205"/>
        <v>0</v>
      </c>
      <c r="T499">
        <v>1</v>
      </c>
      <c r="U499" s="29">
        <f t="shared" si="206"/>
        <v>0</v>
      </c>
      <c r="V499" s="29">
        <f t="shared" si="207"/>
        <v>0</v>
      </c>
      <c r="W499" s="29">
        <f t="shared" si="208"/>
        <v>0</v>
      </c>
      <c r="X499" s="29">
        <f t="shared" si="209"/>
        <v>0</v>
      </c>
      <c r="Y499" s="29">
        <f t="shared" si="210"/>
        <v>0</v>
      </c>
      <c r="Z499" s="29">
        <f t="shared" si="211"/>
        <v>940</v>
      </c>
    </row>
    <row r="500" spans="1:26" x14ac:dyDescent="0.3">
      <c r="A500" s="5" t="s">
        <v>2938</v>
      </c>
      <c r="B500" s="5" t="s">
        <v>2939</v>
      </c>
      <c r="C500" s="5">
        <v>16</v>
      </c>
      <c r="D500" s="6">
        <v>2427</v>
      </c>
      <c r="E500" s="17">
        <f>VLOOKUP(A500,'forecast data dump'!$A$1:$H$3450,4,FALSE)</f>
        <v>44446</v>
      </c>
      <c r="F500" s="17">
        <f>VLOOKUP(A500,'forecast data dump'!$A$1:$H$3450,5,FALSE)</f>
        <v>44459</v>
      </c>
      <c r="G500" s="42">
        <f>VLOOKUP(A500,'forecast data dump'!$A$1:$H$3450,8,FALSE)</f>
        <v>0</v>
      </c>
      <c r="H500" s="5" t="s">
        <v>3744</v>
      </c>
      <c r="I500" s="39">
        <f t="shared" si="202"/>
        <v>16</v>
      </c>
      <c r="J500" s="5"/>
      <c r="K500" s="5"/>
      <c r="L500" s="33">
        <f t="shared" si="203"/>
        <v>2427</v>
      </c>
      <c r="M500" s="33">
        <f t="shared" si="204"/>
        <v>2427</v>
      </c>
      <c r="N500" s="33">
        <f t="shared" si="205"/>
        <v>0</v>
      </c>
      <c r="T500">
        <v>1</v>
      </c>
      <c r="U500" s="29">
        <f t="shared" si="206"/>
        <v>0</v>
      </c>
      <c r="V500" s="29">
        <f t="shared" si="207"/>
        <v>0</v>
      </c>
      <c r="W500" s="29">
        <f t="shared" si="208"/>
        <v>0</v>
      </c>
      <c r="X500" s="29">
        <f t="shared" si="209"/>
        <v>0</v>
      </c>
      <c r="Y500" s="29">
        <f t="shared" si="210"/>
        <v>0</v>
      </c>
      <c r="Z500" s="29">
        <f t="shared" si="211"/>
        <v>2427</v>
      </c>
    </row>
    <row r="501" spans="1:26" x14ac:dyDescent="0.3">
      <c r="A501" s="3" t="s">
        <v>7882</v>
      </c>
      <c r="B501" s="3"/>
      <c r="C501" s="3"/>
      <c r="D501" s="4"/>
      <c r="E501" s="15"/>
      <c r="F501" s="15"/>
      <c r="G501" s="41"/>
      <c r="H501" s="3"/>
      <c r="I501" s="38"/>
      <c r="J501" s="3"/>
      <c r="K501" s="3"/>
      <c r="L501" s="32"/>
      <c r="M501" s="32"/>
      <c r="N501" s="32"/>
      <c r="U501" s="29"/>
      <c r="V501" s="29"/>
      <c r="W501" s="29"/>
      <c r="X501" s="29"/>
      <c r="Y501" s="29"/>
      <c r="Z501" s="29"/>
    </row>
    <row r="502" spans="1:26" x14ac:dyDescent="0.3">
      <c r="A502" s="5" t="s">
        <v>2942</v>
      </c>
      <c r="B502" s="5" t="s">
        <v>2943</v>
      </c>
      <c r="C502" s="5">
        <v>8</v>
      </c>
      <c r="D502" s="6">
        <v>1213</v>
      </c>
      <c r="E502" s="17" t="str">
        <f>VLOOKUP(A502,'forecast data dump'!$A$1:$H$3450,4,FALSE)</f>
        <v>01-Apr-21 A</v>
      </c>
      <c r="F502" s="17">
        <f>VLOOKUP(A502,'forecast data dump'!$A$1:$H$3450,5,FALSE)</f>
        <v>44497</v>
      </c>
      <c r="G502" s="42">
        <f>VLOOKUP(A502,'forecast data dump'!$A$1:$H$3450,8,FALSE)</f>
        <v>0.6</v>
      </c>
      <c r="H502" s="5" t="s">
        <v>3763</v>
      </c>
      <c r="I502" s="39">
        <f t="shared" ref="I502:I531" si="212">C502*(1-G502)</f>
        <v>3.2</v>
      </c>
      <c r="J502" s="5"/>
      <c r="K502" s="5"/>
      <c r="L502" s="33">
        <f t="shared" ref="L502:L531" si="213">D502*(1-G502)</f>
        <v>485.20000000000005</v>
      </c>
      <c r="M502" s="33">
        <f t="shared" ref="M502:M531" si="214">IF(J502="",L502,(D502/C502)*J502)</f>
        <v>485.20000000000005</v>
      </c>
      <c r="N502" s="33">
        <f t="shared" ref="N502:N531" si="215">L502-M502</f>
        <v>0</v>
      </c>
      <c r="R502">
        <v>1</v>
      </c>
      <c r="U502" s="29">
        <f t="shared" si="206"/>
        <v>0</v>
      </c>
      <c r="V502" s="29">
        <f t="shared" si="207"/>
        <v>0</v>
      </c>
      <c r="W502" s="29">
        <f t="shared" si="208"/>
        <v>0</v>
      </c>
      <c r="X502" s="29">
        <f t="shared" si="209"/>
        <v>485.20000000000005</v>
      </c>
      <c r="Y502" s="29">
        <f t="shared" si="210"/>
        <v>0</v>
      </c>
      <c r="Z502" s="29">
        <f t="shared" si="211"/>
        <v>0</v>
      </c>
    </row>
    <row r="503" spans="1:26" x14ac:dyDescent="0.3">
      <c r="A503" s="5" t="s">
        <v>2944</v>
      </c>
      <c r="B503" s="5" t="s">
        <v>2945</v>
      </c>
      <c r="C503" s="5">
        <v>8</v>
      </c>
      <c r="D503" s="6">
        <v>1213</v>
      </c>
      <c r="E503" s="17">
        <f>VLOOKUP(A503,'forecast data dump'!$A$1:$H$3450,4,FALSE)</f>
        <v>44498</v>
      </c>
      <c r="F503" s="17">
        <f>VLOOKUP(A503,'forecast data dump'!$A$1:$H$3450,5,FALSE)</f>
        <v>44512</v>
      </c>
      <c r="G503" s="42">
        <f>VLOOKUP(A503,'forecast data dump'!$A$1:$H$3450,8,FALSE)</f>
        <v>0</v>
      </c>
      <c r="H503" s="5" t="s">
        <v>3763</v>
      </c>
      <c r="I503" s="39">
        <f t="shared" si="212"/>
        <v>8</v>
      </c>
      <c r="J503" s="5"/>
      <c r="K503" s="5"/>
      <c r="L503" s="33">
        <f t="shared" si="213"/>
        <v>1213</v>
      </c>
      <c r="M503" s="33">
        <f t="shared" si="214"/>
        <v>1213</v>
      </c>
      <c r="N503" s="33">
        <f t="shared" si="215"/>
        <v>0</v>
      </c>
      <c r="T503">
        <v>1</v>
      </c>
      <c r="U503" s="29">
        <f t="shared" si="206"/>
        <v>0</v>
      </c>
      <c r="V503" s="29">
        <f t="shared" si="207"/>
        <v>0</v>
      </c>
      <c r="W503" s="29">
        <f t="shared" si="208"/>
        <v>0</v>
      </c>
      <c r="X503" s="29">
        <f t="shared" si="209"/>
        <v>0</v>
      </c>
      <c r="Y503" s="29">
        <f t="shared" si="210"/>
        <v>0</v>
      </c>
      <c r="Z503" s="29">
        <f t="shared" si="211"/>
        <v>1213</v>
      </c>
    </row>
    <row r="504" spans="1:26" x14ac:dyDescent="0.3">
      <c r="A504" s="5" t="s">
        <v>2946</v>
      </c>
      <c r="B504" s="5" t="s">
        <v>2947</v>
      </c>
      <c r="C504" s="5">
        <v>8</v>
      </c>
      <c r="D504" s="6">
        <v>1213</v>
      </c>
      <c r="E504" s="17">
        <f>VLOOKUP(A504,'forecast data dump'!$A$1:$H$3450,4,FALSE)</f>
        <v>44515</v>
      </c>
      <c r="F504" s="17">
        <f>VLOOKUP(A504,'forecast data dump'!$A$1:$H$3450,5,FALSE)</f>
        <v>44530</v>
      </c>
      <c r="G504" s="42">
        <f>VLOOKUP(A504,'forecast data dump'!$A$1:$H$3450,8,FALSE)</f>
        <v>0</v>
      </c>
      <c r="H504" s="5" t="s">
        <v>3733</v>
      </c>
      <c r="I504" s="39">
        <f t="shared" si="212"/>
        <v>8</v>
      </c>
      <c r="J504" s="5"/>
      <c r="K504" s="5"/>
      <c r="L504" s="33">
        <f t="shared" si="213"/>
        <v>1213</v>
      </c>
      <c r="M504" s="33">
        <f t="shared" si="214"/>
        <v>1213</v>
      </c>
      <c r="N504" s="33">
        <f t="shared" si="215"/>
        <v>0</v>
      </c>
      <c r="T504">
        <v>1</v>
      </c>
      <c r="U504" s="29">
        <f t="shared" si="206"/>
        <v>0</v>
      </c>
      <c r="V504" s="29">
        <f t="shared" si="207"/>
        <v>0</v>
      </c>
      <c r="W504" s="29">
        <f t="shared" si="208"/>
        <v>0</v>
      </c>
      <c r="X504" s="29">
        <f t="shared" si="209"/>
        <v>0</v>
      </c>
      <c r="Y504" s="29">
        <f t="shared" si="210"/>
        <v>0</v>
      </c>
      <c r="Z504" s="29">
        <f t="shared" si="211"/>
        <v>1213</v>
      </c>
    </row>
    <row r="505" spans="1:26" x14ac:dyDescent="0.3">
      <c r="A505" s="5" t="s">
        <v>2946</v>
      </c>
      <c r="B505" s="5" t="s">
        <v>2947</v>
      </c>
      <c r="C505" s="5">
        <v>8</v>
      </c>
      <c r="D505" s="6">
        <v>940</v>
      </c>
      <c r="E505" s="17">
        <f>VLOOKUP(A505,'forecast data dump'!$A$1:$H$3450,4,FALSE)</f>
        <v>44515</v>
      </c>
      <c r="F505" s="17">
        <f>VLOOKUP(A505,'forecast data dump'!$A$1:$H$3450,5,FALSE)</f>
        <v>44530</v>
      </c>
      <c r="G505" s="42">
        <f>VLOOKUP(A505,'forecast data dump'!$A$1:$H$3450,8,FALSE)</f>
        <v>0</v>
      </c>
      <c r="H505" s="5" t="s">
        <v>3745</v>
      </c>
      <c r="I505" s="39">
        <f t="shared" si="212"/>
        <v>8</v>
      </c>
      <c r="J505" s="5"/>
      <c r="K505" s="5"/>
      <c r="L505" s="33">
        <f t="shared" si="213"/>
        <v>940</v>
      </c>
      <c r="M505" s="33">
        <f t="shared" si="214"/>
        <v>940</v>
      </c>
      <c r="N505" s="33">
        <f t="shared" si="215"/>
        <v>0</v>
      </c>
      <c r="T505">
        <v>1</v>
      </c>
      <c r="U505" s="29">
        <f t="shared" si="206"/>
        <v>0</v>
      </c>
      <c r="V505" s="29">
        <f t="shared" si="207"/>
        <v>0</v>
      </c>
      <c r="W505" s="29">
        <f t="shared" si="208"/>
        <v>0</v>
      </c>
      <c r="X505" s="29">
        <f t="shared" si="209"/>
        <v>0</v>
      </c>
      <c r="Y505" s="29">
        <f t="shared" si="210"/>
        <v>0</v>
      </c>
      <c r="Z505" s="29">
        <f t="shared" si="211"/>
        <v>940</v>
      </c>
    </row>
    <row r="506" spans="1:26" x14ac:dyDescent="0.3">
      <c r="A506" s="5" t="s">
        <v>2948</v>
      </c>
      <c r="B506" s="5" t="s">
        <v>2949</v>
      </c>
      <c r="C506" s="5">
        <v>2</v>
      </c>
      <c r="D506" s="6">
        <v>303</v>
      </c>
      <c r="E506" s="17">
        <f>VLOOKUP(A506,'forecast data dump'!$A$1:$H$3450,4,FALSE)</f>
        <v>44531</v>
      </c>
      <c r="F506" s="17">
        <f>VLOOKUP(A506,'forecast data dump'!$A$1:$H$3450,5,FALSE)</f>
        <v>44574</v>
      </c>
      <c r="G506" s="42">
        <f>VLOOKUP(A506,'forecast data dump'!$A$1:$H$3450,8,FALSE)</f>
        <v>0</v>
      </c>
      <c r="H506" s="5" t="s">
        <v>3763</v>
      </c>
      <c r="I506" s="39">
        <f t="shared" si="212"/>
        <v>2</v>
      </c>
      <c r="J506" s="5"/>
      <c r="K506" s="5"/>
      <c r="L506" s="33">
        <f t="shared" si="213"/>
        <v>303</v>
      </c>
      <c r="M506" s="33">
        <f t="shared" si="214"/>
        <v>303</v>
      </c>
      <c r="N506" s="33">
        <f t="shared" si="215"/>
        <v>0</v>
      </c>
      <c r="T506">
        <v>1</v>
      </c>
      <c r="U506" s="29">
        <f t="shared" si="206"/>
        <v>0</v>
      </c>
      <c r="V506" s="29">
        <f t="shared" si="207"/>
        <v>0</v>
      </c>
      <c r="W506" s="29">
        <f t="shared" si="208"/>
        <v>0</v>
      </c>
      <c r="X506" s="29">
        <f t="shared" si="209"/>
        <v>0</v>
      </c>
      <c r="Y506" s="29">
        <f t="shared" si="210"/>
        <v>0</v>
      </c>
      <c r="Z506" s="29">
        <f t="shared" si="211"/>
        <v>303</v>
      </c>
    </row>
    <row r="507" spans="1:26" x14ac:dyDescent="0.3">
      <c r="A507" s="5" t="s">
        <v>2950</v>
      </c>
      <c r="B507" s="5" t="s">
        <v>2951</v>
      </c>
      <c r="C507" s="5">
        <v>2</v>
      </c>
      <c r="D507" s="6">
        <v>303</v>
      </c>
      <c r="E507" s="17">
        <f>VLOOKUP(A507,'forecast data dump'!$A$1:$H$3450,4,FALSE)</f>
        <v>44575</v>
      </c>
      <c r="F507" s="17">
        <f>VLOOKUP(A507,'forecast data dump'!$A$1:$H$3450,5,FALSE)</f>
        <v>44620</v>
      </c>
      <c r="G507" s="42">
        <f>VLOOKUP(A507,'forecast data dump'!$A$1:$H$3450,8,FALSE)</f>
        <v>0</v>
      </c>
      <c r="H507" s="5" t="s">
        <v>3763</v>
      </c>
      <c r="I507" s="39">
        <f t="shared" si="212"/>
        <v>2</v>
      </c>
      <c r="J507" s="5"/>
      <c r="K507" s="5"/>
      <c r="L507" s="33">
        <f t="shared" si="213"/>
        <v>303</v>
      </c>
      <c r="M507" s="33">
        <f t="shared" si="214"/>
        <v>303</v>
      </c>
      <c r="N507" s="33">
        <f t="shared" si="215"/>
        <v>0</v>
      </c>
      <c r="T507">
        <v>1</v>
      </c>
      <c r="U507" s="29">
        <f t="shared" si="206"/>
        <v>0</v>
      </c>
      <c r="V507" s="29">
        <f t="shared" si="207"/>
        <v>0</v>
      </c>
      <c r="W507" s="29">
        <f t="shared" si="208"/>
        <v>0</v>
      </c>
      <c r="X507" s="29">
        <f t="shared" si="209"/>
        <v>0</v>
      </c>
      <c r="Y507" s="29">
        <f t="shared" si="210"/>
        <v>0</v>
      </c>
      <c r="Z507" s="29">
        <f t="shared" si="211"/>
        <v>303</v>
      </c>
    </row>
    <row r="508" spans="1:26" x14ac:dyDescent="0.3">
      <c r="A508" s="5" t="s">
        <v>2952</v>
      </c>
      <c r="B508" s="5" t="s">
        <v>2953</v>
      </c>
      <c r="C508" s="5">
        <v>72</v>
      </c>
      <c r="D508" s="6">
        <v>11205</v>
      </c>
      <c r="E508" s="17">
        <f>VLOOKUP(A508,'forecast data dump'!$A$1:$H$3450,4,FALSE)</f>
        <v>44621</v>
      </c>
      <c r="F508" s="17">
        <f>VLOOKUP(A508,'forecast data dump'!$A$1:$H$3450,5,FALSE)</f>
        <v>44690</v>
      </c>
      <c r="G508" s="42">
        <f>VLOOKUP(A508,'forecast data dump'!$A$1:$H$3450,8,FALSE)</f>
        <v>0</v>
      </c>
      <c r="H508" s="5" t="s">
        <v>3733</v>
      </c>
      <c r="I508" s="39">
        <f t="shared" si="212"/>
        <v>72</v>
      </c>
      <c r="J508" s="5"/>
      <c r="K508" s="5"/>
      <c r="L508" s="33">
        <f t="shared" si="213"/>
        <v>11205</v>
      </c>
      <c r="M508" s="33">
        <f t="shared" si="214"/>
        <v>11205</v>
      </c>
      <c r="N508" s="33">
        <f t="shared" si="215"/>
        <v>0</v>
      </c>
      <c r="T508">
        <v>1</v>
      </c>
      <c r="U508" s="29">
        <f t="shared" si="206"/>
        <v>0</v>
      </c>
      <c r="V508" s="29">
        <f t="shared" si="207"/>
        <v>0</v>
      </c>
      <c r="W508" s="29">
        <f t="shared" si="208"/>
        <v>0</v>
      </c>
      <c r="X508" s="29">
        <f t="shared" si="209"/>
        <v>0</v>
      </c>
      <c r="Y508" s="29">
        <f t="shared" si="210"/>
        <v>0</v>
      </c>
      <c r="Z508" s="29">
        <f t="shared" si="211"/>
        <v>11205</v>
      </c>
    </row>
    <row r="509" spans="1:26" x14ac:dyDescent="0.3">
      <c r="A509" s="5" t="s">
        <v>2952</v>
      </c>
      <c r="B509" s="5" t="s">
        <v>2953</v>
      </c>
      <c r="C509" s="5">
        <v>72</v>
      </c>
      <c r="D509" s="6">
        <v>8683</v>
      </c>
      <c r="E509" s="17">
        <f>VLOOKUP(A509,'forecast data dump'!$A$1:$H$3450,4,FALSE)</f>
        <v>44621</v>
      </c>
      <c r="F509" s="17">
        <f>VLOOKUP(A509,'forecast data dump'!$A$1:$H$3450,5,FALSE)</f>
        <v>44690</v>
      </c>
      <c r="G509" s="42">
        <f>VLOOKUP(A509,'forecast data dump'!$A$1:$H$3450,8,FALSE)</f>
        <v>0</v>
      </c>
      <c r="H509" s="5" t="s">
        <v>3745</v>
      </c>
      <c r="I509" s="39">
        <f t="shared" si="212"/>
        <v>72</v>
      </c>
      <c r="J509" s="5"/>
      <c r="K509" s="5"/>
      <c r="L509" s="33">
        <f t="shared" si="213"/>
        <v>8683</v>
      </c>
      <c r="M509" s="33">
        <f t="shared" si="214"/>
        <v>8683</v>
      </c>
      <c r="N509" s="33">
        <f t="shared" si="215"/>
        <v>0</v>
      </c>
      <c r="T509">
        <v>1</v>
      </c>
      <c r="U509" s="29">
        <f t="shared" si="206"/>
        <v>0</v>
      </c>
      <c r="V509" s="29">
        <f t="shared" si="207"/>
        <v>0</v>
      </c>
      <c r="W509" s="29">
        <f t="shared" si="208"/>
        <v>0</v>
      </c>
      <c r="X509" s="29">
        <f t="shared" si="209"/>
        <v>0</v>
      </c>
      <c r="Y509" s="29">
        <f t="shared" si="210"/>
        <v>0</v>
      </c>
      <c r="Z509" s="29">
        <f t="shared" si="211"/>
        <v>8683</v>
      </c>
    </row>
    <row r="510" spans="1:26" x14ac:dyDescent="0.3">
      <c r="A510" s="5" t="s">
        <v>2952</v>
      </c>
      <c r="B510" s="5" t="s">
        <v>2953</v>
      </c>
      <c r="C510" s="5">
        <v>72</v>
      </c>
      <c r="D510" s="6">
        <v>8683</v>
      </c>
      <c r="E510" s="17">
        <f>VLOOKUP(A510,'forecast data dump'!$A$1:$H$3450,4,FALSE)</f>
        <v>44621</v>
      </c>
      <c r="F510" s="17">
        <f>VLOOKUP(A510,'forecast data dump'!$A$1:$H$3450,5,FALSE)</f>
        <v>44690</v>
      </c>
      <c r="G510" s="42">
        <f>VLOOKUP(A510,'forecast data dump'!$A$1:$H$3450,8,FALSE)</f>
        <v>0</v>
      </c>
      <c r="H510" s="5" t="s">
        <v>3741</v>
      </c>
      <c r="I510" s="39">
        <f t="shared" si="212"/>
        <v>72</v>
      </c>
      <c r="J510" s="5"/>
      <c r="K510" s="5"/>
      <c r="L510" s="33">
        <f t="shared" si="213"/>
        <v>8683</v>
      </c>
      <c r="M510" s="33">
        <f t="shared" si="214"/>
        <v>8683</v>
      </c>
      <c r="N510" s="33">
        <f t="shared" si="215"/>
        <v>0</v>
      </c>
      <c r="T510">
        <v>1</v>
      </c>
      <c r="U510" s="29">
        <f t="shared" si="206"/>
        <v>0</v>
      </c>
      <c r="V510" s="29">
        <f t="shared" si="207"/>
        <v>0</v>
      </c>
      <c r="W510" s="29">
        <f t="shared" si="208"/>
        <v>0</v>
      </c>
      <c r="X510" s="29">
        <f t="shared" si="209"/>
        <v>0</v>
      </c>
      <c r="Y510" s="29">
        <f t="shared" si="210"/>
        <v>0</v>
      </c>
      <c r="Z510" s="29">
        <f t="shared" si="211"/>
        <v>8683</v>
      </c>
    </row>
    <row r="511" spans="1:26" x14ac:dyDescent="0.3">
      <c r="A511" s="5" t="s">
        <v>2952</v>
      </c>
      <c r="B511" s="5" t="s">
        <v>2953</v>
      </c>
      <c r="C511" s="5">
        <v>72</v>
      </c>
      <c r="D511" s="6">
        <v>8683</v>
      </c>
      <c r="E511" s="17">
        <f>VLOOKUP(A511,'forecast data dump'!$A$1:$H$3450,4,FALSE)</f>
        <v>44621</v>
      </c>
      <c r="F511" s="17">
        <f>VLOOKUP(A511,'forecast data dump'!$A$1:$H$3450,5,FALSE)</f>
        <v>44690</v>
      </c>
      <c r="G511" s="42">
        <f>VLOOKUP(A511,'forecast data dump'!$A$1:$H$3450,8,FALSE)</f>
        <v>0</v>
      </c>
      <c r="H511" s="5" t="s">
        <v>3742</v>
      </c>
      <c r="I511" s="39">
        <f t="shared" si="212"/>
        <v>72</v>
      </c>
      <c r="J511" s="5"/>
      <c r="K511" s="5"/>
      <c r="L511" s="33">
        <f t="shared" si="213"/>
        <v>8683</v>
      </c>
      <c r="M511" s="33">
        <f t="shared" si="214"/>
        <v>8683</v>
      </c>
      <c r="N511" s="33">
        <f t="shared" si="215"/>
        <v>0</v>
      </c>
      <c r="T511">
        <v>1</v>
      </c>
      <c r="U511" s="29">
        <f t="shared" si="206"/>
        <v>0</v>
      </c>
      <c r="V511" s="29">
        <f t="shared" si="207"/>
        <v>0</v>
      </c>
      <c r="W511" s="29">
        <f t="shared" si="208"/>
        <v>0</v>
      </c>
      <c r="X511" s="29">
        <f t="shared" si="209"/>
        <v>0</v>
      </c>
      <c r="Y511" s="29">
        <f t="shared" si="210"/>
        <v>0</v>
      </c>
      <c r="Z511" s="29">
        <f t="shared" si="211"/>
        <v>8683</v>
      </c>
    </row>
    <row r="512" spans="1:26" x14ac:dyDescent="0.3">
      <c r="A512" s="5" t="s">
        <v>2954</v>
      </c>
      <c r="B512" s="5" t="s">
        <v>2955</v>
      </c>
      <c r="C512" s="5">
        <v>2</v>
      </c>
      <c r="D512" s="6">
        <v>312</v>
      </c>
      <c r="E512" s="17">
        <f>VLOOKUP(A512,'forecast data dump'!$A$1:$H$3450,4,FALSE)</f>
        <v>44691</v>
      </c>
      <c r="F512" s="17">
        <f>VLOOKUP(A512,'forecast data dump'!$A$1:$H$3450,5,FALSE)</f>
        <v>44704</v>
      </c>
      <c r="G512" s="42">
        <f>VLOOKUP(A512,'forecast data dump'!$A$1:$H$3450,8,FALSE)</f>
        <v>0</v>
      </c>
      <c r="H512" s="5" t="s">
        <v>3763</v>
      </c>
      <c r="I512" s="39">
        <f t="shared" si="212"/>
        <v>2</v>
      </c>
      <c r="J512" s="5"/>
      <c r="K512" s="5"/>
      <c r="L512" s="33">
        <f t="shared" si="213"/>
        <v>312</v>
      </c>
      <c r="M512" s="33">
        <f t="shared" si="214"/>
        <v>312</v>
      </c>
      <c r="N512" s="33">
        <f t="shared" si="215"/>
        <v>0</v>
      </c>
      <c r="T512">
        <v>1</v>
      </c>
      <c r="U512" s="29">
        <f t="shared" si="206"/>
        <v>0</v>
      </c>
      <c r="V512" s="29">
        <f t="shared" si="207"/>
        <v>0</v>
      </c>
      <c r="W512" s="29">
        <f t="shared" si="208"/>
        <v>0</v>
      </c>
      <c r="X512" s="29">
        <f t="shared" si="209"/>
        <v>0</v>
      </c>
      <c r="Y512" s="29">
        <f t="shared" si="210"/>
        <v>0</v>
      </c>
      <c r="Z512" s="29">
        <f t="shared" si="211"/>
        <v>312</v>
      </c>
    </row>
    <row r="513" spans="1:26" x14ac:dyDescent="0.3">
      <c r="A513" s="5" t="s">
        <v>2956</v>
      </c>
      <c r="B513" s="5" t="s">
        <v>2957</v>
      </c>
      <c r="C513" s="5">
        <v>10000</v>
      </c>
      <c r="D513" s="6">
        <v>11808</v>
      </c>
      <c r="E513" s="17">
        <f>VLOOKUP(A513,'forecast data dump'!$A$1:$H$3450,4,FALSE)</f>
        <v>44621</v>
      </c>
      <c r="F513" s="17">
        <f>VLOOKUP(A513,'forecast data dump'!$A$1:$H$3450,5,FALSE)</f>
        <v>44690</v>
      </c>
      <c r="G513" s="42">
        <f>VLOOKUP(A513,'forecast data dump'!$A$1:$H$3450,8,FALSE)</f>
        <v>0</v>
      </c>
      <c r="H513" s="5" t="s">
        <v>3762</v>
      </c>
      <c r="I513" s="39">
        <f t="shared" si="212"/>
        <v>10000</v>
      </c>
      <c r="J513" s="5"/>
      <c r="K513" s="5"/>
      <c r="L513" s="33">
        <f t="shared" si="213"/>
        <v>11808</v>
      </c>
      <c r="M513" s="33">
        <f t="shared" si="214"/>
        <v>11808</v>
      </c>
      <c r="N513" s="33">
        <f t="shared" si="215"/>
        <v>0</v>
      </c>
      <c r="Q513">
        <v>1</v>
      </c>
      <c r="U513" s="29">
        <f t="shared" si="206"/>
        <v>0</v>
      </c>
      <c r="V513" s="29">
        <f t="shared" si="207"/>
        <v>0</v>
      </c>
      <c r="W513" s="29">
        <f t="shared" si="208"/>
        <v>11808</v>
      </c>
      <c r="X513" s="29">
        <f t="shared" si="209"/>
        <v>0</v>
      </c>
      <c r="Y513" s="29">
        <f t="shared" si="210"/>
        <v>0</v>
      </c>
      <c r="Z513" s="29">
        <f t="shared" si="211"/>
        <v>0</v>
      </c>
    </row>
    <row r="514" spans="1:26" x14ac:dyDescent="0.3">
      <c r="A514" s="5" t="s">
        <v>2960</v>
      </c>
      <c r="B514" s="5" t="s">
        <v>2961</v>
      </c>
      <c r="C514" s="5">
        <v>24</v>
      </c>
      <c r="D514" s="6">
        <v>3640</v>
      </c>
      <c r="E514" s="17" t="str">
        <f>VLOOKUP(A514,'forecast data dump'!$A$1:$H$3450,4,FALSE)</f>
        <v>01-Apr-21 A</v>
      </c>
      <c r="F514" s="17">
        <f>VLOOKUP(A514,'forecast data dump'!$A$1:$H$3450,5,FALSE)</f>
        <v>44497</v>
      </c>
      <c r="G514" s="42">
        <f>VLOOKUP(A514,'forecast data dump'!$A$1:$H$3450,8,FALSE)</f>
        <v>0.6</v>
      </c>
      <c r="H514" s="5" t="s">
        <v>3733</v>
      </c>
      <c r="I514" s="39">
        <f t="shared" si="212"/>
        <v>9.6000000000000014</v>
      </c>
      <c r="J514" s="5"/>
      <c r="K514" s="5"/>
      <c r="L514" s="33">
        <f t="shared" si="213"/>
        <v>1456</v>
      </c>
      <c r="M514" s="33">
        <f t="shared" si="214"/>
        <v>1456</v>
      </c>
      <c r="N514" s="33">
        <f t="shared" si="215"/>
        <v>0</v>
      </c>
      <c r="R514">
        <v>1</v>
      </c>
      <c r="U514" s="29">
        <f t="shared" si="206"/>
        <v>0</v>
      </c>
      <c r="V514" s="29">
        <f t="shared" si="207"/>
        <v>0</v>
      </c>
      <c r="W514" s="29">
        <f t="shared" si="208"/>
        <v>0</v>
      </c>
      <c r="X514" s="29">
        <f t="shared" si="209"/>
        <v>1456</v>
      </c>
      <c r="Y514" s="29">
        <f t="shared" si="210"/>
        <v>0</v>
      </c>
      <c r="Z514" s="29">
        <f t="shared" si="211"/>
        <v>0</v>
      </c>
    </row>
    <row r="515" spans="1:26" x14ac:dyDescent="0.3">
      <c r="A515" s="5" t="s">
        <v>2960</v>
      </c>
      <c r="B515" s="5" t="s">
        <v>2961</v>
      </c>
      <c r="C515" s="5">
        <v>60</v>
      </c>
      <c r="D515" s="6">
        <v>7053</v>
      </c>
      <c r="E515" s="17" t="str">
        <f>VLOOKUP(A515,'forecast data dump'!$A$1:$H$3450,4,FALSE)</f>
        <v>01-Apr-21 A</v>
      </c>
      <c r="F515" s="17">
        <f>VLOOKUP(A515,'forecast data dump'!$A$1:$H$3450,5,FALSE)</f>
        <v>44497</v>
      </c>
      <c r="G515" s="42">
        <f>VLOOKUP(A515,'forecast data dump'!$A$1:$H$3450,8,FALSE)</f>
        <v>0.6</v>
      </c>
      <c r="H515" s="5" t="s">
        <v>3745</v>
      </c>
      <c r="I515" s="39">
        <f t="shared" si="212"/>
        <v>24</v>
      </c>
      <c r="J515" s="5"/>
      <c r="K515" s="5"/>
      <c r="L515" s="33">
        <f t="shared" si="213"/>
        <v>2821.2000000000003</v>
      </c>
      <c r="M515" s="33">
        <f t="shared" si="214"/>
        <v>2821.2000000000003</v>
      </c>
      <c r="N515" s="33">
        <f t="shared" si="215"/>
        <v>0</v>
      </c>
      <c r="R515">
        <v>1</v>
      </c>
      <c r="U515" s="29">
        <f t="shared" si="206"/>
        <v>0</v>
      </c>
      <c r="V515" s="29">
        <f t="shared" si="207"/>
        <v>0</v>
      </c>
      <c r="W515" s="29">
        <f t="shared" si="208"/>
        <v>0</v>
      </c>
      <c r="X515" s="29">
        <f t="shared" si="209"/>
        <v>2821.2000000000003</v>
      </c>
      <c r="Y515" s="29">
        <f t="shared" si="210"/>
        <v>0</v>
      </c>
      <c r="Z515" s="29">
        <f t="shared" si="211"/>
        <v>0</v>
      </c>
    </row>
    <row r="516" spans="1:26" x14ac:dyDescent="0.3">
      <c r="A516" s="5" t="s">
        <v>2960</v>
      </c>
      <c r="B516" s="5" t="s">
        <v>2961</v>
      </c>
      <c r="C516" s="5">
        <v>24</v>
      </c>
      <c r="D516" s="6">
        <v>2821</v>
      </c>
      <c r="E516" s="17" t="str">
        <f>VLOOKUP(A516,'forecast data dump'!$A$1:$H$3450,4,FALSE)</f>
        <v>01-Apr-21 A</v>
      </c>
      <c r="F516" s="17">
        <f>VLOOKUP(A516,'forecast data dump'!$A$1:$H$3450,5,FALSE)</f>
        <v>44497</v>
      </c>
      <c r="G516" s="42">
        <f>VLOOKUP(A516,'forecast data dump'!$A$1:$H$3450,8,FALSE)</f>
        <v>0.6</v>
      </c>
      <c r="H516" s="5" t="s">
        <v>3741</v>
      </c>
      <c r="I516" s="39">
        <f t="shared" si="212"/>
        <v>9.6000000000000014</v>
      </c>
      <c r="J516" s="5"/>
      <c r="K516" s="5"/>
      <c r="L516" s="33">
        <f t="shared" si="213"/>
        <v>1128.4000000000001</v>
      </c>
      <c r="M516" s="33">
        <f t="shared" si="214"/>
        <v>1128.4000000000001</v>
      </c>
      <c r="N516" s="33">
        <f t="shared" si="215"/>
        <v>0</v>
      </c>
      <c r="R516">
        <v>1</v>
      </c>
      <c r="U516" s="29">
        <f t="shared" si="206"/>
        <v>0</v>
      </c>
      <c r="V516" s="29">
        <f t="shared" si="207"/>
        <v>0</v>
      </c>
      <c r="W516" s="29">
        <f t="shared" si="208"/>
        <v>0</v>
      </c>
      <c r="X516" s="29">
        <f t="shared" si="209"/>
        <v>1128.4000000000001</v>
      </c>
      <c r="Y516" s="29">
        <f t="shared" si="210"/>
        <v>0</v>
      </c>
      <c r="Z516" s="29">
        <f t="shared" si="211"/>
        <v>0</v>
      </c>
    </row>
    <row r="517" spans="1:26" x14ac:dyDescent="0.3">
      <c r="A517" s="5" t="s">
        <v>2960</v>
      </c>
      <c r="B517" s="5" t="s">
        <v>2961</v>
      </c>
      <c r="C517" s="5">
        <v>24</v>
      </c>
      <c r="D517" s="6">
        <v>2821</v>
      </c>
      <c r="E517" s="17" t="str">
        <f>VLOOKUP(A517,'forecast data dump'!$A$1:$H$3450,4,FALSE)</f>
        <v>01-Apr-21 A</v>
      </c>
      <c r="F517" s="17">
        <f>VLOOKUP(A517,'forecast data dump'!$A$1:$H$3450,5,FALSE)</f>
        <v>44497</v>
      </c>
      <c r="G517" s="42">
        <f>VLOOKUP(A517,'forecast data dump'!$A$1:$H$3450,8,FALSE)</f>
        <v>0.6</v>
      </c>
      <c r="H517" s="5" t="s">
        <v>3742</v>
      </c>
      <c r="I517" s="39">
        <f t="shared" si="212"/>
        <v>9.6000000000000014</v>
      </c>
      <c r="J517" s="5"/>
      <c r="K517" s="5"/>
      <c r="L517" s="33">
        <f t="shared" si="213"/>
        <v>1128.4000000000001</v>
      </c>
      <c r="M517" s="33">
        <f t="shared" si="214"/>
        <v>1128.4000000000001</v>
      </c>
      <c r="N517" s="33">
        <f t="shared" si="215"/>
        <v>0</v>
      </c>
      <c r="R517">
        <v>1</v>
      </c>
      <c r="U517" s="29">
        <f t="shared" si="206"/>
        <v>0</v>
      </c>
      <c r="V517" s="29">
        <f t="shared" si="207"/>
        <v>0</v>
      </c>
      <c r="W517" s="29">
        <f t="shared" si="208"/>
        <v>0</v>
      </c>
      <c r="X517" s="29">
        <f t="shared" si="209"/>
        <v>1128.4000000000001</v>
      </c>
      <c r="Y517" s="29">
        <f t="shared" si="210"/>
        <v>0</v>
      </c>
      <c r="Z517" s="29">
        <f t="shared" si="211"/>
        <v>0</v>
      </c>
    </row>
    <row r="518" spans="1:26" x14ac:dyDescent="0.3">
      <c r="A518" s="5" t="s">
        <v>2962</v>
      </c>
      <c r="B518" s="5" t="s">
        <v>2963</v>
      </c>
      <c r="C518" s="5">
        <v>8</v>
      </c>
      <c r="D518" s="6">
        <v>1213</v>
      </c>
      <c r="E518" s="17">
        <f>VLOOKUP(A518,'forecast data dump'!$A$1:$H$3450,4,FALSE)</f>
        <v>44498</v>
      </c>
      <c r="F518" s="17">
        <f>VLOOKUP(A518,'forecast data dump'!$A$1:$H$3450,5,FALSE)</f>
        <v>44512</v>
      </c>
      <c r="G518" s="42">
        <f>VLOOKUP(A518,'forecast data dump'!$A$1:$H$3450,8,FALSE)</f>
        <v>0</v>
      </c>
      <c r="H518" s="5" t="s">
        <v>3733</v>
      </c>
      <c r="I518" s="39">
        <f t="shared" si="212"/>
        <v>8</v>
      </c>
      <c r="J518" s="5"/>
      <c r="K518" s="5"/>
      <c r="L518" s="33">
        <f t="shared" si="213"/>
        <v>1213</v>
      </c>
      <c r="M518" s="33">
        <f t="shared" si="214"/>
        <v>1213</v>
      </c>
      <c r="N518" s="33">
        <f t="shared" si="215"/>
        <v>0</v>
      </c>
      <c r="T518">
        <v>1</v>
      </c>
      <c r="U518" s="29">
        <f t="shared" si="206"/>
        <v>0</v>
      </c>
      <c r="V518" s="29">
        <f t="shared" si="207"/>
        <v>0</v>
      </c>
      <c r="W518" s="29">
        <f t="shared" si="208"/>
        <v>0</v>
      </c>
      <c r="X518" s="29">
        <f t="shared" si="209"/>
        <v>0</v>
      </c>
      <c r="Y518" s="29">
        <f t="shared" si="210"/>
        <v>0</v>
      </c>
      <c r="Z518" s="29">
        <f t="shared" si="211"/>
        <v>1213</v>
      </c>
    </row>
    <row r="519" spans="1:26" x14ac:dyDescent="0.3">
      <c r="A519" s="5" t="s">
        <v>2962</v>
      </c>
      <c r="B519" s="5" t="s">
        <v>2963</v>
      </c>
      <c r="C519" s="5">
        <v>8</v>
      </c>
      <c r="D519" s="6">
        <v>940</v>
      </c>
      <c r="E519" s="17">
        <f>VLOOKUP(A519,'forecast data dump'!$A$1:$H$3450,4,FALSE)</f>
        <v>44498</v>
      </c>
      <c r="F519" s="17">
        <f>VLOOKUP(A519,'forecast data dump'!$A$1:$H$3450,5,FALSE)</f>
        <v>44512</v>
      </c>
      <c r="G519" s="42">
        <f>VLOOKUP(A519,'forecast data dump'!$A$1:$H$3450,8,FALSE)</f>
        <v>0</v>
      </c>
      <c r="H519" s="5" t="s">
        <v>3745</v>
      </c>
      <c r="I519" s="39">
        <f t="shared" si="212"/>
        <v>8</v>
      </c>
      <c r="J519" s="5"/>
      <c r="K519" s="5"/>
      <c r="L519" s="33">
        <f t="shared" si="213"/>
        <v>940</v>
      </c>
      <c r="M519" s="33">
        <f t="shared" si="214"/>
        <v>940</v>
      </c>
      <c r="N519" s="33">
        <f t="shared" si="215"/>
        <v>0</v>
      </c>
      <c r="T519">
        <v>1</v>
      </c>
      <c r="U519" s="29">
        <f t="shared" si="206"/>
        <v>0</v>
      </c>
      <c r="V519" s="29">
        <f t="shared" si="207"/>
        <v>0</v>
      </c>
      <c r="W519" s="29">
        <f t="shared" si="208"/>
        <v>0</v>
      </c>
      <c r="X519" s="29">
        <f t="shared" si="209"/>
        <v>0</v>
      </c>
      <c r="Y519" s="29">
        <f t="shared" si="210"/>
        <v>0</v>
      </c>
      <c r="Z519" s="29">
        <f t="shared" si="211"/>
        <v>940</v>
      </c>
    </row>
    <row r="520" spans="1:26" x14ac:dyDescent="0.3">
      <c r="A520" s="5" t="s">
        <v>2964</v>
      </c>
      <c r="B520" s="5" t="s">
        <v>2965</v>
      </c>
      <c r="C520" s="5">
        <v>24</v>
      </c>
      <c r="D520" s="6">
        <v>3640</v>
      </c>
      <c r="E520" s="17">
        <f>VLOOKUP(A520,'forecast data dump'!$A$1:$H$3450,4,FALSE)</f>
        <v>44531</v>
      </c>
      <c r="F520" s="17">
        <f>VLOOKUP(A520,'forecast data dump'!$A$1:$H$3450,5,FALSE)</f>
        <v>44574</v>
      </c>
      <c r="G520" s="42">
        <f>VLOOKUP(A520,'forecast data dump'!$A$1:$H$3450,8,FALSE)</f>
        <v>0</v>
      </c>
      <c r="H520" s="5" t="s">
        <v>3733</v>
      </c>
      <c r="I520" s="39">
        <f t="shared" si="212"/>
        <v>24</v>
      </c>
      <c r="J520" s="5"/>
      <c r="K520" s="5"/>
      <c r="L520" s="33">
        <f t="shared" si="213"/>
        <v>3640</v>
      </c>
      <c r="M520" s="33">
        <f t="shared" si="214"/>
        <v>3640</v>
      </c>
      <c r="N520" s="33">
        <f t="shared" si="215"/>
        <v>0</v>
      </c>
      <c r="T520">
        <v>1</v>
      </c>
      <c r="U520" s="29">
        <f t="shared" si="206"/>
        <v>0</v>
      </c>
      <c r="V520" s="29">
        <f t="shared" si="207"/>
        <v>0</v>
      </c>
      <c r="W520" s="29">
        <f t="shared" si="208"/>
        <v>0</v>
      </c>
      <c r="X520" s="29">
        <f t="shared" si="209"/>
        <v>0</v>
      </c>
      <c r="Y520" s="29">
        <f t="shared" si="210"/>
        <v>0</v>
      </c>
      <c r="Z520" s="29">
        <f t="shared" si="211"/>
        <v>3640</v>
      </c>
    </row>
    <row r="521" spans="1:26" x14ac:dyDescent="0.3">
      <c r="A521" s="5" t="s">
        <v>2964</v>
      </c>
      <c r="B521" s="5" t="s">
        <v>2965</v>
      </c>
      <c r="C521" s="5">
        <v>24</v>
      </c>
      <c r="D521" s="6">
        <v>2821</v>
      </c>
      <c r="E521" s="17">
        <f>VLOOKUP(A521,'forecast data dump'!$A$1:$H$3450,4,FALSE)</f>
        <v>44531</v>
      </c>
      <c r="F521" s="17">
        <f>VLOOKUP(A521,'forecast data dump'!$A$1:$H$3450,5,FALSE)</f>
        <v>44574</v>
      </c>
      <c r="G521" s="42">
        <f>VLOOKUP(A521,'forecast data dump'!$A$1:$H$3450,8,FALSE)</f>
        <v>0</v>
      </c>
      <c r="H521" s="5" t="s">
        <v>3745</v>
      </c>
      <c r="I521" s="39">
        <f t="shared" si="212"/>
        <v>24</v>
      </c>
      <c r="J521" s="5"/>
      <c r="K521" s="5"/>
      <c r="L521" s="33">
        <f t="shared" si="213"/>
        <v>2821</v>
      </c>
      <c r="M521" s="33">
        <f t="shared" si="214"/>
        <v>2821</v>
      </c>
      <c r="N521" s="33">
        <f t="shared" si="215"/>
        <v>0</v>
      </c>
      <c r="T521">
        <v>1</v>
      </c>
      <c r="U521" s="29">
        <f t="shared" si="206"/>
        <v>0</v>
      </c>
      <c r="V521" s="29">
        <f t="shared" si="207"/>
        <v>0</v>
      </c>
      <c r="W521" s="29">
        <f t="shared" si="208"/>
        <v>0</v>
      </c>
      <c r="X521" s="29">
        <f t="shared" si="209"/>
        <v>0</v>
      </c>
      <c r="Y521" s="29">
        <f t="shared" si="210"/>
        <v>0</v>
      </c>
      <c r="Z521" s="29">
        <f t="shared" si="211"/>
        <v>2821</v>
      </c>
    </row>
    <row r="522" spans="1:26" x14ac:dyDescent="0.3">
      <c r="A522" s="5" t="s">
        <v>2964</v>
      </c>
      <c r="B522" s="5" t="s">
        <v>2965</v>
      </c>
      <c r="C522" s="5">
        <v>24</v>
      </c>
      <c r="D522" s="6">
        <v>2821</v>
      </c>
      <c r="E522" s="17">
        <f>VLOOKUP(A522,'forecast data dump'!$A$1:$H$3450,4,FALSE)</f>
        <v>44531</v>
      </c>
      <c r="F522" s="17">
        <f>VLOOKUP(A522,'forecast data dump'!$A$1:$H$3450,5,FALSE)</f>
        <v>44574</v>
      </c>
      <c r="G522" s="42">
        <f>VLOOKUP(A522,'forecast data dump'!$A$1:$H$3450,8,FALSE)</f>
        <v>0</v>
      </c>
      <c r="H522" s="5" t="s">
        <v>3741</v>
      </c>
      <c r="I522" s="39">
        <f t="shared" si="212"/>
        <v>24</v>
      </c>
      <c r="J522" s="5"/>
      <c r="K522" s="5"/>
      <c r="L522" s="33">
        <f t="shared" si="213"/>
        <v>2821</v>
      </c>
      <c r="M522" s="33">
        <f t="shared" si="214"/>
        <v>2821</v>
      </c>
      <c r="N522" s="33">
        <f t="shared" si="215"/>
        <v>0</v>
      </c>
      <c r="T522">
        <v>1</v>
      </c>
      <c r="U522" s="29">
        <f t="shared" si="206"/>
        <v>0</v>
      </c>
      <c r="V522" s="29">
        <f t="shared" si="207"/>
        <v>0</v>
      </c>
      <c r="W522" s="29">
        <f t="shared" si="208"/>
        <v>0</v>
      </c>
      <c r="X522" s="29">
        <f t="shared" si="209"/>
        <v>0</v>
      </c>
      <c r="Y522" s="29">
        <f t="shared" si="210"/>
        <v>0</v>
      </c>
      <c r="Z522" s="29">
        <f t="shared" si="211"/>
        <v>2821</v>
      </c>
    </row>
    <row r="523" spans="1:26" x14ac:dyDescent="0.3">
      <c r="A523" s="5" t="s">
        <v>2964</v>
      </c>
      <c r="B523" s="5" t="s">
        <v>2965</v>
      </c>
      <c r="C523" s="5">
        <v>24</v>
      </c>
      <c r="D523" s="6">
        <v>2821</v>
      </c>
      <c r="E523" s="17">
        <f>VLOOKUP(A523,'forecast data dump'!$A$1:$H$3450,4,FALSE)</f>
        <v>44531</v>
      </c>
      <c r="F523" s="17">
        <f>VLOOKUP(A523,'forecast data dump'!$A$1:$H$3450,5,FALSE)</f>
        <v>44574</v>
      </c>
      <c r="G523" s="42">
        <f>VLOOKUP(A523,'forecast data dump'!$A$1:$H$3450,8,FALSE)</f>
        <v>0</v>
      </c>
      <c r="H523" s="5" t="s">
        <v>3742</v>
      </c>
      <c r="I523" s="39">
        <f t="shared" si="212"/>
        <v>24</v>
      </c>
      <c r="J523" s="5"/>
      <c r="K523" s="5"/>
      <c r="L523" s="33">
        <f t="shared" si="213"/>
        <v>2821</v>
      </c>
      <c r="M523" s="33">
        <f t="shared" si="214"/>
        <v>2821</v>
      </c>
      <c r="N523" s="33">
        <f t="shared" si="215"/>
        <v>0</v>
      </c>
      <c r="T523">
        <v>1</v>
      </c>
      <c r="U523" s="29">
        <f t="shared" si="206"/>
        <v>0</v>
      </c>
      <c r="V523" s="29">
        <f t="shared" si="207"/>
        <v>0</v>
      </c>
      <c r="W523" s="29">
        <f t="shared" si="208"/>
        <v>0</v>
      </c>
      <c r="X523" s="29">
        <f t="shared" si="209"/>
        <v>0</v>
      </c>
      <c r="Y523" s="29">
        <f t="shared" si="210"/>
        <v>0</v>
      </c>
      <c r="Z523" s="29">
        <f t="shared" si="211"/>
        <v>2821</v>
      </c>
    </row>
    <row r="524" spans="1:26" x14ac:dyDescent="0.3">
      <c r="A524" s="5" t="s">
        <v>2966</v>
      </c>
      <c r="B524" s="5" t="s">
        <v>2967</v>
      </c>
      <c r="C524" s="5">
        <v>24</v>
      </c>
      <c r="D524" s="6">
        <v>3640</v>
      </c>
      <c r="E524" s="17">
        <f>VLOOKUP(A524,'forecast data dump'!$A$1:$H$3450,4,FALSE)</f>
        <v>44575</v>
      </c>
      <c r="F524" s="17">
        <f>VLOOKUP(A524,'forecast data dump'!$A$1:$H$3450,5,FALSE)</f>
        <v>44620</v>
      </c>
      <c r="G524" s="42">
        <f>VLOOKUP(A524,'forecast data dump'!$A$1:$H$3450,8,FALSE)</f>
        <v>0</v>
      </c>
      <c r="H524" s="5" t="s">
        <v>3733</v>
      </c>
      <c r="I524" s="39">
        <f t="shared" si="212"/>
        <v>24</v>
      </c>
      <c r="J524" s="5"/>
      <c r="K524" s="5"/>
      <c r="L524" s="33">
        <f t="shared" si="213"/>
        <v>3640</v>
      </c>
      <c r="M524" s="33">
        <f t="shared" si="214"/>
        <v>3640</v>
      </c>
      <c r="N524" s="33">
        <f t="shared" si="215"/>
        <v>0</v>
      </c>
      <c r="T524">
        <v>1</v>
      </c>
      <c r="U524" s="29">
        <f t="shared" si="206"/>
        <v>0</v>
      </c>
      <c r="V524" s="29">
        <f t="shared" si="207"/>
        <v>0</v>
      </c>
      <c r="W524" s="29">
        <f t="shared" si="208"/>
        <v>0</v>
      </c>
      <c r="X524" s="29">
        <f t="shared" si="209"/>
        <v>0</v>
      </c>
      <c r="Y524" s="29">
        <f t="shared" si="210"/>
        <v>0</v>
      </c>
      <c r="Z524" s="29">
        <f t="shared" si="211"/>
        <v>3640</v>
      </c>
    </row>
    <row r="525" spans="1:26" x14ac:dyDescent="0.3">
      <c r="A525" s="5" t="s">
        <v>2966</v>
      </c>
      <c r="B525" s="5" t="s">
        <v>2967</v>
      </c>
      <c r="C525" s="5">
        <v>24</v>
      </c>
      <c r="D525" s="6">
        <v>2821</v>
      </c>
      <c r="E525" s="17">
        <f>VLOOKUP(A525,'forecast data dump'!$A$1:$H$3450,4,FALSE)</f>
        <v>44575</v>
      </c>
      <c r="F525" s="17">
        <f>VLOOKUP(A525,'forecast data dump'!$A$1:$H$3450,5,FALSE)</f>
        <v>44620</v>
      </c>
      <c r="G525" s="42">
        <f>VLOOKUP(A525,'forecast data dump'!$A$1:$H$3450,8,FALSE)</f>
        <v>0</v>
      </c>
      <c r="H525" s="5" t="s">
        <v>3745</v>
      </c>
      <c r="I525" s="39">
        <f t="shared" si="212"/>
        <v>24</v>
      </c>
      <c r="J525" s="5"/>
      <c r="K525" s="5"/>
      <c r="L525" s="33">
        <f t="shared" si="213"/>
        <v>2821</v>
      </c>
      <c r="M525" s="33">
        <f t="shared" si="214"/>
        <v>2821</v>
      </c>
      <c r="N525" s="33">
        <f t="shared" si="215"/>
        <v>0</v>
      </c>
      <c r="T525">
        <v>1</v>
      </c>
      <c r="U525" s="29">
        <f t="shared" si="206"/>
        <v>0</v>
      </c>
      <c r="V525" s="29">
        <f t="shared" si="207"/>
        <v>0</v>
      </c>
      <c r="W525" s="29">
        <f t="shared" si="208"/>
        <v>0</v>
      </c>
      <c r="X525" s="29">
        <f t="shared" si="209"/>
        <v>0</v>
      </c>
      <c r="Y525" s="29">
        <f t="shared" si="210"/>
        <v>0</v>
      </c>
      <c r="Z525" s="29">
        <f t="shared" si="211"/>
        <v>2821</v>
      </c>
    </row>
    <row r="526" spans="1:26" x14ac:dyDescent="0.3">
      <c r="A526" s="5" t="s">
        <v>2966</v>
      </c>
      <c r="B526" s="5" t="s">
        <v>2967</v>
      </c>
      <c r="C526" s="5">
        <v>24</v>
      </c>
      <c r="D526" s="6">
        <v>2821</v>
      </c>
      <c r="E526" s="17">
        <f>VLOOKUP(A526,'forecast data dump'!$A$1:$H$3450,4,FALSE)</f>
        <v>44575</v>
      </c>
      <c r="F526" s="17">
        <f>VLOOKUP(A526,'forecast data dump'!$A$1:$H$3450,5,FALSE)</f>
        <v>44620</v>
      </c>
      <c r="G526" s="42">
        <f>VLOOKUP(A526,'forecast data dump'!$A$1:$H$3450,8,FALSE)</f>
        <v>0</v>
      </c>
      <c r="H526" s="5" t="s">
        <v>3741</v>
      </c>
      <c r="I526" s="39">
        <f t="shared" si="212"/>
        <v>24</v>
      </c>
      <c r="J526" s="5"/>
      <c r="K526" s="5"/>
      <c r="L526" s="33">
        <f t="shared" si="213"/>
        <v>2821</v>
      </c>
      <c r="M526" s="33">
        <f t="shared" si="214"/>
        <v>2821</v>
      </c>
      <c r="N526" s="33">
        <f t="shared" si="215"/>
        <v>0</v>
      </c>
      <c r="T526">
        <v>1</v>
      </c>
      <c r="U526" s="29">
        <f t="shared" si="206"/>
        <v>0</v>
      </c>
      <c r="V526" s="29">
        <f t="shared" si="207"/>
        <v>0</v>
      </c>
      <c r="W526" s="29">
        <f t="shared" si="208"/>
        <v>0</v>
      </c>
      <c r="X526" s="29">
        <f t="shared" si="209"/>
        <v>0</v>
      </c>
      <c r="Y526" s="29">
        <f t="shared" si="210"/>
        <v>0</v>
      </c>
      <c r="Z526" s="29">
        <f t="shared" si="211"/>
        <v>2821</v>
      </c>
    </row>
    <row r="527" spans="1:26" x14ac:dyDescent="0.3">
      <c r="A527" s="5" t="s">
        <v>2966</v>
      </c>
      <c r="B527" s="5" t="s">
        <v>2967</v>
      </c>
      <c r="C527" s="5">
        <v>24</v>
      </c>
      <c r="D527" s="6">
        <v>2821</v>
      </c>
      <c r="E527" s="17">
        <f>VLOOKUP(A527,'forecast data dump'!$A$1:$H$3450,4,FALSE)</f>
        <v>44575</v>
      </c>
      <c r="F527" s="17">
        <f>VLOOKUP(A527,'forecast data dump'!$A$1:$H$3450,5,FALSE)</f>
        <v>44620</v>
      </c>
      <c r="G527" s="42">
        <f>VLOOKUP(A527,'forecast data dump'!$A$1:$H$3450,8,FALSE)</f>
        <v>0</v>
      </c>
      <c r="H527" s="5" t="s">
        <v>3742</v>
      </c>
      <c r="I527" s="39">
        <f t="shared" si="212"/>
        <v>24</v>
      </c>
      <c r="J527" s="5"/>
      <c r="K527" s="5"/>
      <c r="L527" s="33">
        <f t="shared" si="213"/>
        <v>2821</v>
      </c>
      <c r="M527" s="33">
        <f t="shared" si="214"/>
        <v>2821</v>
      </c>
      <c r="N527" s="33">
        <f t="shared" si="215"/>
        <v>0</v>
      </c>
      <c r="T527">
        <v>1</v>
      </c>
      <c r="U527" s="29">
        <f t="shared" si="206"/>
        <v>0</v>
      </c>
      <c r="V527" s="29">
        <f t="shared" si="207"/>
        <v>0</v>
      </c>
      <c r="W527" s="29">
        <f t="shared" si="208"/>
        <v>0</v>
      </c>
      <c r="X527" s="29">
        <f t="shared" si="209"/>
        <v>0</v>
      </c>
      <c r="Y527" s="29">
        <f t="shared" si="210"/>
        <v>0</v>
      </c>
      <c r="Z527" s="29">
        <f t="shared" si="211"/>
        <v>2821</v>
      </c>
    </row>
    <row r="528" spans="1:26" x14ac:dyDescent="0.3">
      <c r="A528" s="5" t="s">
        <v>2968</v>
      </c>
      <c r="B528" s="5" t="s">
        <v>2969</v>
      </c>
      <c r="C528" s="5">
        <v>8</v>
      </c>
      <c r="D528" s="6">
        <v>1250</v>
      </c>
      <c r="E528" s="17">
        <f>VLOOKUP(A528,'forecast data dump'!$A$1:$H$3450,4,FALSE)</f>
        <v>44691</v>
      </c>
      <c r="F528" s="17">
        <f>VLOOKUP(A528,'forecast data dump'!$A$1:$H$3450,5,FALSE)</f>
        <v>44704</v>
      </c>
      <c r="G528" s="42">
        <f>VLOOKUP(A528,'forecast data dump'!$A$1:$H$3450,8,FALSE)</f>
        <v>0</v>
      </c>
      <c r="H528" s="5" t="s">
        <v>3733</v>
      </c>
      <c r="I528" s="39">
        <f t="shared" si="212"/>
        <v>8</v>
      </c>
      <c r="J528" s="5"/>
      <c r="K528" s="5"/>
      <c r="L528" s="33">
        <f t="shared" si="213"/>
        <v>1250</v>
      </c>
      <c r="M528" s="33">
        <f t="shared" si="214"/>
        <v>1250</v>
      </c>
      <c r="N528" s="33">
        <f t="shared" si="215"/>
        <v>0</v>
      </c>
      <c r="T528">
        <v>1</v>
      </c>
      <c r="U528" s="29">
        <f t="shared" si="206"/>
        <v>0</v>
      </c>
      <c r="V528" s="29">
        <f t="shared" si="207"/>
        <v>0</v>
      </c>
      <c r="W528" s="29">
        <f t="shared" si="208"/>
        <v>0</v>
      </c>
      <c r="X528" s="29">
        <f t="shared" si="209"/>
        <v>0</v>
      </c>
      <c r="Y528" s="29">
        <f t="shared" si="210"/>
        <v>0</v>
      </c>
      <c r="Z528" s="29">
        <f t="shared" si="211"/>
        <v>1250</v>
      </c>
    </row>
    <row r="529" spans="1:26" x14ac:dyDescent="0.3">
      <c r="A529" s="5" t="s">
        <v>2968</v>
      </c>
      <c r="B529" s="5" t="s">
        <v>2969</v>
      </c>
      <c r="C529" s="5">
        <v>8</v>
      </c>
      <c r="D529" s="6">
        <v>969</v>
      </c>
      <c r="E529" s="17">
        <f>VLOOKUP(A529,'forecast data dump'!$A$1:$H$3450,4,FALSE)</f>
        <v>44691</v>
      </c>
      <c r="F529" s="17">
        <f>VLOOKUP(A529,'forecast data dump'!$A$1:$H$3450,5,FALSE)</f>
        <v>44704</v>
      </c>
      <c r="G529" s="42">
        <f>VLOOKUP(A529,'forecast data dump'!$A$1:$H$3450,8,FALSE)</f>
        <v>0</v>
      </c>
      <c r="H529" s="5" t="s">
        <v>3745</v>
      </c>
      <c r="I529" s="39">
        <f t="shared" si="212"/>
        <v>8</v>
      </c>
      <c r="J529" s="5"/>
      <c r="K529" s="5"/>
      <c r="L529" s="33">
        <f t="shared" si="213"/>
        <v>969</v>
      </c>
      <c r="M529" s="33">
        <f t="shared" si="214"/>
        <v>969</v>
      </c>
      <c r="N529" s="33">
        <f t="shared" si="215"/>
        <v>0</v>
      </c>
      <c r="T529">
        <v>1</v>
      </c>
      <c r="U529" s="29">
        <f t="shared" si="206"/>
        <v>0</v>
      </c>
      <c r="V529" s="29">
        <f t="shared" si="207"/>
        <v>0</v>
      </c>
      <c r="W529" s="29">
        <f t="shared" si="208"/>
        <v>0</v>
      </c>
      <c r="X529" s="29">
        <f t="shared" si="209"/>
        <v>0</v>
      </c>
      <c r="Y529" s="29">
        <f t="shared" si="210"/>
        <v>0</v>
      </c>
      <c r="Z529" s="29">
        <f t="shared" si="211"/>
        <v>969</v>
      </c>
    </row>
    <row r="530" spans="1:26" x14ac:dyDescent="0.3">
      <c r="A530" s="5" t="s">
        <v>2968</v>
      </c>
      <c r="B530" s="5" t="s">
        <v>2969</v>
      </c>
      <c r="C530" s="5">
        <v>8</v>
      </c>
      <c r="D530" s="6">
        <v>969</v>
      </c>
      <c r="E530" s="17">
        <f>VLOOKUP(A530,'forecast data dump'!$A$1:$H$3450,4,FALSE)</f>
        <v>44691</v>
      </c>
      <c r="F530" s="17">
        <f>VLOOKUP(A530,'forecast data dump'!$A$1:$H$3450,5,FALSE)</f>
        <v>44704</v>
      </c>
      <c r="G530" s="42">
        <f>VLOOKUP(A530,'forecast data dump'!$A$1:$H$3450,8,FALSE)</f>
        <v>0</v>
      </c>
      <c r="H530" s="5" t="s">
        <v>3741</v>
      </c>
      <c r="I530" s="39">
        <f t="shared" si="212"/>
        <v>8</v>
      </c>
      <c r="J530" s="5"/>
      <c r="K530" s="5"/>
      <c r="L530" s="33">
        <f t="shared" si="213"/>
        <v>969</v>
      </c>
      <c r="M530" s="33">
        <f t="shared" si="214"/>
        <v>969</v>
      </c>
      <c r="N530" s="33">
        <f t="shared" si="215"/>
        <v>0</v>
      </c>
      <c r="T530">
        <v>1</v>
      </c>
      <c r="U530" s="29">
        <f t="shared" si="206"/>
        <v>0</v>
      </c>
      <c r="V530" s="29">
        <f t="shared" si="207"/>
        <v>0</v>
      </c>
      <c r="W530" s="29">
        <f t="shared" si="208"/>
        <v>0</v>
      </c>
      <c r="X530" s="29">
        <f t="shared" si="209"/>
        <v>0</v>
      </c>
      <c r="Y530" s="29">
        <f t="shared" si="210"/>
        <v>0</v>
      </c>
      <c r="Z530" s="29">
        <f t="shared" si="211"/>
        <v>969</v>
      </c>
    </row>
    <row r="531" spans="1:26" x14ac:dyDescent="0.3">
      <c r="A531" s="5" t="s">
        <v>2968</v>
      </c>
      <c r="B531" s="5" t="s">
        <v>2969</v>
      </c>
      <c r="C531" s="5">
        <v>8</v>
      </c>
      <c r="D531" s="6">
        <v>969</v>
      </c>
      <c r="E531" s="17">
        <f>VLOOKUP(A531,'forecast data dump'!$A$1:$H$3450,4,FALSE)</f>
        <v>44691</v>
      </c>
      <c r="F531" s="17">
        <f>VLOOKUP(A531,'forecast data dump'!$A$1:$H$3450,5,FALSE)</f>
        <v>44704</v>
      </c>
      <c r="G531" s="42">
        <f>VLOOKUP(A531,'forecast data dump'!$A$1:$H$3450,8,FALSE)</f>
        <v>0</v>
      </c>
      <c r="H531" s="5" t="s">
        <v>3742</v>
      </c>
      <c r="I531" s="39">
        <f t="shared" si="212"/>
        <v>8</v>
      </c>
      <c r="J531" s="5"/>
      <c r="K531" s="5"/>
      <c r="L531" s="33">
        <f t="shared" si="213"/>
        <v>969</v>
      </c>
      <c r="M531" s="33">
        <f t="shared" si="214"/>
        <v>969</v>
      </c>
      <c r="N531" s="33">
        <f t="shared" si="215"/>
        <v>0</v>
      </c>
      <c r="T531">
        <v>1</v>
      </c>
      <c r="U531" s="29">
        <f t="shared" si="206"/>
        <v>0</v>
      </c>
      <c r="V531" s="29">
        <f t="shared" si="207"/>
        <v>0</v>
      </c>
      <c r="W531" s="29">
        <f t="shared" si="208"/>
        <v>0</v>
      </c>
      <c r="X531" s="29">
        <f t="shared" si="209"/>
        <v>0</v>
      </c>
      <c r="Y531" s="29">
        <f t="shared" si="210"/>
        <v>0</v>
      </c>
      <c r="Z531" s="29">
        <f t="shared" si="211"/>
        <v>969</v>
      </c>
    </row>
    <row r="532" spans="1:26" x14ac:dyDescent="0.3">
      <c r="A532" s="3" t="s">
        <v>7883</v>
      </c>
      <c r="B532" s="3"/>
      <c r="C532" s="3"/>
      <c r="D532" s="4"/>
      <c r="E532" s="15"/>
      <c r="F532" s="15"/>
      <c r="G532" s="41"/>
      <c r="H532" s="3"/>
      <c r="I532" s="38"/>
      <c r="J532" s="3"/>
      <c r="K532" s="3"/>
      <c r="L532" s="32"/>
      <c r="M532" s="32"/>
      <c r="N532" s="32"/>
      <c r="U532" s="29"/>
      <c r="V532" s="29"/>
      <c r="W532" s="29"/>
      <c r="X532" s="29"/>
      <c r="Y532" s="29"/>
      <c r="Z532" s="29"/>
    </row>
    <row r="533" spans="1:26" x14ac:dyDescent="0.3">
      <c r="A533" s="5" t="s">
        <v>3180</v>
      </c>
      <c r="B533" s="5" t="s">
        <v>3181</v>
      </c>
      <c r="C533" s="5">
        <v>8</v>
      </c>
      <c r="D533" s="6">
        <v>961</v>
      </c>
      <c r="E533" s="17">
        <f>VLOOKUP(A533,'forecast data dump'!$A$1:$H$3450,4,FALSE)</f>
        <v>44378</v>
      </c>
      <c r="F533" s="17">
        <f>VLOOKUP(A533,'forecast data dump'!$A$1:$H$3450,5,FALSE)</f>
        <v>44434</v>
      </c>
      <c r="G533" s="42">
        <v>0.1</v>
      </c>
      <c r="H533" s="5" t="s">
        <v>3745</v>
      </c>
      <c r="I533" s="39">
        <f t="shared" ref="I533:I559" si="216">C533*(1-G533)</f>
        <v>7.2</v>
      </c>
      <c r="J533" s="5"/>
      <c r="K533" s="5"/>
      <c r="L533" s="33">
        <f t="shared" ref="L533:L559" si="217">D533*(1-G533)</f>
        <v>864.9</v>
      </c>
      <c r="M533" s="33">
        <f t="shared" ref="M533:M559" si="218">IF(J533="",L533,(D533/C533)*J533)</f>
        <v>864.9</v>
      </c>
      <c r="N533" s="33">
        <f t="shared" ref="N533:N559" si="219">L533-M533</f>
        <v>0</v>
      </c>
      <c r="T533">
        <v>1</v>
      </c>
      <c r="U533" s="29">
        <f t="shared" si="206"/>
        <v>0</v>
      </c>
      <c r="V533" s="29">
        <f t="shared" si="207"/>
        <v>0</v>
      </c>
      <c r="W533" s="29">
        <f t="shared" si="208"/>
        <v>0</v>
      </c>
      <c r="X533" s="29">
        <f t="shared" si="209"/>
        <v>0</v>
      </c>
      <c r="Y533" s="29">
        <f t="shared" si="210"/>
        <v>0</v>
      </c>
      <c r="Z533" s="29">
        <f t="shared" si="211"/>
        <v>864.9</v>
      </c>
    </row>
    <row r="534" spans="1:26" x14ac:dyDescent="0.3">
      <c r="A534" s="5" t="s">
        <v>3180</v>
      </c>
      <c r="B534" s="5" t="s">
        <v>3181</v>
      </c>
      <c r="C534" s="5">
        <v>32</v>
      </c>
      <c r="D534" s="6">
        <v>4959</v>
      </c>
      <c r="E534" s="17">
        <f>VLOOKUP(A534,'forecast data dump'!$A$1:$H$3450,4,FALSE)</f>
        <v>44378</v>
      </c>
      <c r="F534" s="17">
        <f>VLOOKUP(A534,'forecast data dump'!$A$1:$H$3450,5,FALSE)</f>
        <v>44434</v>
      </c>
      <c r="G534" s="42">
        <v>0.1</v>
      </c>
      <c r="H534" s="5" t="s">
        <v>3744</v>
      </c>
      <c r="I534" s="39">
        <f t="shared" si="216"/>
        <v>28.8</v>
      </c>
      <c r="J534" s="5"/>
      <c r="K534" s="5"/>
      <c r="L534" s="33">
        <f t="shared" si="217"/>
        <v>4463.1000000000004</v>
      </c>
      <c r="M534" s="33">
        <f t="shared" si="218"/>
        <v>4463.1000000000004</v>
      </c>
      <c r="N534" s="33">
        <f t="shared" si="219"/>
        <v>0</v>
      </c>
      <c r="T534">
        <v>1</v>
      </c>
      <c r="U534" s="29">
        <f t="shared" si="206"/>
        <v>0</v>
      </c>
      <c r="V534" s="29">
        <f t="shared" si="207"/>
        <v>0</v>
      </c>
      <c r="W534" s="29">
        <f t="shared" si="208"/>
        <v>0</v>
      </c>
      <c r="X534" s="29">
        <f t="shared" si="209"/>
        <v>0</v>
      </c>
      <c r="Y534" s="29">
        <f t="shared" si="210"/>
        <v>0</v>
      </c>
      <c r="Z534" s="29">
        <f t="shared" si="211"/>
        <v>4463.1000000000004</v>
      </c>
    </row>
    <row r="535" spans="1:26" x14ac:dyDescent="0.3">
      <c r="A535" s="5" t="s">
        <v>3182</v>
      </c>
      <c r="B535" s="5" t="s">
        <v>3183</v>
      </c>
      <c r="C535" s="5">
        <v>8</v>
      </c>
      <c r="D535" s="6">
        <v>1461</v>
      </c>
      <c r="E535" s="17">
        <f>VLOOKUP(A535,'forecast data dump'!$A$1:$H$3450,4,FALSE)</f>
        <v>44435</v>
      </c>
      <c r="F535" s="17">
        <f>VLOOKUP(A535,'forecast data dump'!$A$1:$H$3450,5,FALSE)</f>
        <v>44449</v>
      </c>
      <c r="G535" s="42">
        <f>VLOOKUP(A535,'forecast data dump'!$A$1:$H$3450,8,FALSE)</f>
        <v>0</v>
      </c>
      <c r="H535" s="5" t="s">
        <v>3740</v>
      </c>
      <c r="I535" s="39">
        <f t="shared" si="216"/>
        <v>8</v>
      </c>
      <c r="J535" s="5"/>
      <c r="K535" s="5"/>
      <c r="L535" s="33">
        <f t="shared" si="217"/>
        <v>1461</v>
      </c>
      <c r="M535" s="33">
        <f t="shared" si="218"/>
        <v>1461</v>
      </c>
      <c r="N535" s="33">
        <f t="shared" si="219"/>
        <v>0</v>
      </c>
      <c r="T535">
        <v>1</v>
      </c>
      <c r="U535" s="29">
        <f t="shared" si="206"/>
        <v>0</v>
      </c>
      <c r="V535" s="29">
        <f t="shared" si="207"/>
        <v>0</v>
      </c>
      <c r="W535" s="29">
        <f t="shared" si="208"/>
        <v>0</v>
      </c>
      <c r="X535" s="29">
        <f t="shared" si="209"/>
        <v>0</v>
      </c>
      <c r="Y535" s="29">
        <f t="shared" si="210"/>
        <v>0</v>
      </c>
      <c r="Z535" s="29">
        <f t="shared" si="211"/>
        <v>1461</v>
      </c>
    </row>
    <row r="536" spans="1:26" x14ac:dyDescent="0.3">
      <c r="A536" s="5" t="s">
        <v>3182</v>
      </c>
      <c r="B536" s="5" t="s">
        <v>3183</v>
      </c>
      <c r="C536" s="5">
        <v>8</v>
      </c>
      <c r="D536" s="6">
        <v>1250</v>
      </c>
      <c r="E536" s="17">
        <f>VLOOKUP(A536,'forecast data dump'!$A$1:$H$3450,4,FALSE)</f>
        <v>44435</v>
      </c>
      <c r="F536" s="17">
        <f>VLOOKUP(A536,'forecast data dump'!$A$1:$H$3450,5,FALSE)</f>
        <v>44449</v>
      </c>
      <c r="G536" s="42">
        <f>VLOOKUP(A536,'forecast data dump'!$A$1:$H$3450,8,FALSE)</f>
        <v>0</v>
      </c>
      <c r="H536" s="5" t="s">
        <v>3744</v>
      </c>
      <c r="I536" s="39">
        <f t="shared" si="216"/>
        <v>8</v>
      </c>
      <c r="J536" s="5"/>
      <c r="K536" s="5"/>
      <c r="L536" s="33">
        <f t="shared" si="217"/>
        <v>1250</v>
      </c>
      <c r="M536" s="33">
        <f t="shared" si="218"/>
        <v>1250</v>
      </c>
      <c r="N536" s="33">
        <f t="shared" si="219"/>
        <v>0</v>
      </c>
      <c r="T536">
        <v>1</v>
      </c>
      <c r="U536" s="29">
        <f t="shared" si="206"/>
        <v>0</v>
      </c>
      <c r="V536" s="29">
        <f t="shared" si="207"/>
        <v>0</v>
      </c>
      <c r="W536" s="29">
        <f t="shared" si="208"/>
        <v>0</v>
      </c>
      <c r="X536" s="29">
        <f t="shared" si="209"/>
        <v>0</v>
      </c>
      <c r="Y536" s="29">
        <f t="shared" si="210"/>
        <v>0</v>
      </c>
      <c r="Z536" s="29">
        <f t="shared" si="211"/>
        <v>1250</v>
      </c>
    </row>
    <row r="537" spans="1:26" x14ac:dyDescent="0.3">
      <c r="A537" s="5" t="s">
        <v>3184</v>
      </c>
      <c r="B537" s="5" t="s">
        <v>3185</v>
      </c>
      <c r="C537" s="5">
        <v>8</v>
      </c>
      <c r="D537" s="6">
        <v>1461</v>
      </c>
      <c r="E537" s="17">
        <f>VLOOKUP(A537,'forecast data dump'!$A$1:$H$3450,4,FALSE)</f>
        <v>44452</v>
      </c>
      <c r="F537" s="17">
        <f>VLOOKUP(A537,'forecast data dump'!$A$1:$H$3450,5,FALSE)</f>
        <v>44463</v>
      </c>
      <c r="G537" s="42">
        <f>VLOOKUP(A537,'forecast data dump'!$A$1:$H$3450,8,FALSE)</f>
        <v>0</v>
      </c>
      <c r="H537" s="5" t="s">
        <v>3740</v>
      </c>
      <c r="I537" s="39">
        <f t="shared" si="216"/>
        <v>8</v>
      </c>
      <c r="J537" s="5"/>
      <c r="K537" s="5"/>
      <c r="L537" s="33">
        <f t="shared" si="217"/>
        <v>1461</v>
      </c>
      <c r="M537" s="33">
        <f t="shared" si="218"/>
        <v>1461</v>
      </c>
      <c r="N537" s="33">
        <f t="shared" si="219"/>
        <v>0</v>
      </c>
      <c r="T537">
        <v>1</v>
      </c>
      <c r="U537" s="29">
        <f t="shared" si="206"/>
        <v>0</v>
      </c>
      <c r="V537" s="29">
        <f t="shared" si="207"/>
        <v>0</v>
      </c>
      <c r="W537" s="29">
        <f t="shared" si="208"/>
        <v>0</v>
      </c>
      <c r="X537" s="29">
        <f t="shared" si="209"/>
        <v>0</v>
      </c>
      <c r="Y537" s="29">
        <f t="shared" si="210"/>
        <v>0</v>
      </c>
      <c r="Z537" s="29">
        <f t="shared" si="211"/>
        <v>1461</v>
      </c>
    </row>
    <row r="538" spans="1:26" x14ac:dyDescent="0.3">
      <c r="A538" s="5" t="s">
        <v>3184</v>
      </c>
      <c r="B538" s="5" t="s">
        <v>3185</v>
      </c>
      <c r="C538" s="5">
        <v>16</v>
      </c>
      <c r="D538" s="6">
        <v>1937</v>
      </c>
      <c r="E538" s="17">
        <f>VLOOKUP(A538,'forecast data dump'!$A$1:$H$3450,4,FALSE)</f>
        <v>44452</v>
      </c>
      <c r="F538" s="17">
        <f>VLOOKUP(A538,'forecast data dump'!$A$1:$H$3450,5,FALSE)</f>
        <v>44463</v>
      </c>
      <c r="G538" s="42">
        <f>VLOOKUP(A538,'forecast data dump'!$A$1:$H$3450,8,FALSE)</f>
        <v>0</v>
      </c>
      <c r="H538" s="5" t="s">
        <v>3745</v>
      </c>
      <c r="I538" s="39">
        <f t="shared" si="216"/>
        <v>16</v>
      </c>
      <c r="J538" s="5"/>
      <c r="K538" s="5"/>
      <c r="L538" s="33">
        <f t="shared" si="217"/>
        <v>1937</v>
      </c>
      <c r="M538" s="33">
        <f t="shared" si="218"/>
        <v>1937</v>
      </c>
      <c r="N538" s="33">
        <f t="shared" si="219"/>
        <v>0</v>
      </c>
      <c r="T538">
        <v>1</v>
      </c>
      <c r="U538" s="29">
        <f t="shared" si="206"/>
        <v>0</v>
      </c>
      <c r="V538" s="29">
        <f t="shared" si="207"/>
        <v>0</v>
      </c>
      <c r="W538" s="29">
        <f t="shared" si="208"/>
        <v>0</v>
      </c>
      <c r="X538" s="29">
        <f t="shared" si="209"/>
        <v>0</v>
      </c>
      <c r="Y538" s="29">
        <f t="shared" si="210"/>
        <v>0</v>
      </c>
      <c r="Z538" s="29">
        <f t="shared" si="211"/>
        <v>1937</v>
      </c>
    </row>
    <row r="539" spans="1:26" x14ac:dyDescent="0.3">
      <c r="A539" s="5" t="s">
        <v>3184</v>
      </c>
      <c r="B539" s="5" t="s">
        <v>3185</v>
      </c>
      <c r="C539" s="5">
        <v>8</v>
      </c>
      <c r="D539" s="6">
        <v>969</v>
      </c>
      <c r="E539" s="17">
        <f>VLOOKUP(A539,'forecast data dump'!$A$1:$H$3450,4,FALSE)</f>
        <v>44452</v>
      </c>
      <c r="F539" s="17">
        <f>VLOOKUP(A539,'forecast data dump'!$A$1:$H$3450,5,FALSE)</f>
        <v>44463</v>
      </c>
      <c r="G539" s="42">
        <f>VLOOKUP(A539,'forecast data dump'!$A$1:$H$3450,8,FALSE)</f>
        <v>0</v>
      </c>
      <c r="H539" s="5" t="s">
        <v>3741</v>
      </c>
      <c r="I539" s="39">
        <f t="shared" si="216"/>
        <v>8</v>
      </c>
      <c r="J539" s="5"/>
      <c r="K539" s="5"/>
      <c r="L539" s="33">
        <f t="shared" si="217"/>
        <v>969</v>
      </c>
      <c r="M539" s="33">
        <f t="shared" si="218"/>
        <v>969</v>
      </c>
      <c r="N539" s="33">
        <f t="shared" si="219"/>
        <v>0</v>
      </c>
      <c r="T539">
        <v>1</v>
      </c>
      <c r="U539" s="29">
        <f t="shared" si="206"/>
        <v>0</v>
      </c>
      <c r="V539" s="29">
        <f t="shared" si="207"/>
        <v>0</v>
      </c>
      <c r="W539" s="29">
        <f t="shared" si="208"/>
        <v>0</v>
      </c>
      <c r="X539" s="29">
        <f t="shared" si="209"/>
        <v>0</v>
      </c>
      <c r="Y539" s="29">
        <f t="shared" si="210"/>
        <v>0</v>
      </c>
      <c r="Z539" s="29">
        <f t="shared" si="211"/>
        <v>969</v>
      </c>
    </row>
    <row r="540" spans="1:26" x14ac:dyDescent="0.3">
      <c r="A540" s="5" t="s">
        <v>3184</v>
      </c>
      <c r="B540" s="5" t="s">
        <v>3185</v>
      </c>
      <c r="C540" s="5">
        <v>8</v>
      </c>
      <c r="D540" s="6">
        <v>1250</v>
      </c>
      <c r="E540" s="17">
        <f>VLOOKUP(A540,'forecast data dump'!$A$1:$H$3450,4,FALSE)</f>
        <v>44452</v>
      </c>
      <c r="F540" s="17">
        <f>VLOOKUP(A540,'forecast data dump'!$A$1:$H$3450,5,FALSE)</f>
        <v>44463</v>
      </c>
      <c r="G540" s="42">
        <f>VLOOKUP(A540,'forecast data dump'!$A$1:$H$3450,8,FALSE)</f>
        <v>0</v>
      </c>
      <c r="H540" s="5" t="s">
        <v>3744</v>
      </c>
      <c r="I540" s="39">
        <f t="shared" si="216"/>
        <v>8</v>
      </c>
      <c r="J540" s="5"/>
      <c r="K540" s="5"/>
      <c r="L540" s="33">
        <f t="shared" si="217"/>
        <v>1250</v>
      </c>
      <c r="M540" s="33">
        <f t="shared" si="218"/>
        <v>1250</v>
      </c>
      <c r="N540" s="33">
        <f t="shared" si="219"/>
        <v>0</v>
      </c>
      <c r="T540">
        <v>1</v>
      </c>
      <c r="U540" s="29">
        <f t="shared" si="206"/>
        <v>0</v>
      </c>
      <c r="V540" s="29">
        <f t="shared" si="207"/>
        <v>0</v>
      </c>
      <c r="W540" s="29">
        <f t="shared" si="208"/>
        <v>0</v>
      </c>
      <c r="X540" s="29">
        <f t="shared" si="209"/>
        <v>0</v>
      </c>
      <c r="Y540" s="29">
        <f t="shared" si="210"/>
        <v>0</v>
      </c>
      <c r="Z540" s="29">
        <f t="shared" si="211"/>
        <v>1250</v>
      </c>
    </row>
    <row r="541" spans="1:26" x14ac:dyDescent="0.3">
      <c r="A541" s="5" t="s">
        <v>3184</v>
      </c>
      <c r="B541" s="5" t="s">
        <v>3185</v>
      </c>
      <c r="C541" s="5">
        <v>8</v>
      </c>
      <c r="D541" s="6">
        <v>969</v>
      </c>
      <c r="E541" s="17">
        <f>VLOOKUP(A541,'forecast data dump'!$A$1:$H$3450,4,FALSE)</f>
        <v>44452</v>
      </c>
      <c r="F541" s="17">
        <f>VLOOKUP(A541,'forecast data dump'!$A$1:$H$3450,5,FALSE)</f>
        <v>44463</v>
      </c>
      <c r="G541" s="42">
        <f>VLOOKUP(A541,'forecast data dump'!$A$1:$H$3450,8,FALSE)</f>
        <v>0</v>
      </c>
      <c r="H541" s="5" t="s">
        <v>3742</v>
      </c>
      <c r="I541" s="39">
        <f t="shared" si="216"/>
        <v>8</v>
      </c>
      <c r="J541" s="5"/>
      <c r="K541" s="5"/>
      <c r="L541" s="33">
        <f t="shared" si="217"/>
        <v>969</v>
      </c>
      <c r="M541" s="33">
        <f t="shared" si="218"/>
        <v>969</v>
      </c>
      <c r="N541" s="33">
        <f t="shared" si="219"/>
        <v>0</v>
      </c>
      <c r="T541">
        <v>1</v>
      </c>
      <c r="U541" s="29">
        <f t="shared" si="206"/>
        <v>0</v>
      </c>
      <c r="V541" s="29">
        <f t="shared" si="207"/>
        <v>0</v>
      </c>
      <c r="W541" s="29">
        <f t="shared" si="208"/>
        <v>0</v>
      </c>
      <c r="X541" s="29">
        <f t="shared" si="209"/>
        <v>0</v>
      </c>
      <c r="Y541" s="29">
        <f t="shared" si="210"/>
        <v>0</v>
      </c>
      <c r="Z541" s="29">
        <f t="shared" si="211"/>
        <v>969</v>
      </c>
    </row>
    <row r="542" spans="1:26" x14ac:dyDescent="0.3">
      <c r="A542" s="5" t="s">
        <v>3186</v>
      </c>
      <c r="B542" s="5" t="s">
        <v>3187</v>
      </c>
      <c r="C542" s="5">
        <v>2</v>
      </c>
      <c r="D542" s="6">
        <v>312</v>
      </c>
      <c r="E542" s="17">
        <f>VLOOKUP(A542,'forecast data dump'!$A$1:$H$3450,4,FALSE)</f>
        <v>44466</v>
      </c>
      <c r="F542" s="17">
        <f>VLOOKUP(A542,'forecast data dump'!$A$1:$H$3450,5,FALSE)</f>
        <v>44508</v>
      </c>
      <c r="G542" s="42">
        <f>VLOOKUP(A542,'forecast data dump'!$A$1:$H$3450,8,FALSE)</f>
        <v>0</v>
      </c>
      <c r="H542" s="5" t="s">
        <v>3763</v>
      </c>
      <c r="I542" s="39">
        <f t="shared" si="216"/>
        <v>2</v>
      </c>
      <c r="J542" s="5"/>
      <c r="K542" s="5"/>
      <c r="L542" s="33">
        <f t="shared" si="217"/>
        <v>312</v>
      </c>
      <c r="M542" s="33">
        <f t="shared" si="218"/>
        <v>312</v>
      </c>
      <c r="N542" s="33">
        <f t="shared" si="219"/>
        <v>0</v>
      </c>
      <c r="T542">
        <v>1</v>
      </c>
      <c r="U542" s="29">
        <f t="shared" si="206"/>
        <v>0</v>
      </c>
      <c r="V542" s="29">
        <f t="shared" si="207"/>
        <v>0</v>
      </c>
      <c r="W542" s="29">
        <f t="shared" si="208"/>
        <v>0</v>
      </c>
      <c r="X542" s="29">
        <f t="shared" si="209"/>
        <v>0</v>
      </c>
      <c r="Y542" s="29">
        <f t="shared" si="210"/>
        <v>0</v>
      </c>
      <c r="Z542" s="29">
        <f t="shared" si="211"/>
        <v>312</v>
      </c>
    </row>
    <row r="543" spans="1:26" x14ac:dyDescent="0.3">
      <c r="A543" s="5" t="s">
        <v>3188</v>
      </c>
      <c r="B543" s="5" t="s">
        <v>3189</v>
      </c>
      <c r="C543" s="5">
        <v>8</v>
      </c>
      <c r="D543" s="6">
        <v>969</v>
      </c>
      <c r="E543" s="17">
        <f>VLOOKUP(A543,'forecast data dump'!$A$1:$H$3450,4,FALSE)</f>
        <v>44509</v>
      </c>
      <c r="F543" s="17">
        <f>VLOOKUP(A543,'forecast data dump'!$A$1:$H$3450,5,FALSE)</f>
        <v>44539</v>
      </c>
      <c r="G543" s="42">
        <f>VLOOKUP(A543,'forecast data dump'!$A$1:$H$3450,8,FALSE)</f>
        <v>0</v>
      </c>
      <c r="H543" s="5" t="s">
        <v>3745</v>
      </c>
      <c r="I543" s="39">
        <f t="shared" si="216"/>
        <v>8</v>
      </c>
      <c r="J543" s="5"/>
      <c r="K543" s="5"/>
      <c r="L543" s="33">
        <f t="shared" si="217"/>
        <v>969</v>
      </c>
      <c r="M543" s="33">
        <f t="shared" si="218"/>
        <v>969</v>
      </c>
      <c r="N543" s="33">
        <f t="shared" si="219"/>
        <v>0</v>
      </c>
      <c r="T543">
        <v>1</v>
      </c>
      <c r="U543" s="29">
        <f t="shared" si="206"/>
        <v>0</v>
      </c>
      <c r="V543" s="29">
        <f t="shared" si="207"/>
        <v>0</v>
      </c>
      <c r="W543" s="29">
        <f t="shared" si="208"/>
        <v>0</v>
      </c>
      <c r="X543" s="29">
        <f t="shared" si="209"/>
        <v>0</v>
      </c>
      <c r="Y543" s="29">
        <f t="shared" si="210"/>
        <v>0</v>
      </c>
      <c r="Z543" s="29">
        <f t="shared" si="211"/>
        <v>969</v>
      </c>
    </row>
    <row r="544" spans="1:26" x14ac:dyDescent="0.3">
      <c r="A544" s="5" t="s">
        <v>3188</v>
      </c>
      <c r="B544" s="5" t="s">
        <v>3189</v>
      </c>
      <c r="C544" s="5">
        <v>16</v>
      </c>
      <c r="D544" s="6">
        <v>1937</v>
      </c>
      <c r="E544" s="17">
        <f>VLOOKUP(A544,'forecast data dump'!$A$1:$H$3450,4,FALSE)</f>
        <v>44509</v>
      </c>
      <c r="F544" s="17">
        <f>VLOOKUP(A544,'forecast data dump'!$A$1:$H$3450,5,FALSE)</f>
        <v>44539</v>
      </c>
      <c r="G544" s="42">
        <f>VLOOKUP(A544,'forecast data dump'!$A$1:$H$3450,8,FALSE)</f>
        <v>0</v>
      </c>
      <c r="H544" s="5" t="s">
        <v>3741</v>
      </c>
      <c r="I544" s="39">
        <f t="shared" si="216"/>
        <v>16</v>
      </c>
      <c r="J544" s="5"/>
      <c r="K544" s="5"/>
      <c r="L544" s="33">
        <f t="shared" si="217"/>
        <v>1937</v>
      </c>
      <c r="M544" s="33">
        <f t="shared" si="218"/>
        <v>1937</v>
      </c>
      <c r="N544" s="33">
        <f t="shared" si="219"/>
        <v>0</v>
      </c>
      <c r="T544">
        <v>1</v>
      </c>
      <c r="U544" s="29">
        <f t="shared" si="206"/>
        <v>0</v>
      </c>
      <c r="V544" s="29">
        <f t="shared" si="207"/>
        <v>0</v>
      </c>
      <c r="W544" s="29">
        <f t="shared" si="208"/>
        <v>0</v>
      </c>
      <c r="X544" s="29">
        <f t="shared" si="209"/>
        <v>0</v>
      </c>
      <c r="Y544" s="29">
        <f t="shared" si="210"/>
        <v>0</v>
      </c>
      <c r="Z544" s="29">
        <f t="shared" si="211"/>
        <v>1937</v>
      </c>
    </row>
    <row r="545" spans="1:26" x14ac:dyDescent="0.3">
      <c r="A545" s="5" t="s">
        <v>3188</v>
      </c>
      <c r="B545" s="5" t="s">
        <v>3189</v>
      </c>
      <c r="C545" s="5">
        <v>16</v>
      </c>
      <c r="D545" s="6">
        <v>2500</v>
      </c>
      <c r="E545" s="17">
        <f>VLOOKUP(A545,'forecast data dump'!$A$1:$H$3450,4,FALSE)</f>
        <v>44509</v>
      </c>
      <c r="F545" s="17">
        <f>VLOOKUP(A545,'forecast data dump'!$A$1:$H$3450,5,FALSE)</f>
        <v>44539</v>
      </c>
      <c r="G545" s="42">
        <f>VLOOKUP(A545,'forecast data dump'!$A$1:$H$3450,8,FALSE)</f>
        <v>0</v>
      </c>
      <c r="H545" s="5" t="s">
        <v>3744</v>
      </c>
      <c r="I545" s="39">
        <f t="shared" si="216"/>
        <v>16</v>
      </c>
      <c r="J545" s="5"/>
      <c r="K545" s="5"/>
      <c r="L545" s="33">
        <f t="shared" si="217"/>
        <v>2500</v>
      </c>
      <c r="M545" s="33">
        <f t="shared" si="218"/>
        <v>2500</v>
      </c>
      <c r="N545" s="33">
        <f t="shared" si="219"/>
        <v>0</v>
      </c>
      <c r="T545">
        <v>1</v>
      </c>
      <c r="U545" s="29">
        <f t="shared" si="206"/>
        <v>0</v>
      </c>
      <c r="V545" s="29">
        <f t="shared" si="207"/>
        <v>0</v>
      </c>
      <c r="W545" s="29">
        <f t="shared" si="208"/>
        <v>0</v>
      </c>
      <c r="X545" s="29">
        <f t="shared" si="209"/>
        <v>0</v>
      </c>
      <c r="Y545" s="29">
        <f t="shared" si="210"/>
        <v>0</v>
      </c>
      <c r="Z545" s="29">
        <f t="shared" si="211"/>
        <v>2500</v>
      </c>
    </row>
    <row r="546" spans="1:26" x14ac:dyDescent="0.3">
      <c r="A546" s="5" t="s">
        <v>3188</v>
      </c>
      <c r="B546" s="5" t="s">
        <v>3189</v>
      </c>
      <c r="C546" s="5">
        <v>16</v>
      </c>
      <c r="D546" s="6">
        <v>1937</v>
      </c>
      <c r="E546" s="17">
        <f>VLOOKUP(A546,'forecast data dump'!$A$1:$H$3450,4,FALSE)</f>
        <v>44509</v>
      </c>
      <c r="F546" s="17">
        <f>VLOOKUP(A546,'forecast data dump'!$A$1:$H$3450,5,FALSE)</f>
        <v>44539</v>
      </c>
      <c r="G546" s="42">
        <f>VLOOKUP(A546,'forecast data dump'!$A$1:$H$3450,8,FALSE)</f>
        <v>0</v>
      </c>
      <c r="H546" s="5" t="s">
        <v>3742</v>
      </c>
      <c r="I546" s="39">
        <f t="shared" si="216"/>
        <v>16</v>
      </c>
      <c r="J546" s="5"/>
      <c r="K546" s="5"/>
      <c r="L546" s="33">
        <f t="shared" si="217"/>
        <v>1937</v>
      </c>
      <c r="M546" s="33">
        <f t="shared" si="218"/>
        <v>1937</v>
      </c>
      <c r="N546" s="33">
        <f t="shared" si="219"/>
        <v>0</v>
      </c>
      <c r="T546">
        <v>1</v>
      </c>
      <c r="U546" s="29">
        <f t="shared" si="206"/>
        <v>0</v>
      </c>
      <c r="V546" s="29">
        <f t="shared" si="207"/>
        <v>0</v>
      </c>
      <c r="W546" s="29">
        <f t="shared" si="208"/>
        <v>0</v>
      </c>
      <c r="X546" s="29">
        <f t="shared" si="209"/>
        <v>0</v>
      </c>
      <c r="Y546" s="29">
        <f t="shared" si="210"/>
        <v>0</v>
      </c>
      <c r="Z546" s="29">
        <f t="shared" si="211"/>
        <v>1937</v>
      </c>
    </row>
    <row r="547" spans="1:26" x14ac:dyDescent="0.3">
      <c r="A547" s="5" t="s">
        <v>3190</v>
      </c>
      <c r="B547" s="5" t="s">
        <v>3191</v>
      </c>
      <c r="C547" s="5">
        <v>24</v>
      </c>
      <c r="D547" s="6">
        <v>2906</v>
      </c>
      <c r="E547" s="17">
        <f>VLOOKUP(A547,'forecast data dump'!$A$1:$H$3450,4,FALSE)</f>
        <v>44540</v>
      </c>
      <c r="F547" s="17">
        <f>VLOOKUP(A547,'forecast data dump'!$A$1:$H$3450,5,FALSE)</f>
        <v>44629</v>
      </c>
      <c r="G547" s="42">
        <f>VLOOKUP(A547,'forecast data dump'!$A$1:$H$3450,8,FALSE)</f>
        <v>0</v>
      </c>
      <c r="H547" s="5" t="s">
        <v>3745</v>
      </c>
      <c r="I547" s="39">
        <f t="shared" si="216"/>
        <v>24</v>
      </c>
      <c r="J547" s="5"/>
      <c r="K547" s="5"/>
      <c r="L547" s="33">
        <f t="shared" si="217"/>
        <v>2906</v>
      </c>
      <c r="M547" s="33">
        <f t="shared" si="218"/>
        <v>2906</v>
      </c>
      <c r="N547" s="33">
        <f t="shared" si="219"/>
        <v>0</v>
      </c>
      <c r="T547">
        <v>1</v>
      </c>
      <c r="U547" s="29">
        <f t="shared" si="206"/>
        <v>0</v>
      </c>
      <c r="V547" s="29">
        <f t="shared" si="207"/>
        <v>0</v>
      </c>
      <c r="W547" s="29">
        <f t="shared" si="208"/>
        <v>0</v>
      </c>
      <c r="X547" s="29">
        <f t="shared" si="209"/>
        <v>0</v>
      </c>
      <c r="Y547" s="29">
        <f t="shared" si="210"/>
        <v>0</v>
      </c>
      <c r="Z547" s="29">
        <f t="shared" si="211"/>
        <v>2906</v>
      </c>
    </row>
    <row r="548" spans="1:26" x14ac:dyDescent="0.3">
      <c r="A548" s="5" t="s">
        <v>3190</v>
      </c>
      <c r="B548" s="5" t="s">
        <v>3191</v>
      </c>
      <c r="C548" s="5">
        <v>48</v>
      </c>
      <c r="D548" s="6">
        <v>5811</v>
      </c>
      <c r="E548" s="17">
        <f>VLOOKUP(A548,'forecast data dump'!$A$1:$H$3450,4,FALSE)</f>
        <v>44540</v>
      </c>
      <c r="F548" s="17">
        <f>VLOOKUP(A548,'forecast data dump'!$A$1:$H$3450,5,FALSE)</f>
        <v>44629</v>
      </c>
      <c r="G548" s="42">
        <f>VLOOKUP(A548,'forecast data dump'!$A$1:$H$3450,8,FALSE)</f>
        <v>0</v>
      </c>
      <c r="H548" s="5" t="s">
        <v>3741</v>
      </c>
      <c r="I548" s="39">
        <f t="shared" si="216"/>
        <v>48</v>
      </c>
      <c r="J548" s="5"/>
      <c r="K548" s="5"/>
      <c r="L548" s="33">
        <f t="shared" si="217"/>
        <v>5811</v>
      </c>
      <c r="M548" s="33">
        <f t="shared" si="218"/>
        <v>5811</v>
      </c>
      <c r="N548" s="33">
        <f t="shared" si="219"/>
        <v>0</v>
      </c>
      <c r="T548">
        <v>1</v>
      </c>
      <c r="U548" s="29">
        <f t="shared" si="206"/>
        <v>0</v>
      </c>
      <c r="V548" s="29">
        <f t="shared" si="207"/>
        <v>0</v>
      </c>
      <c r="W548" s="29">
        <f t="shared" si="208"/>
        <v>0</v>
      </c>
      <c r="X548" s="29">
        <f t="shared" si="209"/>
        <v>0</v>
      </c>
      <c r="Y548" s="29">
        <f t="shared" si="210"/>
        <v>0</v>
      </c>
      <c r="Z548" s="29">
        <f t="shared" si="211"/>
        <v>5811</v>
      </c>
    </row>
    <row r="549" spans="1:26" x14ac:dyDescent="0.3">
      <c r="A549" s="5" t="s">
        <v>3190</v>
      </c>
      <c r="B549" s="5" t="s">
        <v>3191</v>
      </c>
      <c r="C549" s="5">
        <v>48</v>
      </c>
      <c r="D549" s="6">
        <v>7499</v>
      </c>
      <c r="E549" s="17">
        <f>VLOOKUP(A549,'forecast data dump'!$A$1:$H$3450,4,FALSE)</f>
        <v>44540</v>
      </c>
      <c r="F549" s="17">
        <f>VLOOKUP(A549,'forecast data dump'!$A$1:$H$3450,5,FALSE)</f>
        <v>44629</v>
      </c>
      <c r="G549" s="42">
        <f>VLOOKUP(A549,'forecast data dump'!$A$1:$H$3450,8,FALSE)</f>
        <v>0</v>
      </c>
      <c r="H549" s="5" t="s">
        <v>3744</v>
      </c>
      <c r="I549" s="39">
        <f t="shared" si="216"/>
        <v>48</v>
      </c>
      <c r="J549" s="5"/>
      <c r="K549" s="5"/>
      <c r="L549" s="33">
        <f t="shared" si="217"/>
        <v>7499</v>
      </c>
      <c r="M549" s="33">
        <f t="shared" si="218"/>
        <v>7499</v>
      </c>
      <c r="N549" s="33">
        <f t="shared" si="219"/>
        <v>0</v>
      </c>
      <c r="T549">
        <v>1</v>
      </c>
      <c r="U549" s="29">
        <f t="shared" si="206"/>
        <v>0</v>
      </c>
      <c r="V549" s="29">
        <f t="shared" si="207"/>
        <v>0</v>
      </c>
      <c r="W549" s="29">
        <f t="shared" si="208"/>
        <v>0</v>
      </c>
      <c r="X549" s="29">
        <f t="shared" si="209"/>
        <v>0</v>
      </c>
      <c r="Y549" s="29">
        <f t="shared" si="210"/>
        <v>0</v>
      </c>
      <c r="Z549" s="29">
        <f t="shared" si="211"/>
        <v>7499</v>
      </c>
    </row>
    <row r="550" spans="1:26" x14ac:dyDescent="0.3">
      <c r="A550" s="5" t="s">
        <v>3190</v>
      </c>
      <c r="B550" s="5" t="s">
        <v>3191</v>
      </c>
      <c r="C550" s="5">
        <v>48</v>
      </c>
      <c r="D550" s="6">
        <v>5811</v>
      </c>
      <c r="E550" s="17">
        <f>VLOOKUP(A550,'forecast data dump'!$A$1:$H$3450,4,FALSE)</f>
        <v>44540</v>
      </c>
      <c r="F550" s="17">
        <f>VLOOKUP(A550,'forecast data dump'!$A$1:$H$3450,5,FALSE)</f>
        <v>44629</v>
      </c>
      <c r="G550" s="42">
        <f>VLOOKUP(A550,'forecast data dump'!$A$1:$H$3450,8,FALSE)</f>
        <v>0</v>
      </c>
      <c r="H550" s="5" t="s">
        <v>3742</v>
      </c>
      <c r="I550" s="39">
        <f t="shared" si="216"/>
        <v>48</v>
      </c>
      <c r="J550" s="5"/>
      <c r="K550" s="5"/>
      <c r="L550" s="33">
        <f t="shared" si="217"/>
        <v>5811</v>
      </c>
      <c r="M550" s="33">
        <f t="shared" si="218"/>
        <v>5811</v>
      </c>
      <c r="N550" s="33">
        <f t="shared" si="219"/>
        <v>0</v>
      </c>
      <c r="T550">
        <v>1</v>
      </c>
      <c r="U550" s="29">
        <f t="shared" si="206"/>
        <v>0</v>
      </c>
      <c r="V550" s="29">
        <f t="shared" si="207"/>
        <v>0</v>
      </c>
      <c r="W550" s="29">
        <f t="shared" si="208"/>
        <v>0</v>
      </c>
      <c r="X550" s="29">
        <f t="shared" si="209"/>
        <v>0</v>
      </c>
      <c r="Y550" s="29">
        <f t="shared" si="210"/>
        <v>0</v>
      </c>
      <c r="Z550" s="29">
        <f t="shared" si="211"/>
        <v>5811</v>
      </c>
    </row>
    <row r="551" spans="1:26" x14ac:dyDescent="0.3">
      <c r="A551" s="5" t="s">
        <v>3192</v>
      </c>
      <c r="B551" s="5" t="s">
        <v>3193</v>
      </c>
      <c r="C551" s="5">
        <v>8</v>
      </c>
      <c r="D551" s="6">
        <v>1461</v>
      </c>
      <c r="E551" s="17">
        <f>VLOOKUP(A551,'forecast data dump'!$A$1:$H$3450,4,FALSE)</f>
        <v>44686</v>
      </c>
      <c r="F551" s="17">
        <f>VLOOKUP(A551,'forecast data dump'!$A$1:$H$3450,5,FALSE)</f>
        <v>44699</v>
      </c>
      <c r="G551" s="42">
        <f>VLOOKUP(A551,'forecast data dump'!$A$1:$H$3450,8,FALSE)</f>
        <v>0</v>
      </c>
      <c r="H551" s="5" t="s">
        <v>3740</v>
      </c>
      <c r="I551" s="39">
        <f t="shared" si="216"/>
        <v>8</v>
      </c>
      <c r="J551" s="5"/>
      <c r="K551" s="5"/>
      <c r="L551" s="33">
        <f t="shared" si="217"/>
        <v>1461</v>
      </c>
      <c r="M551" s="33">
        <f t="shared" si="218"/>
        <v>1461</v>
      </c>
      <c r="N551" s="33">
        <f t="shared" si="219"/>
        <v>0</v>
      </c>
      <c r="T551">
        <v>1</v>
      </c>
      <c r="U551" s="29">
        <f t="shared" si="206"/>
        <v>0</v>
      </c>
      <c r="V551" s="29">
        <f t="shared" si="207"/>
        <v>0</v>
      </c>
      <c r="W551" s="29">
        <f t="shared" si="208"/>
        <v>0</v>
      </c>
      <c r="X551" s="29">
        <f t="shared" si="209"/>
        <v>0</v>
      </c>
      <c r="Y551" s="29">
        <f t="shared" si="210"/>
        <v>0</v>
      </c>
      <c r="Z551" s="29">
        <f t="shared" si="211"/>
        <v>1461</v>
      </c>
    </row>
    <row r="552" spans="1:26" x14ac:dyDescent="0.3">
      <c r="A552" s="5" t="s">
        <v>3192</v>
      </c>
      <c r="B552" s="5" t="s">
        <v>3193</v>
      </c>
      <c r="C552" s="5">
        <v>4</v>
      </c>
      <c r="D552" s="6">
        <v>484</v>
      </c>
      <c r="E552" s="17">
        <f>VLOOKUP(A552,'forecast data dump'!$A$1:$H$3450,4,FALSE)</f>
        <v>44686</v>
      </c>
      <c r="F552" s="17">
        <f>VLOOKUP(A552,'forecast data dump'!$A$1:$H$3450,5,FALSE)</f>
        <v>44699</v>
      </c>
      <c r="G552" s="42">
        <f>VLOOKUP(A552,'forecast data dump'!$A$1:$H$3450,8,FALSE)</f>
        <v>0</v>
      </c>
      <c r="H552" s="5" t="s">
        <v>3745</v>
      </c>
      <c r="I552" s="39">
        <f t="shared" si="216"/>
        <v>4</v>
      </c>
      <c r="J552" s="5"/>
      <c r="K552" s="5"/>
      <c r="L552" s="33">
        <f t="shared" si="217"/>
        <v>484</v>
      </c>
      <c r="M552" s="33">
        <f t="shared" si="218"/>
        <v>484</v>
      </c>
      <c r="N552" s="33">
        <f t="shared" si="219"/>
        <v>0</v>
      </c>
      <c r="T552">
        <v>1</v>
      </c>
      <c r="U552" s="29">
        <f t="shared" si="206"/>
        <v>0</v>
      </c>
      <c r="V552" s="29">
        <f t="shared" si="207"/>
        <v>0</v>
      </c>
      <c r="W552" s="29">
        <f t="shared" si="208"/>
        <v>0</v>
      </c>
      <c r="X552" s="29">
        <f t="shared" si="209"/>
        <v>0</v>
      </c>
      <c r="Y552" s="29">
        <f t="shared" si="210"/>
        <v>0</v>
      </c>
      <c r="Z552" s="29">
        <f t="shared" si="211"/>
        <v>484</v>
      </c>
    </row>
    <row r="553" spans="1:26" x14ac:dyDescent="0.3">
      <c r="A553" s="5" t="s">
        <v>3192</v>
      </c>
      <c r="B553" s="5" t="s">
        <v>3193</v>
      </c>
      <c r="C553" s="5">
        <v>8</v>
      </c>
      <c r="D553" s="6">
        <v>969</v>
      </c>
      <c r="E553" s="17">
        <f>VLOOKUP(A553,'forecast data dump'!$A$1:$H$3450,4,FALSE)</f>
        <v>44686</v>
      </c>
      <c r="F553" s="17">
        <f>VLOOKUP(A553,'forecast data dump'!$A$1:$H$3450,5,FALSE)</f>
        <v>44699</v>
      </c>
      <c r="G553" s="42">
        <f>VLOOKUP(A553,'forecast data dump'!$A$1:$H$3450,8,FALSE)</f>
        <v>0</v>
      </c>
      <c r="H553" s="5" t="s">
        <v>3741</v>
      </c>
      <c r="I553" s="39">
        <f t="shared" si="216"/>
        <v>8</v>
      </c>
      <c r="J553" s="5"/>
      <c r="K553" s="5"/>
      <c r="L553" s="33">
        <f t="shared" si="217"/>
        <v>969</v>
      </c>
      <c r="M553" s="33">
        <f t="shared" si="218"/>
        <v>969</v>
      </c>
      <c r="N553" s="33">
        <f t="shared" si="219"/>
        <v>0</v>
      </c>
      <c r="T553">
        <v>1</v>
      </c>
      <c r="U553" s="29">
        <f t="shared" si="206"/>
        <v>0</v>
      </c>
      <c r="V553" s="29">
        <f t="shared" si="207"/>
        <v>0</v>
      </c>
      <c r="W553" s="29">
        <f t="shared" si="208"/>
        <v>0</v>
      </c>
      <c r="X553" s="29">
        <f t="shared" si="209"/>
        <v>0</v>
      </c>
      <c r="Y553" s="29">
        <f t="shared" si="210"/>
        <v>0</v>
      </c>
      <c r="Z553" s="29">
        <f t="shared" si="211"/>
        <v>969</v>
      </c>
    </row>
    <row r="554" spans="1:26" x14ac:dyDescent="0.3">
      <c r="A554" s="5" t="s">
        <v>3192</v>
      </c>
      <c r="B554" s="5" t="s">
        <v>3193</v>
      </c>
      <c r="C554" s="5">
        <v>8</v>
      </c>
      <c r="D554" s="6">
        <v>1250</v>
      </c>
      <c r="E554" s="17">
        <f>VLOOKUP(A554,'forecast data dump'!$A$1:$H$3450,4,FALSE)</f>
        <v>44686</v>
      </c>
      <c r="F554" s="17">
        <f>VLOOKUP(A554,'forecast data dump'!$A$1:$H$3450,5,FALSE)</f>
        <v>44699</v>
      </c>
      <c r="G554" s="42">
        <f>VLOOKUP(A554,'forecast data dump'!$A$1:$H$3450,8,FALSE)</f>
        <v>0</v>
      </c>
      <c r="H554" s="5" t="s">
        <v>3744</v>
      </c>
      <c r="I554" s="39">
        <f t="shared" si="216"/>
        <v>8</v>
      </c>
      <c r="J554" s="5"/>
      <c r="K554" s="5"/>
      <c r="L554" s="33">
        <f t="shared" si="217"/>
        <v>1250</v>
      </c>
      <c r="M554" s="33">
        <f t="shared" si="218"/>
        <v>1250</v>
      </c>
      <c r="N554" s="33">
        <f t="shared" si="219"/>
        <v>0</v>
      </c>
      <c r="T554">
        <v>1</v>
      </c>
      <c r="U554" s="29">
        <f t="shared" si="206"/>
        <v>0</v>
      </c>
      <c r="V554" s="29">
        <f t="shared" si="207"/>
        <v>0</v>
      </c>
      <c r="W554" s="29">
        <f t="shared" si="208"/>
        <v>0</v>
      </c>
      <c r="X554" s="29">
        <f t="shared" si="209"/>
        <v>0</v>
      </c>
      <c r="Y554" s="29">
        <f t="shared" si="210"/>
        <v>0</v>
      </c>
      <c r="Z554" s="29">
        <f t="shared" si="211"/>
        <v>1250</v>
      </c>
    </row>
    <row r="555" spans="1:26" x14ac:dyDescent="0.3">
      <c r="A555" s="5" t="s">
        <v>3192</v>
      </c>
      <c r="B555" s="5" t="s">
        <v>3193</v>
      </c>
      <c r="C555" s="5">
        <v>8</v>
      </c>
      <c r="D555" s="6">
        <v>969</v>
      </c>
      <c r="E555" s="17">
        <f>VLOOKUP(A555,'forecast data dump'!$A$1:$H$3450,4,FALSE)</f>
        <v>44686</v>
      </c>
      <c r="F555" s="17">
        <f>VLOOKUP(A555,'forecast data dump'!$A$1:$H$3450,5,FALSE)</f>
        <v>44699</v>
      </c>
      <c r="G555" s="42">
        <f>VLOOKUP(A555,'forecast data dump'!$A$1:$H$3450,8,FALSE)</f>
        <v>0</v>
      </c>
      <c r="H555" s="5" t="s">
        <v>3742</v>
      </c>
      <c r="I555" s="39">
        <f t="shared" si="216"/>
        <v>8</v>
      </c>
      <c r="J555" s="5"/>
      <c r="K555" s="5"/>
      <c r="L555" s="33">
        <f t="shared" si="217"/>
        <v>969</v>
      </c>
      <c r="M555" s="33">
        <f t="shared" si="218"/>
        <v>969</v>
      </c>
      <c r="N555" s="33">
        <f t="shared" si="219"/>
        <v>0</v>
      </c>
      <c r="T555">
        <v>1</v>
      </c>
      <c r="U555" s="29">
        <f t="shared" ref="U555:U615" si="220">O555*M555</f>
        <v>0</v>
      </c>
      <c r="V555" s="29">
        <f t="shared" ref="V555:V615" si="221">P555*M555</f>
        <v>0</v>
      </c>
      <c r="W555" s="29">
        <f t="shared" ref="W555:W615" si="222">Q555*M555</f>
        <v>0</v>
      </c>
      <c r="X555" s="29">
        <f t="shared" ref="X555:X615" si="223">R555*M555</f>
        <v>0</v>
      </c>
      <c r="Y555" s="29">
        <f t="shared" ref="Y555:Y615" si="224">S555*M555</f>
        <v>0</v>
      </c>
      <c r="Z555" s="29">
        <f t="shared" ref="Z555:Z615" si="225">T555*M555</f>
        <v>969</v>
      </c>
    </row>
    <row r="556" spans="1:26" x14ac:dyDescent="0.3">
      <c r="A556" s="5" t="s">
        <v>3194</v>
      </c>
      <c r="B556" s="5" t="s">
        <v>3195</v>
      </c>
      <c r="C556" s="5">
        <v>20000</v>
      </c>
      <c r="D556" s="6">
        <v>23678</v>
      </c>
      <c r="E556" s="17">
        <f>VLOOKUP(A556,'forecast data dump'!$A$1:$H$3450,4,FALSE)</f>
        <v>44540</v>
      </c>
      <c r="F556" s="17">
        <f>VLOOKUP(A556,'forecast data dump'!$A$1:$H$3450,5,FALSE)</f>
        <v>44629</v>
      </c>
      <c r="G556" s="42">
        <f>VLOOKUP(A556,'forecast data dump'!$A$1:$H$3450,8,FALSE)</f>
        <v>0</v>
      </c>
      <c r="H556" s="5" t="s">
        <v>3762</v>
      </c>
      <c r="I556" s="39">
        <f t="shared" si="216"/>
        <v>20000</v>
      </c>
      <c r="J556" s="5"/>
      <c r="K556" s="5"/>
      <c r="L556" s="33">
        <f t="shared" si="217"/>
        <v>23678</v>
      </c>
      <c r="M556" s="33">
        <f t="shared" si="218"/>
        <v>23678</v>
      </c>
      <c r="N556" s="33">
        <f t="shared" si="219"/>
        <v>0</v>
      </c>
      <c r="Q556">
        <v>1</v>
      </c>
      <c r="U556" s="29">
        <f t="shared" si="220"/>
        <v>0</v>
      </c>
      <c r="V556" s="29">
        <f t="shared" si="221"/>
        <v>0</v>
      </c>
      <c r="W556" s="29">
        <f t="shared" si="222"/>
        <v>23678</v>
      </c>
      <c r="X556" s="29">
        <f t="shared" si="223"/>
        <v>0</v>
      </c>
      <c r="Y556" s="29">
        <f t="shared" si="224"/>
        <v>0</v>
      </c>
      <c r="Z556" s="29">
        <f t="shared" si="225"/>
        <v>0</v>
      </c>
    </row>
    <row r="557" spans="1:26" x14ac:dyDescent="0.3">
      <c r="A557" s="5" t="s">
        <v>3198</v>
      </c>
      <c r="B557" s="5" t="s">
        <v>3199</v>
      </c>
      <c r="C557" s="5">
        <v>24</v>
      </c>
      <c r="D557" s="6">
        <v>2906</v>
      </c>
      <c r="E557" s="17">
        <f>VLOOKUP(A557,'forecast data dump'!$A$1:$H$3450,4,FALSE)</f>
        <v>44466</v>
      </c>
      <c r="F557" s="17">
        <f>VLOOKUP(A557,'forecast data dump'!$A$1:$H$3450,5,FALSE)</f>
        <v>44508</v>
      </c>
      <c r="G557" s="42">
        <f>VLOOKUP(A557,'forecast data dump'!$A$1:$H$3450,8,FALSE)</f>
        <v>0</v>
      </c>
      <c r="H557" s="5" t="s">
        <v>3741</v>
      </c>
      <c r="I557" s="39">
        <f t="shared" si="216"/>
        <v>24</v>
      </c>
      <c r="J557" s="5"/>
      <c r="K557" s="5"/>
      <c r="L557" s="33">
        <f t="shared" si="217"/>
        <v>2906</v>
      </c>
      <c r="M557" s="33">
        <f t="shared" si="218"/>
        <v>2906</v>
      </c>
      <c r="N557" s="33">
        <f t="shared" si="219"/>
        <v>0</v>
      </c>
      <c r="T557">
        <v>1</v>
      </c>
      <c r="U557" s="29">
        <f t="shared" si="220"/>
        <v>0</v>
      </c>
      <c r="V557" s="29">
        <f t="shared" si="221"/>
        <v>0</v>
      </c>
      <c r="W557" s="29">
        <f t="shared" si="222"/>
        <v>0</v>
      </c>
      <c r="X557" s="29">
        <f t="shared" si="223"/>
        <v>0</v>
      </c>
      <c r="Y557" s="29">
        <f t="shared" si="224"/>
        <v>0</v>
      </c>
      <c r="Z557" s="29">
        <f t="shared" si="225"/>
        <v>2906</v>
      </c>
    </row>
    <row r="558" spans="1:26" x14ac:dyDescent="0.3">
      <c r="A558" s="5" t="s">
        <v>3198</v>
      </c>
      <c r="B558" s="5" t="s">
        <v>3199</v>
      </c>
      <c r="C558" s="5">
        <v>24</v>
      </c>
      <c r="D558" s="6">
        <v>3750</v>
      </c>
      <c r="E558" s="17">
        <f>VLOOKUP(A558,'forecast data dump'!$A$1:$H$3450,4,FALSE)</f>
        <v>44466</v>
      </c>
      <c r="F558" s="17">
        <f>VLOOKUP(A558,'forecast data dump'!$A$1:$H$3450,5,FALSE)</f>
        <v>44508</v>
      </c>
      <c r="G558" s="42">
        <f>VLOOKUP(A558,'forecast data dump'!$A$1:$H$3450,8,FALSE)</f>
        <v>0</v>
      </c>
      <c r="H558" s="5" t="s">
        <v>3744</v>
      </c>
      <c r="I558" s="39">
        <f t="shared" si="216"/>
        <v>24</v>
      </c>
      <c r="J558" s="5"/>
      <c r="K558" s="5"/>
      <c r="L558" s="33">
        <f t="shared" si="217"/>
        <v>3750</v>
      </c>
      <c r="M558" s="33">
        <f t="shared" si="218"/>
        <v>3750</v>
      </c>
      <c r="N558" s="33">
        <f t="shared" si="219"/>
        <v>0</v>
      </c>
      <c r="T558">
        <v>1</v>
      </c>
      <c r="U558" s="29">
        <f t="shared" si="220"/>
        <v>0</v>
      </c>
      <c r="V558" s="29">
        <f t="shared" si="221"/>
        <v>0</v>
      </c>
      <c r="W558" s="29">
        <f t="shared" si="222"/>
        <v>0</v>
      </c>
      <c r="X558" s="29">
        <f t="shared" si="223"/>
        <v>0</v>
      </c>
      <c r="Y558" s="29">
        <f t="shared" si="224"/>
        <v>0</v>
      </c>
      <c r="Z558" s="29">
        <f t="shared" si="225"/>
        <v>3750</v>
      </c>
    </row>
    <row r="559" spans="1:26" x14ac:dyDescent="0.3">
      <c r="A559" s="5" t="s">
        <v>3198</v>
      </c>
      <c r="B559" s="5" t="s">
        <v>3199</v>
      </c>
      <c r="C559" s="5">
        <v>24</v>
      </c>
      <c r="D559" s="6">
        <v>2906</v>
      </c>
      <c r="E559" s="17">
        <f>VLOOKUP(A559,'forecast data dump'!$A$1:$H$3450,4,FALSE)</f>
        <v>44466</v>
      </c>
      <c r="F559" s="17">
        <f>VLOOKUP(A559,'forecast data dump'!$A$1:$H$3450,5,FALSE)</f>
        <v>44508</v>
      </c>
      <c r="G559" s="42">
        <f>VLOOKUP(A559,'forecast data dump'!$A$1:$H$3450,8,FALSE)</f>
        <v>0</v>
      </c>
      <c r="H559" s="5" t="s">
        <v>3742</v>
      </c>
      <c r="I559" s="39">
        <f t="shared" si="216"/>
        <v>24</v>
      </c>
      <c r="J559" s="5"/>
      <c r="K559" s="5"/>
      <c r="L559" s="33">
        <f t="shared" si="217"/>
        <v>2906</v>
      </c>
      <c r="M559" s="33">
        <f t="shared" si="218"/>
        <v>2906</v>
      </c>
      <c r="N559" s="33">
        <f t="shared" si="219"/>
        <v>0</v>
      </c>
      <c r="T559">
        <v>1</v>
      </c>
      <c r="U559" s="29">
        <f t="shared" si="220"/>
        <v>0</v>
      </c>
      <c r="V559" s="29">
        <f t="shared" si="221"/>
        <v>0</v>
      </c>
      <c r="W559" s="29">
        <f t="shared" si="222"/>
        <v>0</v>
      </c>
      <c r="X559" s="29">
        <f t="shared" si="223"/>
        <v>0</v>
      </c>
      <c r="Y559" s="29">
        <f t="shared" si="224"/>
        <v>0</v>
      </c>
      <c r="Z559" s="29">
        <f t="shared" si="225"/>
        <v>2906</v>
      </c>
    </row>
    <row r="560" spans="1:26" x14ac:dyDescent="0.3">
      <c r="A560" s="3" t="s">
        <v>7884</v>
      </c>
      <c r="B560" s="3"/>
      <c r="C560" s="3"/>
      <c r="D560" s="4"/>
      <c r="E560" s="15"/>
      <c r="F560" s="15"/>
      <c r="G560" s="41"/>
      <c r="H560" s="3"/>
      <c r="I560" s="38"/>
      <c r="J560" s="3"/>
      <c r="K560" s="3"/>
      <c r="L560" s="32"/>
      <c r="M560" s="32"/>
      <c r="N560" s="32"/>
      <c r="U560" s="29"/>
      <c r="V560" s="29"/>
      <c r="W560" s="29"/>
      <c r="X560" s="29"/>
      <c r="Y560" s="29"/>
      <c r="Z560" s="29"/>
    </row>
    <row r="561" spans="1:26" x14ac:dyDescent="0.3">
      <c r="A561" s="5" t="s">
        <v>3200</v>
      </c>
      <c r="B561" s="5" t="s">
        <v>3201</v>
      </c>
      <c r="C561" s="5">
        <v>4</v>
      </c>
      <c r="D561" s="6">
        <v>625</v>
      </c>
      <c r="E561" s="17">
        <f>VLOOKUP(A561,'forecast data dump'!$A$1:$H$3450,4,FALSE)</f>
        <v>44466</v>
      </c>
      <c r="F561" s="17">
        <f>VLOOKUP(A561,'forecast data dump'!$A$1:$H$3450,5,FALSE)</f>
        <v>44477</v>
      </c>
      <c r="G561" s="42">
        <f>VLOOKUP(A561,'forecast data dump'!$A$1:$H$3450,8,FALSE)</f>
        <v>0</v>
      </c>
      <c r="H561" s="5" t="s">
        <v>3763</v>
      </c>
      <c r="I561" s="39">
        <f t="shared" ref="I561:I595" si="226">C561*(1-G561)</f>
        <v>4</v>
      </c>
      <c r="J561" s="5"/>
      <c r="K561" s="5"/>
      <c r="L561" s="33">
        <f t="shared" ref="L561:L595" si="227">D561*(1-G561)</f>
        <v>625</v>
      </c>
      <c r="M561" s="33">
        <f t="shared" ref="M561:M595" si="228">IF(J561="",L561,(D561/C561)*J561)</f>
        <v>625</v>
      </c>
      <c r="N561" s="33">
        <f t="shared" ref="N561:N595" si="229">L561-M561</f>
        <v>0</v>
      </c>
      <c r="T561">
        <v>1</v>
      </c>
      <c r="U561" s="29">
        <f t="shared" si="220"/>
        <v>0</v>
      </c>
      <c r="V561" s="29">
        <f t="shared" si="221"/>
        <v>0</v>
      </c>
      <c r="W561" s="29">
        <f t="shared" si="222"/>
        <v>0</v>
      </c>
      <c r="X561" s="29">
        <f t="shared" si="223"/>
        <v>0</v>
      </c>
      <c r="Y561" s="29">
        <f t="shared" si="224"/>
        <v>0</v>
      </c>
      <c r="Z561" s="29">
        <f t="shared" si="225"/>
        <v>625</v>
      </c>
    </row>
    <row r="562" spans="1:26" x14ac:dyDescent="0.3">
      <c r="A562" s="5" t="s">
        <v>3202</v>
      </c>
      <c r="B562" s="5" t="s">
        <v>3203</v>
      </c>
      <c r="C562" s="5">
        <v>2</v>
      </c>
      <c r="D562" s="6">
        <v>312</v>
      </c>
      <c r="E562" s="17">
        <f>VLOOKUP(A562,'forecast data dump'!$A$1:$H$3450,4,FALSE)</f>
        <v>44481</v>
      </c>
      <c r="F562" s="17">
        <f>VLOOKUP(A562,'forecast data dump'!$A$1:$H$3450,5,FALSE)</f>
        <v>44487</v>
      </c>
      <c r="G562" s="42">
        <f>VLOOKUP(A562,'forecast data dump'!$A$1:$H$3450,8,FALSE)</f>
        <v>0</v>
      </c>
      <c r="H562" s="5" t="s">
        <v>3763</v>
      </c>
      <c r="I562" s="39">
        <f t="shared" si="226"/>
        <v>2</v>
      </c>
      <c r="J562" s="5"/>
      <c r="K562" s="5"/>
      <c r="L562" s="33">
        <f t="shared" si="227"/>
        <v>312</v>
      </c>
      <c r="M562" s="33">
        <f t="shared" si="228"/>
        <v>312</v>
      </c>
      <c r="N562" s="33">
        <f t="shared" si="229"/>
        <v>0</v>
      </c>
      <c r="T562">
        <v>1</v>
      </c>
      <c r="U562" s="29">
        <f t="shared" si="220"/>
        <v>0</v>
      </c>
      <c r="V562" s="29">
        <f t="shared" si="221"/>
        <v>0</v>
      </c>
      <c r="W562" s="29">
        <f t="shared" si="222"/>
        <v>0</v>
      </c>
      <c r="X562" s="29">
        <f t="shared" si="223"/>
        <v>0</v>
      </c>
      <c r="Y562" s="29">
        <f t="shared" si="224"/>
        <v>0</v>
      </c>
      <c r="Z562" s="29">
        <f t="shared" si="225"/>
        <v>312</v>
      </c>
    </row>
    <row r="563" spans="1:26" x14ac:dyDescent="0.3">
      <c r="A563" s="5" t="s">
        <v>3204</v>
      </c>
      <c r="B563" s="5" t="s">
        <v>3205</v>
      </c>
      <c r="C563" s="5">
        <v>4</v>
      </c>
      <c r="D563" s="6">
        <v>730</v>
      </c>
      <c r="E563" s="17">
        <f>VLOOKUP(A563,'forecast data dump'!$A$1:$H$3450,4,FALSE)</f>
        <v>44488</v>
      </c>
      <c r="F563" s="17">
        <f>VLOOKUP(A563,'forecast data dump'!$A$1:$H$3450,5,FALSE)</f>
        <v>44494</v>
      </c>
      <c r="G563" s="42">
        <f>VLOOKUP(A563,'forecast data dump'!$A$1:$H$3450,8,FALSE)</f>
        <v>0</v>
      </c>
      <c r="H563" s="5" t="s">
        <v>3740</v>
      </c>
      <c r="I563" s="39">
        <f t="shared" si="226"/>
        <v>4</v>
      </c>
      <c r="J563" s="5"/>
      <c r="K563" s="5"/>
      <c r="L563" s="33">
        <f t="shared" si="227"/>
        <v>730</v>
      </c>
      <c r="M563" s="33">
        <f t="shared" si="228"/>
        <v>730</v>
      </c>
      <c r="N563" s="33">
        <f t="shared" si="229"/>
        <v>0</v>
      </c>
      <c r="T563">
        <v>1</v>
      </c>
      <c r="U563" s="29">
        <f t="shared" si="220"/>
        <v>0</v>
      </c>
      <c r="V563" s="29">
        <f t="shared" si="221"/>
        <v>0</v>
      </c>
      <c r="W563" s="29">
        <f t="shared" si="222"/>
        <v>0</v>
      </c>
      <c r="X563" s="29">
        <f t="shared" si="223"/>
        <v>0</v>
      </c>
      <c r="Y563" s="29">
        <f t="shared" si="224"/>
        <v>0</v>
      </c>
      <c r="Z563" s="29">
        <f t="shared" si="225"/>
        <v>730</v>
      </c>
    </row>
    <row r="564" spans="1:26" x14ac:dyDescent="0.3">
      <c r="A564" s="5" t="s">
        <v>3204</v>
      </c>
      <c r="B564" s="5" t="s">
        <v>3205</v>
      </c>
      <c r="C564" s="5">
        <v>4</v>
      </c>
      <c r="D564" s="6">
        <v>625</v>
      </c>
      <c r="E564" s="17">
        <f>VLOOKUP(A564,'forecast data dump'!$A$1:$H$3450,4,FALSE)</f>
        <v>44488</v>
      </c>
      <c r="F564" s="17">
        <f>VLOOKUP(A564,'forecast data dump'!$A$1:$H$3450,5,FALSE)</f>
        <v>44494</v>
      </c>
      <c r="G564" s="42">
        <f>VLOOKUP(A564,'forecast data dump'!$A$1:$H$3450,8,FALSE)</f>
        <v>0</v>
      </c>
      <c r="H564" s="5" t="s">
        <v>3744</v>
      </c>
      <c r="I564" s="39">
        <f t="shared" si="226"/>
        <v>4</v>
      </c>
      <c r="J564" s="5"/>
      <c r="K564" s="5"/>
      <c r="L564" s="33">
        <f t="shared" si="227"/>
        <v>625</v>
      </c>
      <c r="M564" s="33">
        <f t="shared" si="228"/>
        <v>625</v>
      </c>
      <c r="N564" s="33">
        <f t="shared" si="229"/>
        <v>0</v>
      </c>
      <c r="T564">
        <v>1</v>
      </c>
      <c r="U564" s="29">
        <f t="shared" si="220"/>
        <v>0</v>
      </c>
      <c r="V564" s="29">
        <f t="shared" si="221"/>
        <v>0</v>
      </c>
      <c r="W564" s="29">
        <f t="shared" si="222"/>
        <v>0</v>
      </c>
      <c r="X564" s="29">
        <f t="shared" si="223"/>
        <v>0</v>
      </c>
      <c r="Y564" s="29">
        <f t="shared" si="224"/>
        <v>0</v>
      </c>
      <c r="Z564" s="29">
        <f t="shared" si="225"/>
        <v>625</v>
      </c>
    </row>
    <row r="565" spans="1:26" x14ac:dyDescent="0.3">
      <c r="A565" s="5" t="s">
        <v>3206</v>
      </c>
      <c r="B565" s="5" t="s">
        <v>3207</v>
      </c>
      <c r="C565" s="5">
        <v>8</v>
      </c>
      <c r="D565" s="6">
        <v>1461</v>
      </c>
      <c r="E565" s="17">
        <f>VLOOKUP(A565,'forecast data dump'!$A$1:$H$3450,4,FALSE)</f>
        <v>44495</v>
      </c>
      <c r="F565" s="17">
        <f>VLOOKUP(A565,'forecast data dump'!$A$1:$H$3450,5,FALSE)</f>
        <v>44508</v>
      </c>
      <c r="G565" s="42">
        <f>VLOOKUP(A565,'forecast data dump'!$A$1:$H$3450,8,FALSE)</f>
        <v>0</v>
      </c>
      <c r="H565" s="5" t="s">
        <v>3740</v>
      </c>
      <c r="I565" s="39">
        <f t="shared" si="226"/>
        <v>8</v>
      </c>
      <c r="J565" s="5"/>
      <c r="K565" s="5"/>
      <c r="L565" s="33">
        <f t="shared" si="227"/>
        <v>1461</v>
      </c>
      <c r="M565" s="33">
        <f t="shared" si="228"/>
        <v>1461</v>
      </c>
      <c r="N565" s="33">
        <f t="shared" si="229"/>
        <v>0</v>
      </c>
      <c r="T565">
        <v>1</v>
      </c>
      <c r="U565" s="29">
        <f t="shared" si="220"/>
        <v>0</v>
      </c>
      <c r="V565" s="29">
        <f t="shared" si="221"/>
        <v>0</v>
      </c>
      <c r="W565" s="29">
        <f t="shared" si="222"/>
        <v>0</v>
      </c>
      <c r="X565" s="29">
        <f t="shared" si="223"/>
        <v>0</v>
      </c>
      <c r="Y565" s="29">
        <f t="shared" si="224"/>
        <v>0</v>
      </c>
      <c r="Z565" s="29">
        <f t="shared" si="225"/>
        <v>1461</v>
      </c>
    </row>
    <row r="566" spans="1:26" x14ac:dyDescent="0.3">
      <c r="A566" s="5" t="s">
        <v>3206</v>
      </c>
      <c r="B566" s="5" t="s">
        <v>3207</v>
      </c>
      <c r="C566" s="5">
        <v>8</v>
      </c>
      <c r="D566" s="6">
        <v>969</v>
      </c>
      <c r="E566" s="17">
        <f>VLOOKUP(A566,'forecast data dump'!$A$1:$H$3450,4,FALSE)</f>
        <v>44495</v>
      </c>
      <c r="F566" s="17">
        <f>VLOOKUP(A566,'forecast data dump'!$A$1:$H$3450,5,FALSE)</f>
        <v>44508</v>
      </c>
      <c r="G566" s="42">
        <f>VLOOKUP(A566,'forecast data dump'!$A$1:$H$3450,8,FALSE)</f>
        <v>0</v>
      </c>
      <c r="H566" s="5" t="s">
        <v>3745</v>
      </c>
      <c r="I566" s="39">
        <f t="shared" si="226"/>
        <v>8</v>
      </c>
      <c r="J566" s="5"/>
      <c r="K566" s="5"/>
      <c r="L566" s="33">
        <f t="shared" si="227"/>
        <v>969</v>
      </c>
      <c r="M566" s="33">
        <f t="shared" si="228"/>
        <v>969</v>
      </c>
      <c r="N566" s="33">
        <f t="shared" si="229"/>
        <v>0</v>
      </c>
      <c r="T566">
        <v>1</v>
      </c>
      <c r="U566" s="29">
        <f t="shared" si="220"/>
        <v>0</v>
      </c>
      <c r="V566" s="29">
        <f t="shared" si="221"/>
        <v>0</v>
      </c>
      <c r="W566" s="29">
        <f t="shared" si="222"/>
        <v>0</v>
      </c>
      <c r="X566" s="29">
        <f t="shared" si="223"/>
        <v>0</v>
      </c>
      <c r="Y566" s="29">
        <f t="shared" si="224"/>
        <v>0</v>
      </c>
      <c r="Z566" s="29">
        <f t="shared" si="225"/>
        <v>969</v>
      </c>
    </row>
    <row r="567" spans="1:26" x14ac:dyDescent="0.3">
      <c r="A567" s="5" t="s">
        <v>3206</v>
      </c>
      <c r="B567" s="5" t="s">
        <v>3207</v>
      </c>
      <c r="C567" s="5">
        <v>8</v>
      </c>
      <c r="D567" s="6">
        <v>969</v>
      </c>
      <c r="E567" s="17">
        <f>VLOOKUP(A567,'forecast data dump'!$A$1:$H$3450,4,FALSE)</f>
        <v>44495</v>
      </c>
      <c r="F567" s="17">
        <f>VLOOKUP(A567,'forecast data dump'!$A$1:$H$3450,5,FALSE)</f>
        <v>44508</v>
      </c>
      <c r="G567" s="42">
        <f>VLOOKUP(A567,'forecast data dump'!$A$1:$H$3450,8,FALSE)</f>
        <v>0</v>
      </c>
      <c r="H567" s="5" t="s">
        <v>3741</v>
      </c>
      <c r="I567" s="39">
        <f t="shared" si="226"/>
        <v>8</v>
      </c>
      <c r="J567" s="5"/>
      <c r="K567" s="5"/>
      <c r="L567" s="33">
        <f t="shared" si="227"/>
        <v>969</v>
      </c>
      <c r="M567" s="33">
        <f t="shared" si="228"/>
        <v>969</v>
      </c>
      <c r="N567" s="33">
        <f t="shared" si="229"/>
        <v>0</v>
      </c>
      <c r="T567">
        <v>1</v>
      </c>
      <c r="U567" s="29">
        <f t="shared" si="220"/>
        <v>0</v>
      </c>
      <c r="V567" s="29">
        <f t="shared" si="221"/>
        <v>0</v>
      </c>
      <c r="W567" s="29">
        <f t="shared" si="222"/>
        <v>0</v>
      </c>
      <c r="X567" s="29">
        <f t="shared" si="223"/>
        <v>0</v>
      </c>
      <c r="Y567" s="29">
        <f t="shared" si="224"/>
        <v>0</v>
      </c>
      <c r="Z567" s="29">
        <f t="shared" si="225"/>
        <v>969</v>
      </c>
    </row>
    <row r="568" spans="1:26" x14ac:dyDescent="0.3">
      <c r="A568" s="5" t="s">
        <v>3206</v>
      </c>
      <c r="B568" s="5" t="s">
        <v>3207</v>
      </c>
      <c r="C568" s="5">
        <v>8</v>
      </c>
      <c r="D568" s="6">
        <v>1250</v>
      </c>
      <c r="E568" s="17">
        <f>VLOOKUP(A568,'forecast data dump'!$A$1:$H$3450,4,FALSE)</f>
        <v>44495</v>
      </c>
      <c r="F568" s="17">
        <f>VLOOKUP(A568,'forecast data dump'!$A$1:$H$3450,5,FALSE)</f>
        <v>44508</v>
      </c>
      <c r="G568" s="42">
        <f>VLOOKUP(A568,'forecast data dump'!$A$1:$H$3450,8,FALSE)</f>
        <v>0</v>
      </c>
      <c r="H568" s="5" t="s">
        <v>3744</v>
      </c>
      <c r="I568" s="39">
        <f t="shared" si="226"/>
        <v>8</v>
      </c>
      <c r="J568" s="5"/>
      <c r="K568" s="5"/>
      <c r="L568" s="33">
        <f t="shared" si="227"/>
        <v>1250</v>
      </c>
      <c r="M568" s="33">
        <f t="shared" si="228"/>
        <v>1250</v>
      </c>
      <c r="N568" s="33">
        <f t="shared" si="229"/>
        <v>0</v>
      </c>
      <c r="T568">
        <v>1</v>
      </c>
      <c r="U568" s="29">
        <f t="shared" si="220"/>
        <v>0</v>
      </c>
      <c r="V568" s="29">
        <f t="shared" si="221"/>
        <v>0</v>
      </c>
      <c r="W568" s="29">
        <f t="shared" si="222"/>
        <v>0</v>
      </c>
      <c r="X568" s="29">
        <f t="shared" si="223"/>
        <v>0</v>
      </c>
      <c r="Y568" s="29">
        <f t="shared" si="224"/>
        <v>0</v>
      </c>
      <c r="Z568" s="29">
        <f t="shared" si="225"/>
        <v>1250</v>
      </c>
    </row>
    <row r="569" spans="1:26" x14ac:dyDescent="0.3">
      <c r="A569" s="5" t="s">
        <v>3206</v>
      </c>
      <c r="B569" s="5" t="s">
        <v>3207</v>
      </c>
      <c r="C569" s="5">
        <v>8</v>
      </c>
      <c r="D569" s="6">
        <v>969</v>
      </c>
      <c r="E569" s="17">
        <f>VLOOKUP(A569,'forecast data dump'!$A$1:$H$3450,4,FALSE)</f>
        <v>44495</v>
      </c>
      <c r="F569" s="17">
        <f>VLOOKUP(A569,'forecast data dump'!$A$1:$H$3450,5,FALSE)</f>
        <v>44508</v>
      </c>
      <c r="G569" s="42">
        <f>VLOOKUP(A569,'forecast data dump'!$A$1:$H$3450,8,FALSE)</f>
        <v>0</v>
      </c>
      <c r="H569" s="5" t="s">
        <v>3742</v>
      </c>
      <c r="I569" s="39">
        <f t="shared" si="226"/>
        <v>8</v>
      </c>
      <c r="J569" s="5"/>
      <c r="K569" s="5"/>
      <c r="L569" s="33">
        <f t="shared" si="227"/>
        <v>969</v>
      </c>
      <c r="M569" s="33">
        <f t="shared" si="228"/>
        <v>969</v>
      </c>
      <c r="N569" s="33">
        <f t="shared" si="229"/>
        <v>0</v>
      </c>
      <c r="T569">
        <v>1</v>
      </c>
      <c r="U569" s="29">
        <f t="shared" si="220"/>
        <v>0</v>
      </c>
      <c r="V569" s="29">
        <f t="shared" si="221"/>
        <v>0</v>
      </c>
      <c r="W569" s="29">
        <f t="shared" si="222"/>
        <v>0</v>
      </c>
      <c r="X569" s="29">
        <f t="shared" si="223"/>
        <v>0</v>
      </c>
      <c r="Y569" s="29">
        <f t="shared" si="224"/>
        <v>0</v>
      </c>
      <c r="Z569" s="29">
        <f t="shared" si="225"/>
        <v>969</v>
      </c>
    </row>
    <row r="570" spans="1:26" x14ac:dyDescent="0.3">
      <c r="A570" s="5" t="s">
        <v>3208</v>
      </c>
      <c r="B570" s="5" t="s">
        <v>3209</v>
      </c>
      <c r="C570" s="5">
        <v>2</v>
      </c>
      <c r="D570" s="6">
        <v>312</v>
      </c>
      <c r="E570" s="17">
        <f>VLOOKUP(A570,'forecast data dump'!$A$1:$H$3450,4,FALSE)</f>
        <v>44509</v>
      </c>
      <c r="F570" s="17">
        <f>VLOOKUP(A570,'forecast data dump'!$A$1:$H$3450,5,FALSE)</f>
        <v>44553</v>
      </c>
      <c r="G570" s="42">
        <f>VLOOKUP(A570,'forecast data dump'!$A$1:$H$3450,8,FALSE)</f>
        <v>0</v>
      </c>
      <c r="H570" s="5" t="s">
        <v>3763</v>
      </c>
      <c r="I570" s="39">
        <f t="shared" si="226"/>
        <v>2</v>
      </c>
      <c r="J570" s="5"/>
      <c r="K570" s="5"/>
      <c r="L570" s="33">
        <f t="shared" si="227"/>
        <v>312</v>
      </c>
      <c r="M570" s="33">
        <f t="shared" si="228"/>
        <v>312</v>
      </c>
      <c r="N570" s="33">
        <f t="shared" si="229"/>
        <v>0</v>
      </c>
      <c r="T570">
        <v>1</v>
      </c>
      <c r="U570" s="29">
        <f t="shared" si="220"/>
        <v>0</v>
      </c>
      <c r="V570" s="29">
        <f t="shared" si="221"/>
        <v>0</v>
      </c>
      <c r="W570" s="29">
        <f t="shared" si="222"/>
        <v>0</v>
      </c>
      <c r="X570" s="29">
        <f t="shared" si="223"/>
        <v>0</v>
      </c>
      <c r="Y570" s="29">
        <f t="shared" si="224"/>
        <v>0</v>
      </c>
      <c r="Z570" s="29">
        <f t="shared" si="225"/>
        <v>312</v>
      </c>
    </row>
    <row r="571" spans="1:26" x14ac:dyDescent="0.3">
      <c r="A571" s="5" t="s">
        <v>3210</v>
      </c>
      <c r="B571" s="5" t="s">
        <v>3211</v>
      </c>
      <c r="C571" s="5">
        <v>8</v>
      </c>
      <c r="D571" s="6">
        <v>969</v>
      </c>
      <c r="E571" s="17">
        <f>VLOOKUP(A571,'forecast data dump'!$A$1:$H$3450,4,FALSE)</f>
        <v>44557</v>
      </c>
      <c r="F571" s="17">
        <f>VLOOKUP(A571,'forecast data dump'!$A$1:$H$3450,5,FALSE)</f>
        <v>44571</v>
      </c>
      <c r="G571" s="42">
        <f>VLOOKUP(A571,'forecast data dump'!$A$1:$H$3450,8,FALSE)</f>
        <v>0</v>
      </c>
      <c r="H571" s="5" t="s">
        <v>3745</v>
      </c>
      <c r="I571" s="39">
        <f t="shared" si="226"/>
        <v>8</v>
      </c>
      <c r="J571" s="5"/>
      <c r="K571" s="5"/>
      <c r="L571" s="33">
        <f t="shared" si="227"/>
        <v>969</v>
      </c>
      <c r="M571" s="33">
        <f t="shared" si="228"/>
        <v>969</v>
      </c>
      <c r="N571" s="33">
        <f t="shared" si="229"/>
        <v>0</v>
      </c>
      <c r="T571">
        <v>1</v>
      </c>
      <c r="U571" s="29">
        <f t="shared" si="220"/>
        <v>0</v>
      </c>
      <c r="V571" s="29">
        <f t="shared" si="221"/>
        <v>0</v>
      </c>
      <c r="W571" s="29">
        <f t="shared" si="222"/>
        <v>0</v>
      </c>
      <c r="X571" s="29">
        <f t="shared" si="223"/>
        <v>0</v>
      </c>
      <c r="Y571" s="29">
        <f t="shared" si="224"/>
        <v>0</v>
      </c>
      <c r="Z571" s="29">
        <f t="shared" si="225"/>
        <v>969</v>
      </c>
    </row>
    <row r="572" spans="1:26" x14ac:dyDescent="0.3">
      <c r="A572" s="5" t="s">
        <v>3210</v>
      </c>
      <c r="B572" s="5" t="s">
        <v>3211</v>
      </c>
      <c r="C572" s="5">
        <v>8</v>
      </c>
      <c r="D572" s="6">
        <v>969</v>
      </c>
      <c r="E572" s="17">
        <f>VLOOKUP(A572,'forecast data dump'!$A$1:$H$3450,4,FALSE)</f>
        <v>44557</v>
      </c>
      <c r="F572" s="17">
        <f>VLOOKUP(A572,'forecast data dump'!$A$1:$H$3450,5,FALSE)</f>
        <v>44571</v>
      </c>
      <c r="G572" s="42">
        <f>VLOOKUP(A572,'forecast data dump'!$A$1:$H$3450,8,FALSE)</f>
        <v>0</v>
      </c>
      <c r="H572" s="5" t="s">
        <v>3741</v>
      </c>
      <c r="I572" s="39">
        <f t="shared" si="226"/>
        <v>8</v>
      </c>
      <c r="J572" s="5"/>
      <c r="K572" s="5"/>
      <c r="L572" s="33">
        <f t="shared" si="227"/>
        <v>969</v>
      </c>
      <c r="M572" s="33">
        <f t="shared" si="228"/>
        <v>969</v>
      </c>
      <c r="N572" s="33">
        <f t="shared" si="229"/>
        <v>0</v>
      </c>
      <c r="T572">
        <v>1</v>
      </c>
      <c r="U572" s="29">
        <f t="shared" si="220"/>
        <v>0</v>
      </c>
      <c r="V572" s="29">
        <f t="shared" si="221"/>
        <v>0</v>
      </c>
      <c r="W572" s="29">
        <f t="shared" si="222"/>
        <v>0</v>
      </c>
      <c r="X572" s="29">
        <f t="shared" si="223"/>
        <v>0</v>
      </c>
      <c r="Y572" s="29">
        <f t="shared" si="224"/>
        <v>0</v>
      </c>
      <c r="Z572" s="29">
        <f t="shared" si="225"/>
        <v>969</v>
      </c>
    </row>
    <row r="573" spans="1:26" x14ac:dyDescent="0.3">
      <c r="A573" s="5" t="s">
        <v>3210</v>
      </c>
      <c r="B573" s="5" t="s">
        <v>3211</v>
      </c>
      <c r="C573" s="5">
        <v>8</v>
      </c>
      <c r="D573" s="6">
        <v>1250</v>
      </c>
      <c r="E573" s="17">
        <f>VLOOKUP(A573,'forecast data dump'!$A$1:$H$3450,4,FALSE)</f>
        <v>44557</v>
      </c>
      <c r="F573" s="17">
        <f>VLOOKUP(A573,'forecast data dump'!$A$1:$H$3450,5,FALSE)</f>
        <v>44571</v>
      </c>
      <c r="G573" s="42">
        <f>VLOOKUP(A573,'forecast data dump'!$A$1:$H$3450,8,FALSE)</f>
        <v>0</v>
      </c>
      <c r="H573" s="5" t="s">
        <v>3744</v>
      </c>
      <c r="I573" s="39">
        <f t="shared" si="226"/>
        <v>8</v>
      </c>
      <c r="J573" s="5"/>
      <c r="K573" s="5"/>
      <c r="L573" s="33">
        <f t="shared" si="227"/>
        <v>1250</v>
      </c>
      <c r="M573" s="33">
        <f t="shared" si="228"/>
        <v>1250</v>
      </c>
      <c r="N573" s="33">
        <f t="shared" si="229"/>
        <v>0</v>
      </c>
      <c r="T573">
        <v>1</v>
      </c>
      <c r="U573" s="29">
        <f t="shared" si="220"/>
        <v>0</v>
      </c>
      <c r="V573" s="29">
        <f t="shared" si="221"/>
        <v>0</v>
      </c>
      <c r="W573" s="29">
        <f t="shared" si="222"/>
        <v>0</v>
      </c>
      <c r="X573" s="29">
        <f t="shared" si="223"/>
        <v>0</v>
      </c>
      <c r="Y573" s="29">
        <f t="shared" si="224"/>
        <v>0</v>
      </c>
      <c r="Z573" s="29">
        <f t="shared" si="225"/>
        <v>1250</v>
      </c>
    </row>
    <row r="574" spans="1:26" x14ac:dyDescent="0.3">
      <c r="A574" s="5" t="s">
        <v>3210</v>
      </c>
      <c r="B574" s="5" t="s">
        <v>3211</v>
      </c>
      <c r="C574" s="5">
        <v>8</v>
      </c>
      <c r="D574" s="6">
        <v>969</v>
      </c>
      <c r="E574" s="17">
        <f>VLOOKUP(A574,'forecast data dump'!$A$1:$H$3450,4,FALSE)</f>
        <v>44557</v>
      </c>
      <c r="F574" s="17">
        <f>VLOOKUP(A574,'forecast data dump'!$A$1:$H$3450,5,FALSE)</f>
        <v>44571</v>
      </c>
      <c r="G574" s="42">
        <f>VLOOKUP(A574,'forecast data dump'!$A$1:$H$3450,8,FALSE)</f>
        <v>0</v>
      </c>
      <c r="H574" s="5" t="s">
        <v>3742</v>
      </c>
      <c r="I574" s="39">
        <f t="shared" si="226"/>
        <v>8</v>
      </c>
      <c r="J574" s="5"/>
      <c r="K574" s="5"/>
      <c r="L574" s="33">
        <f t="shared" si="227"/>
        <v>969</v>
      </c>
      <c r="M574" s="33">
        <f t="shared" si="228"/>
        <v>969</v>
      </c>
      <c r="N574" s="33">
        <f t="shared" si="229"/>
        <v>0</v>
      </c>
      <c r="T574">
        <v>1</v>
      </c>
      <c r="U574" s="29">
        <f t="shared" si="220"/>
        <v>0</v>
      </c>
      <c r="V574" s="29">
        <f t="shared" si="221"/>
        <v>0</v>
      </c>
      <c r="W574" s="29">
        <f t="shared" si="222"/>
        <v>0</v>
      </c>
      <c r="X574" s="29">
        <f t="shared" si="223"/>
        <v>0</v>
      </c>
      <c r="Y574" s="29">
        <f t="shared" si="224"/>
        <v>0</v>
      </c>
      <c r="Z574" s="29">
        <f t="shared" si="225"/>
        <v>969</v>
      </c>
    </row>
    <row r="575" spans="1:26" x14ac:dyDescent="0.3">
      <c r="A575" s="5" t="s">
        <v>3212</v>
      </c>
      <c r="B575" s="5" t="s">
        <v>3213</v>
      </c>
      <c r="C575" s="5">
        <v>48</v>
      </c>
      <c r="D575" s="6">
        <v>5811</v>
      </c>
      <c r="E575" s="17">
        <f>VLOOKUP(A575,'forecast data dump'!$A$1:$H$3450,4,FALSE)</f>
        <v>44572</v>
      </c>
      <c r="F575" s="17">
        <f>VLOOKUP(A575,'forecast data dump'!$A$1:$H$3450,5,FALSE)</f>
        <v>44615</v>
      </c>
      <c r="G575" s="42">
        <f>VLOOKUP(A575,'forecast data dump'!$A$1:$H$3450,8,FALSE)</f>
        <v>0</v>
      </c>
      <c r="H575" s="5" t="s">
        <v>3745</v>
      </c>
      <c r="I575" s="39">
        <f t="shared" si="226"/>
        <v>48</v>
      </c>
      <c r="J575" s="5"/>
      <c r="K575" s="5"/>
      <c r="L575" s="33">
        <f t="shared" si="227"/>
        <v>5811</v>
      </c>
      <c r="M575" s="33">
        <f t="shared" si="228"/>
        <v>5811</v>
      </c>
      <c r="N575" s="33">
        <f t="shared" si="229"/>
        <v>0</v>
      </c>
      <c r="T575">
        <v>1</v>
      </c>
      <c r="U575" s="29">
        <f t="shared" si="220"/>
        <v>0</v>
      </c>
      <c r="V575" s="29">
        <f t="shared" si="221"/>
        <v>0</v>
      </c>
      <c r="W575" s="29">
        <f t="shared" si="222"/>
        <v>0</v>
      </c>
      <c r="X575" s="29">
        <f t="shared" si="223"/>
        <v>0</v>
      </c>
      <c r="Y575" s="29">
        <f t="shared" si="224"/>
        <v>0</v>
      </c>
      <c r="Z575" s="29">
        <f t="shared" si="225"/>
        <v>5811</v>
      </c>
    </row>
    <row r="576" spans="1:26" x14ac:dyDescent="0.3">
      <c r="A576" s="5" t="s">
        <v>3212</v>
      </c>
      <c r="B576" s="5" t="s">
        <v>3213</v>
      </c>
      <c r="C576" s="5">
        <v>24</v>
      </c>
      <c r="D576" s="6">
        <v>2906</v>
      </c>
      <c r="E576" s="17">
        <f>VLOOKUP(A576,'forecast data dump'!$A$1:$H$3450,4,FALSE)</f>
        <v>44572</v>
      </c>
      <c r="F576" s="17">
        <f>VLOOKUP(A576,'forecast data dump'!$A$1:$H$3450,5,FALSE)</f>
        <v>44615</v>
      </c>
      <c r="G576" s="42">
        <f>VLOOKUP(A576,'forecast data dump'!$A$1:$H$3450,8,FALSE)</f>
        <v>0</v>
      </c>
      <c r="H576" s="5" t="s">
        <v>3741</v>
      </c>
      <c r="I576" s="39">
        <f t="shared" si="226"/>
        <v>24</v>
      </c>
      <c r="J576" s="5"/>
      <c r="K576" s="5"/>
      <c r="L576" s="33">
        <f t="shared" si="227"/>
        <v>2906</v>
      </c>
      <c r="M576" s="33">
        <f t="shared" si="228"/>
        <v>2906</v>
      </c>
      <c r="N576" s="33">
        <f t="shared" si="229"/>
        <v>0</v>
      </c>
      <c r="T576">
        <v>1</v>
      </c>
      <c r="U576" s="29">
        <f t="shared" si="220"/>
        <v>0</v>
      </c>
      <c r="V576" s="29">
        <f t="shared" si="221"/>
        <v>0</v>
      </c>
      <c r="W576" s="29">
        <f t="shared" si="222"/>
        <v>0</v>
      </c>
      <c r="X576" s="29">
        <f t="shared" si="223"/>
        <v>0</v>
      </c>
      <c r="Y576" s="29">
        <f t="shared" si="224"/>
        <v>0</v>
      </c>
      <c r="Z576" s="29">
        <f t="shared" si="225"/>
        <v>2906</v>
      </c>
    </row>
    <row r="577" spans="1:26" x14ac:dyDescent="0.3">
      <c r="A577" s="5" t="s">
        <v>3212</v>
      </c>
      <c r="B577" s="5" t="s">
        <v>3213</v>
      </c>
      <c r="C577" s="5">
        <v>24</v>
      </c>
      <c r="D577" s="6">
        <v>3750</v>
      </c>
      <c r="E577" s="17">
        <f>VLOOKUP(A577,'forecast data dump'!$A$1:$H$3450,4,FALSE)</f>
        <v>44572</v>
      </c>
      <c r="F577" s="17">
        <f>VLOOKUP(A577,'forecast data dump'!$A$1:$H$3450,5,FALSE)</f>
        <v>44615</v>
      </c>
      <c r="G577" s="42">
        <f>VLOOKUP(A577,'forecast data dump'!$A$1:$H$3450,8,FALSE)</f>
        <v>0</v>
      </c>
      <c r="H577" s="5" t="s">
        <v>3744</v>
      </c>
      <c r="I577" s="39">
        <f t="shared" si="226"/>
        <v>24</v>
      </c>
      <c r="J577" s="5"/>
      <c r="K577" s="5"/>
      <c r="L577" s="33">
        <f t="shared" si="227"/>
        <v>3750</v>
      </c>
      <c r="M577" s="33">
        <f t="shared" si="228"/>
        <v>3750</v>
      </c>
      <c r="N577" s="33">
        <f t="shared" si="229"/>
        <v>0</v>
      </c>
      <c r="T577">
        <v>1</v>
      </c>
      <c r="U577" s="29">
        <f t="shared" si="220"/>
        <v>0</v>
      </c>
      <c r="V577" s="29">
        <f t="shared" si="221"/>
        <v>0</v>
      </c>
      <c r="W577" s="29">
        <f t="shared" si="222"/>
        <v>0</v>
      </c>
      <c r="X577" s="29">
        <f t="shared" si="223"/>
        <v>0</v>
      </c>
      <c r="Y577" s="29">
        <f t="shared" si="224"/>
        <v>0</v>
      </c>
      <c r="Z577" s="29">
        <f t="shared" si="225"/>
        <v>3750</v>
      </c>
    </row>
    <row r="578" spans="1:26" x14ac:dyDescent="0.3">
      <c r="A578" s="5" t="s">
        <v>3212</v>
      </c>
      <c r="B578" s="5" t="s">
        <v>3213</v>
      </c>
      <c r="C578" s="5">
        <v>24</v>
      </c>
      <c r="D578" s="6">
        <v>2906</v>
      </c>
      <c r="E578" s="17">
        <f>VLOOKUP(A578,'forecast data dump'!$A$1:$H$3450,4,FALSE)</f>
        <v>44572</v>
      </c>
      <c r="F578" s="17">
        <f>VLOOKUP(A578,'forecast data dump'!$A$1:$H$3450,5,FALSE)</f>
        <v>44615</v>
      </c>
      <c r="G578" s="42">
        <f>VLOOKUP(A578,'forecast data dump'!$A$1:$H$3450,8,FALSE)</f>
        <v>0</v>
      </c>
      <c r="H578" s="5" t="s">
        <v>3742</v>
      </c>
      <c r="I578" s="39">
        <f t="shared" si="226"/>
        <v>24</v>
      </c>
      <c r="J578" s="5"/>
      <c r="K578" s="5"/>
      <c r="L578" s="33">
        <f t="shared" si="227"/>
        <v>2906</v>
      </c>
      <c r="M578" s="33">
        <f t="shared" si="228"/>
        <v>2906</v>
      </c>
      <c r="N578" s="33">
        <f t="shared" si="229"/>
        <v>0</v>
      </c>
      <c r="T578">
        <v>1</v>
      </c>
      <c r="U578" s="29">
        <f t="shared" si="220"/>
        <v>0</v>
      </c>
      <c r="V578" s="29">
        <f t="shared" si="221"/>
        <v>0</v>
      </c>
      <c r="W578" s="29">
        <f t="shared" si="222"/>
        <v>0</v>
      </c>
      <c r="X578" s="29">
        <f t="shared" si="223"/>
        <v>0</v>
      </c>
      <c r="Y578" s="29">
        <f t="shared" si="224"/>
        <v>0</v>
      </c>
      <c r="Z578" s="29">
        <f t="shared" si="225"/>
        <v>2906</v>
      </c>
    </row>
    <row r="579" spans="1:26" x14ac:dyDescent="0.3">
      <c r="A579" s="5" t="s">
        <v>3214</v>
      </c>
      <c r="B579" s="5" t="s">
        <v>3215</v>
      </c>
      <c r="C579" s="5">
        <v>2</v>
      </c>
      <c r="D579" s="6">
        <v>312</v>
      </c>
      <c r="E579" s="17">
        <f>VLOOKUP(A579,'forecast data dump'!$A$1:$H$3450,4,FALSE)</f>
        <v>44617</v>
      </c>
      <c r="F579" s="17">
        <f>VLOOKUP(A579,'forecast data dump'!$A$1:$H$3450,5,FALSE)</f>
        <v>44630</v>
      </c>
      <c r="G579" s="42">
        <f>VLOOKUP(A579,'forecast data dump'!$A$1:$H$3450,8,FALSE)</f>
        <v>0</v>
      </c>
      <c r="H579" s="5" t="s">
        <v>3763</v>
      </c>
      <c r="I579" s="39">
        <f t="shared" si="226"/>
        <v>2</v>
      </c>
      <c r="J579" s="5"/>
      <c r="K579" s="5"/>
      <c r="L579" s="33">
        <f t="shared" si="227"/>
        <v>312</v>
      </c>
      <c r="M579" s="33">
        <f t="shared" si="228"/>
        <v>312</v>
      </c>
      <c r="N579" s="33">
        <f t="shared" si="229"/>
        <v>0</v>
      </c>
      <c r="T579">
        <v>1</v>
      </c>
      <c r="U579" s="29">
        <f t="shared" si="220"/>
        <v>0</v>
      </c>
      <c r="V579" s="29">
        <f t="shared" si="221"/>
        <v>0</v>
      </c>
      <c r="W579" s="29">
        <f t="shared" si="222"/>
        <v>0</v>
      </c>
      <c r="X579" s="29">
        <f t="shared" si="223"/>
        <v>0</v>
      </c>
      <c r="Y579" s="29">
        <f t="shared" si="224"/>
        <v>0</v>
      </c>
      <c r="Z579" s="29">
        <f t="shared" si="225"/>
        <v>312</v>
      </c>
    </row>
    <row r="580" spans="1:26" x14ac:dyDescent="0.3">
      <c r="A580" s="5" t="s">
        <v>3216</v>
      </c>
      <c r="B580" s="5" t="s">
        <v>3217</v>
      </c>
      <c r="C580" s="5">
        <v>50000</v>
      </c>
      <c r="D580" s="6">
        <v>59195</v>
      </c>
      <c r="E580" s="17">
        <f>VLOOKUP(A580,'forecast data dump'!$A$1:$H$3450,4,FALSE)</f>
        <v>44573</v>
      </c>
      <c r="F580" s="17">
        <f>VLOOKUP(A580,'forecast data dump'!$A$1:$H$3450,5,FALSE)</f>
        <v>44616</v>
      </c>
      <c r="G580" s="42">
        <f>VLOOKUP(A580,'forecast data dump'!$A$1:$H$3450,8,FALSE)</f>
        <v>0</v>
      </c>
      <c r="H580" s="5" t="s">
        <v>3762</v>
      </c>
      <c r="I580" s="39">
        <f t="shared" si="226"/>
        <v>50000</v>
      </c>
      <c r="J580" s="5"/>
      <c r="K580" s="5"/>
      <c r="L580" s="33">
        <f t="shared" si="227"/>
        <v>59195</v>
      </c>
      <c r="M580" s="33">
        <f t="shared" si="228"/>
        <v>59195</v>
      </c>
      <c r="N580" s="33">
        <f t="shared" si="229"/>
        <v>0</v>
      </c>
      <c r="Q580">
        <v>1</v>
      </c>
      <c r="U580" s="29">
        <f t="shared" si="220"/>
        <v>0</v>
      </c>
      <c r="V580" s="29">
        <f t="shared" si="221"/>
        <v>0</v>
      </c>
      <c r="W580" s="29">
        <f t="shared" si="222"/>
        <v>59195</v>
      </c>
      <c r="X580" s="29">
        <f t="shared" si="223"/>
        <v>0</v>
      </c>
      <c r="Y580" s="29">
        <f t="shared" si="224"/>
        <v>0</v>
      </c>
      <c r="Z580" s="29">
        <f t="shared" si="225"/>
        <v>0</v>
      </c>
    </row>
    <row r="581" spans="1:26" x14ac:dyDescent="0.3">
      <c r="A581" s="5" t="s">
        <v>3218</v>
      </c>
      <c r="B581" s="5" t="s">
        <v>3219</v>
      </c>
      <c r="C581" s="5">
        <v>8</v>
      </c>
      <c r="D581" s="6">
        <v>1461</v>
      </c>
      <c r="E581" s="17">
        <f>VLOOKUP(A581,'forecast data dump'!$A$1:$H$3450,4,FALSE)</f>
        <v>44466</v>
      </c>
      <c r="F581" s="17">
        <f>VLOOKUP(A581,'forecast data dump'!$A$1:$H$3450,5,FALSE)</f>
        <v>44477</v>
      </c>
      <c r="G581" s="42">
        <f>VLOOKUP(A581,'forecast data dump'!$A$1:$H$3450,8,FALSE)</f>
        <v>0</v>
      </c>
      <c r="H581" s="5" t="s">
        <v>3740</v>
      </c>
      <c r="I581" s="39">
        <f t="shared" si="226"/>
        <v>8</v>
      </c>
      <c r="J581" s="5"/>
      <c r="K581" s="5"/>
      <c r="L581" s="33">
        <f t="shared" si="227"/>
        <v>1461</v>
      </c>
      <c r="M581" s="33">
        <f t="shared" si="228"/>
        <v>1461</v>
      </c>
      <c r="N581" s="33">
        <f t="shared" si="229"/>
        <v>0</v>
      </c>
      <c r="T581">
        <v>1</v>
      </c>
      <c r="U581" s="29">
        <f t="shared" si="220"/>
        <v>0</v>
      </c>
      <c r="V581" s="29">
        <f t="shared" si="221"/>
        <v>0</v>
      </c>
      <c r="W581" s="29">
        <f t="shared" si="222"/>
        <v>0</v>
      </c>
      <c r="X581" s="29">
        <f t="shared" si="223"/>
        <v>0</v>
      </c>
      <c r="Y581" s="29">
        <f t="shared" si="224"/>
        <v>0</v>
      </c>
      <c r="Z581" s="29">
        <f t="shared" si="225"/>
        <v>1461</v>
      </c>
    </row>
    <row r="582" spans="1:26" x14ac:dyDescent="0.3">
      <c r="A582" s="5" t="s">
        <v>3218</v>
      </c>
      <c r="B582" s="5" t="s">
        <v>3219</v>
      </c>
      <c r="C582" s="5">
        <v>8</v>
      </c>
      <c r="D582" s="6">
        <v>969</v>
      </c>
      <c r="E582" s="17">
        <f>VLOOKUP(A582,'forecast data dump'!$A$1:$H$3450,4,FALSE)</f>
        <v>44466</v>
      </c>
      <c r="F582" s="17">
        <f>VLOOKUP(A582,'forecast data dump'!$A$1:$H$3450,5,FALSE)</f>
        <v>44477</v>
      </c>
      <c r="G582" s="42">
        <f>VLOOKUP(A582,'forecast data dump'!$A$1:$H$3450,8,FALSE)</f>
        <v>0</v>
      </c>
      <c r="H582" s="5" t="s">
        <v>3742</v>
      </c>
      <c r="I582" s="39">
        <f t="shared" si="226"/>
        <v>8</v>
      </c>
      <c r="J582" s="5"/>
      <c r="K582" s="5"/>
      <c r="L582" s="33">
        <f t="shared" si="227"/>
        <v>969</v>
      </c>
      <c r="M582" s="33">
        <f t="shared" si="228"/>
        <v>969</v>
      </c>
      <c r="N582" s="33">
        <f t="shared" si="229"/>
        <v>0</v>
      </c>
      <c r="T582">
        <v>1</v>
      </c>
      <c r="U582" s="29">
        <f t="shared" si="220"/>
        <v>0</v>
      </c>
      <c r="V582" s="29">
        <f t="shared" si="221"/>
        <v>0</v>
      </c>
      <c r="W582" s="29">
        <f t="shared" si="222"/>
        <v>0</v>
      </c>
      <c r="X582" s="29">
        <f t="shared" si="223"/>
        <v>0</v>
      </c>
      <c r="Y582" s="29">
        <f t="shared" si="224"/>
        <v>0</v>
      </c>
      <c r="Z582" s="29">
        <f t="shared" si="225"/>
        <v>969</v>
      </c>
    </row>
    <row r="583" spans="1:26" x14ac:dyDescent="0.3">
      <c r="A583" s="5" t="s">
        <v>3218</v>
      </c>
      <c r="B583" s="5" t="s">
        <v>3219</v>
      </c>
      <c r="C583" s="5">
        <v>8</v>
      </c>
      <c r="D583" s="6">
        <v>969</v>
      </c>
      <c r="E583" s="17">
        <f>VLOOKUP(A583,'forecast data dump'!$A$1:$H$3450,4,FALSE)</f>
        <v>44466</v>
      </c>
      <c r="F583" s="17">
        <f>VLOOKUP(A583,'forecast data dump'!$A$1:$H$3450,5,FALSE)</f>
        <v>44477</v>
      </c>
      <c r="G583" s="42">
        <f>VLOOKUP(A583,'forecast data dump'!$A$1:$H$3450,8,FALSE)</f>
        <v>0</v>
      </c>
      <c r="H583" s="5" t="s">
        <v>3741</v>
      </c>
      <c r="I583" s="39">
        <f t="shared" si="226"/>
        <v>8</v>
      </c>
      <c r="J583" s="5"/>
      <c r="K583" s="5"/>
      <c r="L583" s="33">
        <f t="shared" si="227"/>
        <v>969</v>
      </c>
      <c r="M583" s="33">
        <f t="shared" si="228"/>
        <v>969</v>
      </c>
      <c r="N583" s="33">
        <f t="shared" si="229"/>
        <v>0</v>
      </c>
      <c r="T583">
        <v>1</v>
      </c>
      <c r="U583" s="29">
        <f t="shared" si="220"/>
        <v>0</v>
      </c>
      <c r="V583" s="29">
        <f t="shared" si="221"/>
        <v>0</v>
      </c>
      <c r="W583" s="29">
        <f t="shared" si="222"/>
        <v>0</v>
      </c>
      <c r="X583" s="29">
        <f t="shared" si="223"/>
        <v>0</v>
      </c>
      <c r="Y583" s="29">
        <f t="shared" si="224"/>
        <v>0</v>
      </c>
      <c r="Z583" s="29">
        <f t="shared" si="225"/>
        <v>969</v>
      </c>
    </row>
    <row r="584" spans="1:26" x14ac:dyDescent="0.3">
      <c r="A584" s="5" t="s">
        <v>3218</v>
      </c>
      <c r="B584" s="5" t="s">
        <v>3219</v>
      </c>
      <c r="C584" s="5">
        <v>8</v>
      </c>
      <c r="D584" s="6">
        <v>969</v>
      </c>
      <c r="E584" s="17">
        <f>VLOOKUP(A584,'forecast data dump'!$A$1:$H$3450,4,FALSE)</f>
        <v>44466</v>
      </c>
      <c r="F584" s="17">
        <f>VLOOKUP(A584,'forecast data dump'!$A$1:$H$3450,5,FALSE)</f>
        <v>44477</v>
      </c>
      <c r="G584" s="42">
        <f>VLOOKUP(A584,'forecast data dump'!$A$1:$H$3450,8,FALSE)</f>
        <v>0</v>
      </c>
      <c r="H584" s="5" t="s">
        <v>3745</v>
      </c>
      <c r="I584" s="39">
        <f t="shared" si="226"/>
        <v>8</v>
      </c>
      <c r="J584" s="5"/>
      <c r="K584" s="5"/>
      <c r="L584" s="33">
        <f t="shared" si="227"/>
        <v>969</v>
      </c>
      <c r="M584" s="33">
        <f t="shared" si="228"/>
        <v>969</v>
      </c>
      <c r="N584" s="33">
        <f t="shared" si="229"/>
        <v>0</v>
      </c>
      <c r="T584">
        <v>1</v>
      </c>
      <c r="U584" s="29">
        <f t="shared" si="220"/>
        <v>0</v>
      </c>
      <c r="V584" s="29">
        <f t="shared" si="221"/>
        <v>0</v>
      </c>
      <c r="W584" s="29">
        <f t="shared" si="222"/>
        <v>0</v>
      </c>
      <c r="X584" s="29">
        <f t="shared" si="223"/>
        <v>0</v>
      </c>
      <c r="Y584" s="29">
        <f t="shared" si="224"/>
        <v>0</v>
      </c>
      <c r="Z584" s="29">
        <f t="shared" si="225"/>
        <v>969</v>
      </c>
    </row>
    <row r="585" spans="1:26" x14ac:dyDescent="0.3">
      <c r="A585" s="5" t="s">
        <v>3218</v>
      </c>
      <c r="B585" s="5" t="s">
        <v>3219</v>
      </c>
      <c r="C585" s="5">
        <v>8</v>
      </c>
      <c r="D585" s="6">
        <v>1250</v>
      </c>
      <c r="E585" s="17">
        <f>VLOOKUP(A585,'forecast data dump'!$A$1:$H$3450,4,FALSE)</f>
        <v>44466</v>
      </c>
      <c r="F585" s="17">
        <f>VLOOKUP(A585,'forecast data dump'!$A$1:$H$3450,5,FALSE)</f>
        <v>44477</v>
      </c>
      <c r="G585" s="42">
        <f>VLOOKUP(A585,'forecast data dump'!$A$1:$H$3450,8,FALSE)</f>
        <v>0</v>
      </c>
      <c r="H585" s="5" t="s">
        <v>3744</v>
      </c>
      <c r="I585" s="39">
        <f t="shared" si="226"/>
        <v>8</v>
      </c>
      <c r="J585" s="5"/>
      <c r="K585" s="5"/>
      <c r="L585" s="33">
        <f t="shared" si="227"/>
        <v>1250</v>
      </c>
      <c r="M585" s="33">
        <f t="shared" si="228"/>
        <v>1250</v>
      </c>
      <c r="N585" s="33">
        <f t="shared" si="229"/>
        <v>0</v>
      </c>
      <c r="T585">
        <v>1</v>
      </c>
      <c r="U585" s="29">
        <f t="shared" si="220"/>
        <v>0</v>
      </c>
      <c r="V585" s="29">
        <f t="shared" si="221"/>
        <v>0</v>
      </c>
      <c r="W585" s="29">
        <f t="shared" si="222"/>
        <v>0</v>
      </c>
      <c r="X585" s="29">
        <f t="shared" si="223"/>
        <v>0</v>
      </c>
      <c r="Y585" s="29">
        <f t="shared" si="224"/>
        <v>0</v>
      </c>
      <c r="Z585" s="29">
        <f t="shared" si="225"/>
        <v>1250</v>
      </c>
    </row>
    <row r="586" spans="1:26" x14ac:dyDescent="0.3">
      <c r="A586" s="5" t="s">
        <v>3220</v>
      </c>
      <c r="B586" s="5" t="s">
        <v>3221</v>
      </c>
      <c r="C586" s="5">
        <v>8</v>
      </c>
      <c r="D586" s="6">
        <v>969</v>
      </c>
      <c r="E586" s="17">
        <f>VLOOKUP(A586,'forecast data dump'!$A$1:$H$3450,4,FALSE)</f>
        <v>44481</v>
      </c>
      <c r="F586" s="17">
        <f>VLOOKUP(A586,'forecast data dump'!$A$1:$H$3450,5,FALSE)</f>
        <v>44487</v>
      </c>
      <c r="G586" s="42">
        <f>VLOOKUP(A586,'forecast data dump'!$A$1:$H$3450,8,FALSE)</f>
        <v>0</v>
      </c>
      <c r="H586" s="5" t="s">
        <v>3745</v>
      </c>
      <c r="I586" s="39">
        <f t="shared" si="226"/>
        <v>8</v>
      </c>
      <c r="J586" s="5"/>
      <c r="K586" s="5"/>
      <c r="L586" s="33">
        <f t="shared" si="227"/>
        <v>969</v>
      </c>
      <c r="M586" s="33">
        <f t="shared" si="228"/>
        <v>969</v>
      </c>
      <c r="N586" s="33">
        <f t="shared" si="229"/>
        <v>0</v>
      </c>
      <c r="T586">
        <v>1</v>
      </c>
      <c r="U586" s="29">
        <f t="shared" si="220"/>
        <v>0</v>
      </c>
      <c r="V586" s="29">
        <f t="shared" si="221"/>
        <v>0</v>
      </c>
      <c r="W586" s="29">
        <f t="shared" si="222"/>
        <v>0</v>
      </c>
      <c r="X586" s="29">
        <f t="shared" si="223"/>
        <v>0</v>
      </c>
      <c r="Y586" s="29">
        <f t="shared" si="224"/>
        <v>0</v>
      </c>
      <c r="Z586" s="29">
        <f t="shared" si="225"/>
        <v>969</v>
      </c>
    </row>
    <row r="587" spans="1:26" x14ac:dyDescent="0.3">
      <c r="A587" s="5" t="s">
        <v>3220</v>
      </c>
      <c r="B587" s="5" t="s">
        <v>3221</v>
      </c>
      <c r="C587" s="5">
        <v>4</v>
      </c>
      <c r="D587" s="6">
        <v>625</v>
      </c>
      <c r="E587" s="17">
        <f>VLOOKUP(A587,'forecast data dump'!$A$1:$H$3450,4,FALSE)</f>
        <v>44481</v>
      </c>
      <c r="F587" s="17">
        <f>VLOOKUP(A587,'forecast data dump'!$A$1:$H$3450,5,FALSE)</f>
        <v>44487</v>
      </c>
      <c r="G587" s="42">
        <f>VLOOKUP(A587,'forecast data dump'!$A$1:$H$3450,8,FALSE)</f>
        <v>0</v>
      </c>
      <c r="H587" s="5" t="s">
        <v>3744</v>
      </c>
      <c r="I587" s="39">
        <f t="shared" si="226"/>
        <v>4</v>
      </c>
      <c r="J587" s="5"/>
      <c r="K587" s="5"/>
      <c r="L587" s="33">
        <f t="shared" si="227"/>
        <v>625</v>
      </c>
      <c r="M587" s="33">
        <f t="shared" si="228"/>
        <v>625</v>
      </c>
      <c r="N587" s="33">
        <f t="shared" si="229"/>
        <v>0</v>
      </c>
      <c r="T587">
        <v>1</v>
      </c>
      <c r="U587" s="29">
        <f t="shared" si="220"/>
        <v>0</v>
      </c>
      <c r="V587" s="29">
        <f t="shared" si="221"/>
        <v>0</v>
      </c>
      <c r="W587" s="29">
        <f t="shared" si="222"/>
        <v>0</v>
      </c>
      <c r="X587" s="29">
        <f t="shared" si="223"/>
        <v>0</v>
      </c>
      <c r="Y587" s="29">
        <f t="shared" si="224"/>
        <v>0</v>
      </c>
      <c r="Z587" s="29">
        <f t="shared" si="225"/>
        <v>625</v>
      </c>
    </row>
    <row r="588" spans="1:26" x14ac:dyDescent="0.3">
      <c r="A588" s="5" t="s">
        <v>3222</v>
      </c>
      <c r="B588" s="5" t="s">
        <v>3223</v>
      </c>
      <c r="C588" s="5">
        <v>24</v>
      </c>
      <c r="D588" s="6">
        <v>2906</v>
      </c>
      <c r="E588" s="17">
        <f>VLOOKUP(A588,'forecast data dump'!$A$1:$H$3450,4,FALSE)</f>
        <v>44509</v>
      </c>
      <c r="F588" s="17">
        <f>VLOOKUP(A588,'forecast data dump'!$A$1:$H$3450,5,FALSE)</f>
        <v>44553</v>
      </c>
      <c r="G588" s="42">
        <f>VLOOKUP(A588,'forecast data dump'!$A$1:$H$3450,8,FALSE)</f>
        <v>0</v>
      </c>
      <c r="H588" s="5" t="s">
        <v>3741</v>
      </c>
      <c r="I588" s="39">
        <f t="shared" si="226"/>
        <v>24</v>
      </c>
      <c r="J588" s="5"/>
      <c r="K588" s="5"/>
      <c r="L588" s="33">
        <f t="shared" si="227"/>
        <v>2906</v>
      </c>
      <c r="M588" s="33">
        <f t="shared" si="228"/>
        <v>2906</v>
      </c>
      <c r="N588" s="33">
        <f t="shared" si="229"/>
        <v>0</v>
      </c>
      <c r="T588">
        <v>1</v>
      </c>
      <c r="U588" s="29">
        <f t="shared" si="220"/>
        <v>0</v>
      </c>
      <c r="V588" s="29">
        <f t="shared" si="221"/>
        <v>0</v>
      </c>
      <c r="W588" s="29">
        <f t="shared" si="222"/>
        <v>0</v>
      </c>
      <c r="X588" s="29">
        <f t="shared" si="223"/>
        <v>0</v>
      </c>
      <c r="Y588" s="29">
        <f t="shared" si="224"/>
        <v>0</v>
      </c>
      <c r="Z588" s="29">
        <f t="shared" si="225"/>
        <v>2906</v>
      </c>
    </row>
    <row r="589" spans="1:26" x14ac:dyDescent="0.3">
      <c r="A589" s="5" t="s">
        <v>3222</v>
      </c>
      <c r="B589" s="5" t="s">
        <v>3223</v>
      </c>
      <c r="C589" s="5">
        <v>24</v>
      </c>
      <c r="D589" s="6">
        <v>3750</v>
      </c>
      <c r="E589" s="17">
        <f>VLOOKUP(A589,'forecast data dump'!$A$1:$H$3450,4,FALSE)</f>
        <v>44509</v>
      </c>
      <c r="F589" s="17">
        <f>VLOOKUP(A589,'forecast data dump'!$A$1:$H$3450,5,FALSE)</f>
        <v>44553</v>
      </c>
      <c r="G589" s="42">
        <f>VLOOKUP(A589,'forecast data dump'!$A$1:$H$3450,8,FALSE)</f>
        <v>0</v>
      </c>
      <c r="H589" s="5" t="s">
        <v>3744</v>
      </c>
      <c r="I589" s="39">
        <f t="shared" si="226"/>
        <v>24</v>
      </c>
      <c r="J589" s="5"/>
      <c r="K589" s="5"/>
      <c r="L589" s="33">
        <f t="shared" si="227"/>
        <v>3750</v>
      </c>
      <c r="M589" s="33">
        <f t="shared" si="228"/>
        <v>3750</v>
      </c>
      <c r="N589" s="33">
        <f t="shared" si="229"/>
        <v>0</v>
      </c>
      <c r="T589">
        <v>1</v>
      </c>
      <c r="U589" s="29">
        <f t="shared" si="220"/>
        <v>0</v>
      </c>
      <c r="V589" s="29">
        <f t="shared" si="221"/>
        <v>0</v>
      </c>
      <c r="W589" s="29">
        <f t="shared" si="222"/>
        <v>0</v>
      </c>
      <c r="X589" s="29">
        <f t="shared" si="223"/>
        <v>0</v>
      </c>
      <c r="Y589" s="29">
        <f t="shared" si="224"/>
        <v>0</v>
      </c>
      <c r="Z589" s="29">
        <f t="shared" si="225"/>
        <v>3750</v>
      </c>
    </row>
    <row r="590" spans="1:26" x14ac:dyDescent="0.3">
      <c r="A590" s="5" t="s">
        <v>3222</v>
      </c>
      <c r="B590" s="5" t="s">
        <v>3223</v>
      </c>
      <c r="C590" s="5">
        <v>24</v>
      </c>
      <c r="D590" s="6">
        <v>2906</v>
      </c>
      <c r="E590" s="17">
        <f>VLOOKUP(A590,'forecast data dump'!$A$1:$H$3450,4,FALSE)</f>
        <v>44509</v>
      </c>
      <c r="F590" s="17">
        <f>VLOOKUP(A590,'forecast data dump'!$A$1:$H$3450,5,FALSE)</f>
        <v>44553</v>
      </c>
      <c r="G590" s="42">
        <f>VLOOKUP(A590,'forecast data dump'!$A$1:$H$3450,8,FALSE)</f>
        <v>0</v>
      </c>
      <c r="H590" s="5" t="s">
        <v>3742</v>
      </c>
      <c r="I590" s="39">
        <f t="shared" si="226"/>
        <v>24</v>
      </c>
      <c r="J590" s="5"/>
      <c r="K590" s="5"/>
      <c r="L590" s="33">
        <f t="shared" si="227"/>
        <v>2906</v>
      </c>
      <c r="M590" s="33">
        <f t="shared" si="228"/>
        <v>2906</v>
      </c>
      <c r="N590" s="33">
        <f t="shared" si="229"/>
        <v>0</v>
      </c>
      <c r="T590">
        <v>1</v>
      </c>
      <c r="U590" s="29">
        <f t="shared" si="220"/>
        <v>0</v>
      </c>
      <c r="V590" s="29">
        <f t="shared" si="221"/>
        <v>0</v>
      </c>
      <c r="W590" s="29">
        <f t="shared" si="222"/>
        <v>0</v>
      </c>
      <c r="X590" s="29">
        <f t="shared" si="223"/>
        <v>0</v>
      </c>
      <c r="Y590" s="29">
        <f t="shared" si="224"/>
        <v>0</v>
      </c>
      <c r="Z590" s="29">
        <f t="shared" si="225"/>
        <v>2906</v>
      </c>
    </row>
    <row r="591" spans="1:26" x14ac:dyDescent="0.3">
      <c r="A591" s="5" t="s">
        <v>3224</v>
      </c>
      <c r="B591" s="5" t="s">
        <v>3225</v>
      </c>
      <c r="C591" s="5">
        <v>8</v>
      </c>
      <c r="D591" s="6">
        <v>1461</v>
      </c>
      <c r="E591" s="17">
        <f>VLOOKUP(A591,'forecast data dump'!$A$1:$H$3450,4,FALSE)</f>
        <v>44617</v>
      </c>
      <c r="F591" s="17">
        <f>VLOOKUP(A591,'forecast data dump'!$A$1:$H$3450,5,FALSE)</f>
        <v>44630</v>
      </c>
      <c r="G591" s="42">
        <f>VLOOKUP(A591,'forecast data dump'!$A$1:$H$3450,8,FALSE)</f>
        <v>0</v>
      </c>
      <c r="H591" s="5" t="s">
        <v>3740</v>
      </c>
      <c r="I591" s="39">
        <f t="shared" si="226"/>
        <v>8</v>
      </c>
      <c r="J591" s="5"/>
      <c r="K591" s="5"/>
      <c r="L591" s="33">
        <f t="shared" si="227"/>
        <v>1461</v>
      </c>
      <c r="M591" s="33">
        <f t="shared" si="228"/>
        <v>1461</v>
      </c>
      <c r="N591" s="33">
        <f t="shared" si="229"/>
        <v>0</v>
      </c>
      <c r="T591">
        <v>1</v>
      </c>
      <c r="U591" s="29">
        <f t="shared" si="220"/>
        <v>0</v>
      </c>
      <c r="V591" s="29">
        <f t="shared" si="221"/>
        <v>0</v>
      </c>
      <c r="W591" s="29">
        <f t="shared" si="222"/>
        <v>0</v>
      </c>
      <c r="X591" s="29">
        <f t="shared" si="223"/>
        <v>0</v>
      </c>
      <c r="Y591" s="29">
        <f t="shared" si="224"/>
        <v>0</v>
      </c>
      <c r="Z591" s="29">
        <f t="shared" si="225"/>
        <v>1461</v>
      </c>
    </row>
    <row r="592" spans="1:26" x14ac:dyDescent="0.3">
      <c r="A592" s="5" t="s">
        <v>3224</v>
      </c>
      <c r="B592" s="5" t="s">
        <v>3225</v>
      </c>
      <c r="C592" s="5">
        <v>4</v>
      </c>
      <c r="D592" s="6">
        <v>484</v>
      </c>
      <c r="E592" s="17">
        <f>VLOOKUP(A592,'forecast data dump'!$A$1:$H$3450,4,FALSE)</f>
        <v>44617</v>
      </c>
      <c r="F592" s="17">
        <f>VLOOKUP(A592,'forecast data dump'!$A$1:$H$3450,5,FALSE)</f>
        <v>44630</v>
      </c>
      <c r="G592" s="42">
        <f>VLOOKUP(A592,'forecast data dump'!$A$1:$H$3450,8,FALSE)</f>
        <v>0</v>
      </c>
      <c r="H592" s="5" t="s">
        <v>3745</v>
      </c>
      <c r="I592" s="39">
        <f t="shared" si="226"/>
        <v>4</v>
      </c>
      <c r="J592" s="5"/>
      <c r="K592" s="5"/>
      <c r="L592" s="33">
        <f t="shared" si="227"/>
        <v>484</v>
      </c>
      <c r="M592" s="33">
        <f t="shared" si="228"/>
        <v>484</v>
      </c>
      <c r="N592" s="33">
        <f t="shared" si="229"/>
        <v>0</v>
      </c>
      <c r="T592">
        <v>1</v>
      </c>
      <c r="U592" s="29">
        <f t="shared" si="220"/>
        <v>0</v>
      </c>
      <c r="V592" s="29">
        <f t="shared" si="221"/>
        <v>0</v>
      </c>
      <c r="W592" s="29">
        <f t="shared" si="222"/>
        <v>0</v>
      </c>
      <c r="X592" s="29">
        <f t="shared" si="223"/>
        <v>0</v>
      </c>
      <c r="Y592" s="29">
        <f t="shared" si="224"/>
        <v>0</v>
      </c>
      <c r="Z592" s="29">
        <f t="shared" si="225"/>
        <v>484</v>
      </c>
    </row>
    <row r="593" spans="1:27" x14ac:dyDescent="0.3">
      <c r="A593" s="5" t="s">
        <v>3224</v>
      </c>
      <c r="B593" s="5" t="s">
        <v>3225</v>
      </c>
      <c r="C593" s="5">
        <v>8</v>
      </c>
      <c r="D593" s="6">
        <v>969</v>
      </c>
      <c r="E593" s="17">
        <f>VLOOKUP(A593,'forecast data dump'!$A$1:$H$3450,4,FALSE)</f>
        <v>44617</v>
      </c>
      <c r="F593" s="17">
        <f>VLOOKUP(A593,'forecast data dump'!$A$1:$H$3450,5,FALSE)</f>
        <v>44630</v>
      </c>
      <c r="G593" s="42">
        <f>VLOOKUP(A593,'forecast data dump'!$A$1:$H$3450,8,FALSE)</f>
        <v>0</v>
      </c>
      <c r="H593" s="5" t="s">
        <v>3741</v>
      </c>
      <c r="I593" s="39">
        <f t="shared" si="226"/>
        <v>8</v>
      </c>
      <c r="J593" s="5"/>
      <c r="K593" s="5"/>
      <c r="L593" s="33">
        <f t="shared" si="227"/>
        <v>969</v>
      </c>
      <c r="M593" s="33">
        <f t="shared" si="228"/>
        <v>969</v>
      </c>
      <c r="N593" s="33">
        <f t="shared" si="229"/>
        <v>0</v>
      </c>
      <c r="T593">
        <v>1</v>
      </c>
      <c r="U593" s="29">
        <f t="shared" si="220"/>
        <v>0</v>
      </c>
      <c r="V593" s="29">
        <f t="shared" si="221"/>
        <v>0</v>
      </c>
      <c r="W593" s="29">
        <f t="shared" si="222"/>
        <v>0</v>
      </c>
      <c r="X593" s="29">
        <f t="shared" si="223"/>
        <v>0</v>
      </c>
      <c r="Y593" s="29">
        <f t="shared" si="224"/>
        <v>0</v>
      </c>
      <c r="Z593" s="29">
        <f t="shared" si="225"/>
        <v>969</v>
      </c>
    </row>
    <row r="594" spans="1:27" x14ac:dyDescent="0.3">
      <c r="A594" s="5" t="s">
        <v>3224</v>
      </c>
      <c r="B594" s="5" t="s">
        <v>3225</v>
      </c>
      <c r="C594" s="5">
        <v>8</v>
      </c>
      <c r="D594" s="6">
        <v>1250</v>
      </c>
      <c r="E594" s="17">
        <f>VLOOKUP(A594,'forecast data dump'!$A$1:$H$3450,4,FALSE)</f>
        <v>44617</v>
      </c>
      <c r="F594" s="17">
        <f>VLOOKUP(A594,'forecast data dump'!$A$1:$H$3450,5,FALSE)</f>
        <v>44630</v>
      </c>
      <c r="G594" s="42">
        <f>VLOOKUP(A594,'forecast data dump'!$A$1:$H$3450,8,FALSE)</f>
        <v>0</v>
      </c>
      <c r="H594" s="5" t="s">
        <v>3744</v>
      </c>
      <c r="I594" s="39">
        <f t="shared" si="226"/>
        <v>8</v>
      </c>
      <c r="J594" s="5"/>
      <c r="K594" s="5"/>
      <c r="L594" s="33">
        <f t="shared" si="227"/>
        <v>1250</v>
      </c>
      <c r="M594" s="33">
        <f t="shared" si="228"/>
        <v>1250</v>
      </c>
      <c r="N594" s="33">
        <f t="shared" si="229"/>
        <v>0</v>
      </c>
      <c r="T594">
        <v>1</v>
      </c>
      <c r="U594" s="29">
        <f t="shared" si="220"/>
        <v>0</v>
      </c>
      <c r="V594" s="29">
        <f t="shared" si="221"/>
        <v>0</v>
      </c>
      <c r="W594" s="29">
        <f t="shared" si="222"/>
        <v>0</v>
      </c>
      <c r="X594" s="29">
        <f t="shared" si="223"/>
        <v>0</v>
      </c>
      <c r="Y594" s="29">
        <f t="shared" si="224"/>
        <v>0</v>
      </c>
      <c r="Z594" s="29">
        <f t="shared" si="225"/>
        <v>1250</v>
      </c>
    </row>
    <row r="595" spans="1:27" x14ac:dyDescent="0.3">
      <c r="A595" s="5" t="s">
        <v>3224</v>
      </c>
      <c r="B595" s="5" t="s">
        <v>3225</v>
      </c>
      <c r="C595" s="5">
        <v>8</v>
      </c>
      <c r="D595" s="6">
        <v>969</v>
      </c>
      <c r="E595" s="17">
        <f>VLOOKUP(A595,'forecast data dump'!$A$1:$H$3450,4,FALSE)</f>
        <v>44617</v>
      </c>
      <c r="F595" s="17">
        <f>VLOOKUP(A595,'forecast data dump'!$A$1:$H$3450,5,FALSE)</f>
        <v>44630</v>
      </c>
      <c r="G595" s="42">
        <f>VLOOKUP(A595,'forecast data dump'!$A$1:$H$3450,8,FALSE)</f>
        <v>0</v>
      </c>
      <c r="H595" s="5" t="s">
        <v>3742</v>
      </c>
      <c r="I595" s="39">
        <f t="shared" si="226"/>
        <v>8</v>
      </c>
      <c r="J595" s="5"/>
      <c r="K595" s="5"/>
      <c r="L595" s="33">
        <f t="shared" si="227"/>
        <v>969</v>
      </c>
      <c r="M595" s="33">
        <f t="shared" si="228"/>
        <v>969</v>
      </c>
      <c r="N595" s="33">
        <f t="shared" si="229"/>
        <v>0</v>
      </c>
      <c r="T595">
        <v>1</v>
      </c>
      <c r="U595" s="29">
        <f t="shared" si="220"/>
        <v>0</v>
      </c>
      <c r="V595" s="29">
        <f t="shared" si="221"/>
        <v>0</v>
      </c>
      <c r="W595" s="29">
        <f t="shared" si="222"/>
        <v>0</v>
      </c>
      <c r="X595" s="29">
        <f t="shared" si="223"/>
        <v>0</v>
      </c>
      <c r="Y595" s="29">
        <f t="shared" si="224"/>
        <v>0</v>
      </c>
      <c r="Z595" s="29">
        <f t="shared" si="225"/>
        <v>969</v>
      </c>
    </row>
    <row r="596" spans="1:27" x14ac:dyDescent="0.3">
      <c r="A596" s="3" t="s">
        <v>7885</v>
      </c>
      <c r="B596" s="3"/>
      <c r="C596" s="3"/>
      <c r="D596" s="4"/>
      <c r="E596" s="15"/>
      <c r="F596" s="15"/>
      <c r="G596" s="41"/>
      <c r="H596" s="3"/>
      <c r="I596" s="38"/>
      <c r="J596" s="3"/>
      <c r="K596" s="3"/>
      <c r="L596" s="32"/>
      <c r="M596" s="32"/>
      <c r="N596" s="32"/>
      <c r="U596" s="29"/>
      <c r="V596" s="29"/>
      <c r="W596" s="29"/>
      <c r="X596" s="29"/>
      <c r="Y596" s="29"/>
      <c r="Z596" s="29"/>
      <c r="AA596" s="109">
        <f>SUM(U597:U699)</f>
        <v>887644</v>
      </c>
    </row>
    <row r="597" spans="1:27" x14ac:dyDescent="0.3">
      <c r="A597" s="5" t="s">
        <v>2904</v>
      </c>
      <c r="B597" s="5" t="s">
        <v>2905</v>
      </c>
      <c r="C597" s="5">
        <v>352</v>
      </c>
      <c r="D597" s="6">
        <v>37426</v>
      </c>
      <c r="E597" s="17">
        <f>VLOOKUP(A597,'forecast data dump'!$A$1:$H$3450,4,FALSE)</f>
        <v>44470</v>
      </c>
      <c r="F597" s="17">
        <f>VLOOKUP(A597,'forecast data dump'!$A$1:$H$3450,5,FALSE)</f>
        <v>44834</v>
      </c>
      <c r="G597" s="42">
        <f>VLOOKUP(A597,'forecast data dump'!$A$1:$H$3450,8,FALSE)</f>
        <v>0</v>
      </c>
      <c r="H597" s="5" t="s">
        <v>3757</v>
      </c>
      <c r="I597" s="39">
        <f t="shared" ref="I597:I598" si="230">C597*(1-G597)</f>
        <v>352</v>
      </c>
      <c r="J597" s="5"/>
      <c r="K597" s="5"/>
      <c r="L597" s="33">
        <f t="shared" ref="L597:L598" si="231">D597*(1-G597)</f>
        <v>37426</v>
      </c>
      <c r="M597" s="33">
        <f t="shared" ref="M597:M598" si="232">IF(J597="",L597,(D597/C597)*J597)</f>
        <v>37426</v>
      </c>
      <c r="N597" s="33">
        <f t="shared" ref="N597:N598" si="233">L597-M597</f>
        <v>0</v>
      </c>
      <c r="S597">
        <v>1</v>
      </c>
      <c r="U597" s="29">
        <f t="shared" si="220"/>
        <v>0</v>
      </c>
      <c r="V597" s="29">
        <f t="shared" si="221"/>
        <v>0</v>
      </c>
      <c r="W597" s="29">
        <f t="shared" si="222"/>
        <v>0</v>
      </c>
      <c r="X597" s="29">
        <f t="shared" si="223"/>
        <v>0</v>
      </c>
      <c r="Y597" s="29">
        <f t="shared" si="224"/>
        <v>37426</v>
      </c>
      <c r="Z597" s="29">
        <f t="shared" si="225"/>
        <v>0</v>
      </c>
      <c r="AA597" s="103" t="s">
        <v>8364</v>
      </c>
    </row>
    <row r="598" spans="1:27" x14ac:dyDescent="0.3">
      <c r="A598" s="5" t="s">
        <v>2906</v>
      </c>
      <c r="B598" s="5" t="s">
        <v>2907</v>
      </c>
      <c r="C598" s="5">
        <v>113</v>
      </c>
      <c r="D598" s="6">
        <v>12375</v>
      </c>
      <c r="E598" s="17">
        <f>VLOOKUP(A598,'forecast data dump'!$A$1:$H$3450,4,FALSE)</f>
        <v>44837</v>
      </c>
      <c r="F598" s="17">
        <f>VLOOKUP(A598,'forecast data dump'!$A$1:$H$3450,5,FALSE)</f>
        <v>44841</v>
      </c>
      <c r="G598" s="42">
        <f>VLOOKUP(A598,'forecast data dump'!$A$1:$H$3450,8,FALSE)</f>
        <v>0</v>
      </c>
      <c r="H598" s="5" t="s">
        <v>3757</v>
      </c>
      <c r="I598" s="39">
        <f t="shared" si="230"/>
        <v>113</v>
      </c>
      <c r="J598" s="5"/>
      <c r="K598" s="5"/>
      <c r="L598" s="33">
        <f t="shared" si="231"/>
        <v>12375</v>
      </c>
      <c r="M598" s="33">
        <f t="shared" si="232"/>
        <v>12375</v>
      </c>
      <c r="N598" s="33">
        <f t="shared" si="233"/>
        <v>0</v>
      </c>
      <c r="S598">
        <v>1</v>
      </c>
      <c r="U598" s="29">
        <f t="shared" si="220"/>
        <v>0</v>
      </c>
      <c r="V598" s="29">
        <f t="shared" si="221"/>
        <v>0</v>
      </c>
      <c r="W598" s="29">
        <f t="shared" si="222"/>
        <v>0</v>
      </c>
      <c r="X598" s="29">
        <f t="shared" si="223"/>
        <v>0</v>
      </c>
      <c r="Y598" s="29">
        <f t="shared" si="224"/>
        <v>12375</v>
      </c>
      <c r="Z598" s="29">
        <f t="shared" si="225"/>
        <v>0</v>
      </c>
      <c r="AA598" s="103" t="s">
        <v>8354</v>
      </c>
    </row>
    <row r="599" spans="1:27" x14ac:dyDescent="0.3">
      <c r="A599" s="3" t="s">
        <v>7886</v>
      </c>
      <c r="B599" s="3"/>
      <c r="C599" s="3"/>
      <c r="D599" s="4"/>
      <c r="E599" s="15"/>
      <c r="F599" s="15"/>
      <c r="G599" s="41"/>
      <c r="H599" s="3"/>
      <c r="I599" s="38"/>
      <c r="J599" s="3"/>
      <c r="K599" s="3"/>
      <c r="L599" s="32"/>
      <c r="M599" s="32"/>
      <c r="N599" s="32"/>
      <c r="U599" s="29"/>
      <c r="V599" s="29"/>
      <c r="W599" s="29"/>
      <c r="X599" s="29"/>
      <c r="Y599" s="29"/>
      <c r="Z599" s="29"/>
    </row>
    <row r="600" spans="1:27" x14ac:dyDescent="0.3">
      <c r="A600" s="5" t="s">
        <v>2864</v>
      </c>
      <c r="B600" s="5" t="s">
        <v>2865</v>
      </c>
      <c r="C600" s="5">
        <v>8</v>
      </c>
      <c r="D600" s="6">
        <v>965</v>
      </c>
      <c r="E600" s="17">
        <f>VLOOKUP(A600,'forecast data dump'!$A$1:$H$3450,4,FALSE)</f>
        <v>44378</v>
      </c>
      <c r="F600" s="17">
        <f>VLOOKUP(A600,'forecast data dump'!$A$1:$H$3450,5,FALSE)</f>
        <v>44671</v>
      </c>
      <c r="G600" s="42">
        <f>VLOOKUP(A600,'forecast data dump'!$A$1:$H$3450,8,FALSE)</f>
        <v>0</v>
      </c>
      <c r="H600" s="5" t="s">
        <v>3745</v>
      </c>
      <c r="I600" s="39">
        <f t="shared" ref="I600:I603" si="234">C600*(1-G600)</f>
        <v>8</v>
      </c>
      <c r="J600" s="5"/>
      <c r="K600" s="5"/>
      <c r="L600" s="33">
        <f t="shared" ref="L600:L603" si="235">D600*(1-G600)</f>
        <v>965</v>
      </c>
      <c r="M600" s="33">
        <f t="shared" ref="M600:M603" si="236">IF(J600="",L600,(D600/C600)*J600)</f>
        <v>965</v>
      </c>
      <c r="N600" s="33">
        <f t="shared" ref="N600:N603" si="237">L600-M600</f>
        <v>0</v>
      </c>
      <c r="T600">
        <v>1</v>
      </c>
      <c r="U600" s="29">
        <f t="shared" si="220"/>
        <v>0</v>
      </c>
      <c r="V600" s="29">
        <f t="shared" si="221"/>
        <v>0</v>
      </c>
      <c r="W600" s="29">
        <f t="shared" si="222"/>
        <v>0</v>
      </c>
      <c r="X600" s="29">
        <f t="shared" si="223"/>
        <v>0</v>
      </c>
      <c r="Y600" s="29">
        <f t="shared" si="224"/>
        <v>0</v>
      </c>
      <c r="Z600" s="29">
        <f t="shared" si="225"/>
        <v>965</v>
      </c>
    </row>
    <row r="601" spans="1:27" x14ac:dyDescent="0.3">
      <c r="A601" s="5" t="s">
        <v>2880</v>
      </c>
      <c r="B601" s="5" t="s">
        <v>2881</v>
      </c>
      <c r="C601" s="5">
        <v>40</v>
      </c>
      <c r="D601" s="6">
        <v>4824</v>
      </c>
      <c r="E601" s="17">
        <f>VLOOKUP(A601,'forecast data dump'!$A$1:$H$3450,4,FALSE)</f>
        <v>44378</v>
      </c>
      <c r="F601" s="17">
        <f>VLOOKUP(A601,'forecast data dump'!$A$1:$H$3450,5,FALSE)</f>
        <v>44671</v>
      </c>
      <c r="G601" s="42">
        <f>VLOOKUP(A601,'forecast data dump'!$A$1:$H$3450,8,FALSE)</f>
        <v>0</v>
      </c>
      <c r="H601" s="5" t="s">
        <v>3759</v>
      </c>
      <c r="I601" s="39">
        <f t="shared" si="234"/>
        <v>40</v>
      </c>
      <c r="J601" s="5"/>
      <c r="K601" s="5"/>
      <c r="L601" s="33">
        <f t="shared" si="235"/>
        <v>4824</v>
      </c>
      <c r="M601" s="33">
        <f t="shared" si="236"/>
        <v>4824</v>
      </c>
      <c r="N601" s="33">
        <f t="shared" si="237"/>
        <v>0</v>
      </c>
      <c r="T601">
        <v>1</v>
      </c>
      <c r="U601" s="29">
        <f t="shared" si="220"/>
        <v>0</v>
      </c>
      <c r="V601" s="29">
        <f t="shared" si="221"/>
        <v>0</v>
      </c>
      <c r="W601" s="29">
        <f t="shared" si="222"/>
        <v>0</v>
      </c>
      <c r="X601" s="29">
        <f t="shared" si="223"/>
        <v>0</v>
      </c>
      <c r="Y601" s="29">
        <f t="shared" si="224"/>
        <v>0</v>
      </c>
      <c r="Z601" s="29">
        <f t="shared" si="225"/>
        <v>4824</v>
      </c>
    </row>
    <row r="602" spans="1:27" x14ac:dyDescent="0.3">
      <c r="A602" s="5" t="s">
        <v>2880</v>
      </c>
      <c r="B602" s="5" t="s">
        <v>2881</v>
      </c>
      <c r="C602" s="5">
        <v>16</v>
      </c>
      <c r="D602" s="6">
        <v>2490</v>
      </c>
      <c r="E602" s="17">
        <f>VLOOKUP(A602,'forecast data dump'!$A$1:$H$3450,4,FALSE)</f>
        <v>44378</v>
      </c>
      <c r="F602" s="17">
        <f>VLOOKUP(A602,'forecast data dump'!$A$1:$H$3450,5,FALSE)</f>
        <v>44671</v>
      </c>
      <c r="G602" s="42">
        <f>VLOOKUP(A602,'forecast data dump'!$A$1:$H$3450,8,FALSE)</f>
        <v>0</v>
      </c>
      <c r="H602" s="5" t="s">
        <v>3763</v>
      </c>
      <c r="I602" s="39">
        <f t="shared" si="234"/>
        <v>16</v>
      </c>
      <c r="J602" s="5"/>
      <c r="K602" s="5"/>
      <c r="L602" s="33">
        <f t="shared" si="235"/>
        <v>2490</v>
      </c>
      <c r="M602" s="33">
        <f t="shared" si="236"/>
        <v>2490</v>
      </c>
      <c r="N602" s="33">
        <f t="shared" si="237"/>
        <v>0</v>
      </c>
      <c r="T602">
        <v>1</v>
      </c>
      <c r="U602" s="29">
        <f t="shared" si="220"/>
        <v>0</v>
      </c>
      <c r="V602" s="29">
        <f t="shared" si="221"/>
        <v>0</v>
      </c>
      <c r="W602" s="29">
        <f t="shared" si="222"/>
        <v>0</v>
      </c>
      <c r="X602" s="29">
        <f t="shared" si="223"/>
        <v>0</v>
      </c>
      <c r="Y602" s="29">
        <f t="shared" si="224"/>
        <v>0</v>
      </c>
      <c r="Z602" s="29">
        <f t="shared" si="225"/>
        <v>2490</v>
      </c>
    </row>
    <row r="603" spans="1:27" x14ac:dyDescent="0.3">
      <c r="A603" s="5" t="s">
        <v>2882</v>
      </c>
      <c r="B603" s="5" t="s">
        <v>2883</v>
      </c>
      <c r="C603" s="5">
        <v>100000</v>
      </c>
      <c r="D603" s="6">
        <v>111561</v>
      </c>
      <c r="E603" s="17" t="str">
        <f>VLOOKUP(A603,'forecast data dump'!$A$1:$H$3450,4,FALSE)</f>
        <v>01-Jul-21*</v>
      </c>
      <c r="F603" s="17">
        <f>VLOOKUP(A603,'forecast data dump'!$A$1:$H$3450,5,FALSE)</f>
        <v>44757</v>
      </c>
      <c r="G603" s="42">
        <f>VLOOKUP(A603,'forecast data dump'!$A$1:$H$3450,8,FALSE)</f>
        <v>0</v>
      </c>
      <c r="H603" s="5" t="s">
        <v>3761</v>
      </c>
      <c r="I603" s="39">
        <f t="shared" si="234"/>
        <v>100000</v>
      </c>
      <c r="J603" s="5"/>
      <c r="K603" s="5"/>
      <c r="L603" s="33">
        <f t="shared" si="235"/>
        <v>111561</v>
      </c>
      <c r="M603" s="33">
        <f t="shared" si="236"/>
        <v>111561</v>
      </c>
      <c r="N603" s="33">
        <f t="shared" si="237"/>
        <v>0</v>
      </c>
      <c r="O603">
        <v>1</v>
      </c>
      <c r="U603" s="29">
        <f t="shared" si="220"/>
        <v>111561</v>
      </c>
      <c r="V603" s="29">
        <f t="shared" si="221"/>
        <v>0</v>
      </c>
      <c r="W603" s="29">
        <f t="shared" si="222"/>
        <v>0</v>
      </c>
      <c r="X603" s="29">
        <f t="shared" si="223"/>
        <v>0</v>
      </c>
      <c r="Y603" s="29">
        <f t="shared" si="224"/>
        <v>0</v>
      </c>
      <c r="Z603" s="29">
        <f t="shared" si="225"/>
        <v>0</v>
      </c>
    </row>
    <row r="604" spans="1:27" x14ac:dyDescent="0.3">
      <c r="A604" s="3" t="s">
        <v>7887</v>
      </c>
      <c r="B604" s="3"/>
      <c r="C604" s="3"/>
      <c r="D604" s="4"/>
      <c r="E604" s="15"/>
      <c r="F604" s="15"/>
      <c r="G604" s="41"/>
      <c r="H604" s="3"/>
      <c r="I604" s="38"/>
      <c r="J604" s="3"/>
      <c r="K604" s="3"/>
      <c r="L604" s="32"/>
      <c r="M604" s="32"/>
      <c r="N604" s="32"/>
      <c r="U604" s="29"/>
      <c r="V604" s="29"/>
      <c r="W604" s="29"/>
      <c r="X604" s="29"/>
      <c r="Y604" s="29"/>
      <c r="Z604" s="29"/>
    </row>
    <row r="605" spans="1:27" x14ac:dyDescent="0.3">
      <c r="A605" s="5" t="s">
        <v>2814</v>
      </c>
      <c r="B605" s="5" t="s">
        <v>2815</v>
      </c>
      <c r="C605" s="5">
        <v>4</v>
      </c>
      <c r="D605" s="6">
        <v>538</v>
      </c>
      <c r="E605" s="17">
        <f>VLOOKUP(A605,'forecast data dump'!$A$1:$H$3450,4,FALSE)</f>
        <v>44397</v>
      </c>
      <c r="F605" s="17">
        <f>VLOOKUP(A605,'forecast data dump'!$A$1:$H$3450,5,FALSE)</f>
        <v>44403</v>
      </c>
      <c r="G605" s="42">
        <f>VLOOKUP(A605,'forecast data dump'!$A$1:$H$3450,8,FALSE)</f>
        <v>0</v>
      </c>
      <c r="H605" s="5" t="s">
        <v>3765</v>
      </c>
      <c r="I605" s="39">
        <f t="shared" ref="I605:I623" si="238">C605*(1-G605)</f>
        <v>4</v>
      </c>
      <c r="J605" s="5"/>
      <c r="K605" s="5"/>
      <c r="L605" s="33">
        <f t="shared" ref="L605:L623" si="239">D605*(1-G605)</f>
        <v>538</v>
      </c>
      <c r="M605" s="33">
        <f t="shared" ref="M605:M623" si="240">IF(J605="",L605,(D605/C605)*J605)</f>
        <v>538</v>
      </c>
      <c r="N605" s="33">
        <f t="shared" ref="N605:N623" si="241">L605-M605</f>
        <v>0</v>
      </c>
      <c r="T605">
        <v>1</v>
      </c>
      <c r="U605" s="29">
        <f t="shared" si="220"/>
        <v>0</v>
      </c>
      <c r="V605" s="29">
        <f t="shared" si="221"/>
        <v>0</v>
      </c>
      <c r="W605" s="29">
        <f t="shared" si="222"/>
        <v>0</v>
      </c>
      <c r="X605" s="29">
        <f t="shared" si="223"/>
        <v>0</v>
      </c>
      <c r="Y605" s="29">
        <f t="shared" si="224"/>
        <v>0</v>
      </c>
      <c r="Z605" s="29">
        <f t="shared" si="225"/>
        <v>538</v>
      </c>
    </row>
    <row r="606" spans="1:27" x14ac:dyDescent="0.3">
      <c r="A606" s="5" t="s">
        <v>2814</v>
      </c>
      <c r="B606" s="5" t="s">
        <v>2815</v>
      </c>
      <c r="C606" s="5">
        <v>8</v>
      </c>
      <c r="D606" s="6">
        <v>826</v>
      </c>
      <c r="E606" s="17">
        <f>VLOOKUP(A606,'forecast data dump'!$A$1:$H$3450,4,FALSE)</f>
        <v>44397</v>
      </c>
      <c r="F606" s="17">
        <f>VLOOKUP(A606,'forecast data dump'!$A$1:$H$3450,5,FALSE)</f>
        <v>44403</v>
      </c>
      <c r="G606" s="42">
        <f>VLOOKUP(A606,'forecast data dump'!$A$1:$H$3450,8,FALSE)</f>
        <v>0</v>
      </c>
      <c r="H606" s="5" t="s">
        <v>3757</v>
      </c>
      <c r="I606" s="39">
        <f t="shared" si="238"/>
        <v>8</v>
      </c>
      <c r="J606" s="5"/>
      <c r="K606" s="5"/>
      <c r="L606" s="33">
        <f t="shared" si="239"/>
        <v>826</v>
      </c>
      <c r="M606" s="33">
        <f t="shared" si="240"/>
        <v>826</v>
      </c>
      <c r="N606" s="33">
        <f t="shared" si="241"/>
        <v>0</v>
      </c>
      <c r="T606">
        <v>1</v>
      </c>
      <c r="U606" s="29">
        <f t="shared" si="220"/>
        <v>0</v>
      </c>
      <c r="V606" s="29">
        <f t="shared" si="221"/>
        <v>0</v>
      </c>
      <c r="W606" s="29">
        <f t="shared" si="222"/>
        <v>0</v>
      </c>
      <c r="X606" s="29">
        <f t="shared" si="223"/>
        <v>0</v>
      </c>
      <c r="Y606" s="29">
        <f t="shared" si="224"/>
        <v>0</v>
      </c>
      <c r="Z606" s="29">
        <f t="shared" si="225"/>
        <v>826</v>
      </c>
    </row>
    <row r="607" spans="1:27" x14ac:dyDescent="0.3">
      <c r="A607" s="5" t="s">
        <v>2814</v>
      </c>
      <c r="B607" s="5" t="s">
        <v>2815</v>
      </c>
      <c r="C607" s="5">
        <v>4</v>
      </c>
      <c r="D607" s="6">
        <v>607</v>
      </c>
      <c r="E607" s="17">
        <f>VLOOKUP(A607,'forecast data dump'!$A$1:$H$3450,4,FALSE)</f>
        <v>44397</v>
      </c>
      <c r="F607" s="17">
        <f>VLOOKUP(A607,'forecast data dump'!$A$1:$H$3450,5,FALSE)</f>
        <v>44403</v>
      </c>
      <c r="G607" s="42">
        <f>VLOOKUP(A607,'forecast data dump'!$A$1:$H$3450,8,FALSE)</f>
        <v>0</v>
      </c>
      <c r="H607" s="5" t="s">
        <v>3763</v>
      </c>
      <c r="I607" s="39">
        <f t="shared" si="238"/>
        <v>4</v>
      </c>
      <c r="J607" s="5"/>
      <c r="K607" s="5"/>
      <c r="L607" s="33">
        <f t="shared" si="239"/>
        <v>607</v>
      </c>
      <c r="M607" s="33">
        <f t="shared" si="240"/>
        <v>607</v>
      </c>
      <c r="N607" s="33">
        <f t="shared" si="241"/>
        <v>0</v>
      </c>
      <c r="T607">
        <v>1</v>
      </c>
      <c r="U607" s="29">
        <f t="shared" si="220"/>
        <v>0</v>
      </c>
      <c r="V607" s="29">
        <f t="shared" si="221"/>
        <v>0</v>
      </c>
      <c r="W607" s="29">
        <f t="shared" si="222"/>
        <v>0</v>
      </c>
      <c r="X607" s="29">
        <f t="shared" si="223"/>
        <v>0</v>
      </c>
      <c r="Y607" s="29">
        <f t="shared" si="224"/>
        <v>0</v>
      </c>
      <c r="Z607" s="29">
        <f t="shared" si="225"/>
        <v>607</v>
      </c>
    </row>
    <row r="608" spans="1:27" x14ac:dyDescent="0.3">
      <c r="A608" s="5" t="s">
        <v>2816</v>
      </c>
      <c r="B608" s="5" t="s">
        <v>2817</v>
      </c>
      <c r="C608" s="5">
        <v>8</v>
      </c>
      <c r="D608" s="6">
        <v>1076</v>
      </c>
      <c r="E608" s="17">
        <f>VLOOKUP(A608,'forecast data dump'!$A$1:$H$3450,4,FALSE)</f>
        <v>44404</v>
      </c>
      <c r="F608" s="17">
        <f>VLOOKUP(A608,'forecast data dump'!$A$1:$H$3450,5,FALSE)</f>
        <v>44417</v>
      </c>
      <c r="G608" s="42">
        <f>VLOOKUP(A608,'forecast data dump'!$A$1:$H$3450,8,FALSE)</f>
        <v>0</v>
      </c>
      <c r="H608" s="5" t="s">
        <v>3765</v>
      </c>
      <c r="I608" s="39">
        <f t="shared" si="238"/>
        <v>8</v>
      </c>
      <c r="J608" s="5"/>
      <c r="K608" s="5"/>
      <c r="L608" s="33">
        <f t="shared" si="239"/>
        <v>1076</v>
      </c>
      <c r="M608" s="33">
        <f t="shared" si="240"/>
        <v>1076</v>
      </c>
      <c r="N608" s="33">
        <f t="shared" si="241"/>
        <v>0</v>
      </c>
      <c r="T608">
        <v>1</v>
      </c>
      <c r="U608" s="29">
        <f t="shared" si="220"/>
        <v>0</v>
      </c>
      <c r="V608" s="29">
        <f t="shared" si="221"/>
        <v>0</v>
      </c>
      <c r="W608" s="29">
        <f t="shared" si="222"/>
        <v>0</v>
      </c>
      <c r="X608" s="29">
        <f t="shared" si="223"/>
        <v>0</v>
      </c>
      <c r="Y608" s="29">
        <f t="shared" si="224"/>
        <v>0</v>
      </c>
      <c r="Z608" s="29">
        <f t="shared" si="225"/>
        <v>1076</v>
      </c>
    </row>
    <row r="609" spans="1:26" x14ac:dyDescent="0.3">
      <c r="A609" s="5" t="s">
        <v>2816</v>
      </c>
      <c r="B609" s="5" t="s">
        <v>2817</v>
      </c>
      <c r="C609" s="5">
        <v>16</v>
      </c>
      <c r="D609" s="6">
        <v>1652</v>
      </c>
      <c r="E609" s="17">
        <f>VLOOKUP(A609,'forecast data dump'!$A$1:$H$3450,4,FALSE)</f>
        <v>44404</v>
      </c>
      <c r="F609" s="17">
        <f>VLOOKUP(A609,'forecast data dump'!$A$1:$H$3450,5,FALSE)</f>
        <v>44417</v>
      </c>
      <c r="G609" s="42">
        <f>VLOOKUP(A609,'forecast data dump'!$A$1:$H$3450,8,FALSE)</f>
        <v>0</v>
      </c>
      <c r="H609" s="5" t="s">
        <v>3757</v>
      </c>
      <c r="I609" s="39">
        <f t="shared" si="238"/>
        <v>16</v>
      </c>
      <c r="J609" s="5"/>
      <c r="K609" s="5"/>
      <c r="L609" s="33">
        <f t="shared" si="239"/>
        <v>1652</v>
      </c>
      <c r="M609" s="33">
        <f t="shared" si="240"/>
        <v>1652</v>
      </c>
      <c r="N609" s="33">
        <f t="shared" si="241"/>
        <v>0</v>
      </c>
      <c r="T609">
        <v>1</v>
      </c>
      <c r="U609" s="29">
        <f t="shared" si="220"/>
        <v>0</v>
      </c>
      <c r="V609" s="29">
        <f t="shared" si="221"/>
        <v>0</v>
      </c>
      <c r="W609" s="29">
        <f t="shared" si="222"/>
        <v>0</v>
      </c>
      <c r="X609" s="29">
        <f t="shared" si="223"/>
        <v>0</v>
      </c>
      <c r="Y609" s="29">
        <f t="shared" si="224"/>
        <v>0</v>
      </c>
      <c r="Z609" s="29">
        <f t="shared" si="225"/>
        <v>1652</v>
      </c>
    </row>
    <row r="610" spans="1:26" x14ac:dyDescent="0.3">
      <c r="A610" s="5" t="s">
        <v>2816</v>
      </c>
      <c r="B610" s="5" t="s">
        <v>2817</v>
      </c>
      <c r="C610" s="5">
        <v>8</v>
      </c>
      <c r="D610" s="6">
        <v>1213</v>
      </c>
      <c r="E610" s="17">
        <f>VLOOKUP(A610,'forecast data dump'!$A$1:$H$3450,4,FALSE)</f>
        <v>44404</v>
      </c>
      <c r="F610" s="17">
        <f>VLOOKUP(A610,'forecast data dump'!$A$1:$H$3450,5,FALSE)</f>
        <v>44417</v>
      </c>
      <c r="G610" s="42">
        <f>VLOOKUP(A610,'forecast data dump'!$A$1:$H$3450,8,FALSE)</f>
        <v>0</v>
      </c>
      <c r="H610" s="5" t="s">
        <v>3763</v>
      </c>
      <c r="I610" s="39">
        <f t="shared" si="238"/>
        <v>8</v>
      </c>
      <c r="J610" s="5"/>
      <c r="K610" s="5"/>
      <c r="L610" s="33">
        <f t="shared" si="239"/>
        <v>1213</v>
      </c>
      <c r="M610" s="33">
        <f t="shared" si="240"/>
        <v>1213</v>
      </c>
      <c r="N610" s="33">
        <f t="shared" si="241"/>
        <v>0</v>
      </c>
      <c r="T610">
        <v>1</v>
      </c>
      <c r="U610" s="29">
        <f t="shared" si="220"/>
        <v>0</v>
      </c>
      <c r="V610" s="29">
        <f t="shared" si="221"/>
        <v>0</v>
      </c>
      <c r="W610" s="29">
        <f t="shared" si="222"/>
        <v>0</v>
      </c>
      <c r="X610" s="29">
        <f t="shared" si="223"/>
        <v>0</v>
      </c>
      <c r="Y610" s="29">
        <f t="shared" si="224"/>
        <v>0</v>
      </c>
      <c r="Z610" s="29">
        <f t="shared" si="225"/>
        <v>1213</v>
      </c>
    </row>
    <row r="611" spans="1:26" x14ac:dyDescent="0.3">
      <c r="A611" s="5" t="s">
        <v>2818</v>
      </c>
      <c r="B611" s="5" t="s">
        <v>2819</v>
      </c>
      <c r="C611" s="5">
        <v>16</v>
      </c>
      <c r="D611" s="6">
        <v>2152</v>
      </c>
      <c r="E611" s="17">
        <f>VLOOKUP(A611,'forecast data dump'!$A$1:$H$3450,4,FALSE)</f>
        <v>44418</v>
      </c>
      <c r="F611" s="17">
        <f>VLOOKUP(A611,'forecast data dump'!$A$1:$H$3450,5,FALSE)</f>
        <v>44446</v>
      </c>
      <c r="G611" s="42">
        <f>VLOOKUP(A611,'forecast data dump'!$A$1:$H$3450,8,FALSE)</f>
        <v>0</v>
      </c>
      <c r="H611" s="5" t="s">
        <v>3765</v>
      </c>
      <c r="I611" s="39">
        <f t="shared" si="238"/>
        <v>16</v>
      </c>
      <c r="J611" s="5"/>
      <c r="K611" s="5"/>
      <c r="L611" s="33">
        <f t="shared" si="239"/>
        <v>2152</v>
      </c>
      <c r="M611" s="33">
        <f t="shared" si="240"/>
        <v>2152</v>
      </c>
      <c r="N611" s="33">
        <f t="shared" si="241"/>
        <v>0</v>
      </c>
      <c r="T611">
        <v>1</v>
      </c>
      <c r="U611" s="29">
        <f t="shared" si="220"/>
        <v>0</v>
      </c>
      <c r="V611" s="29">
        <f t="shared" si="221"/>
        <v>0</v>
      </c>
      <c r="W611" s="29">
        <f t="shared" si="222"/>
        <v>0</v>
      </c>
      <c r="X611" s="29">
        <f t="shared" si="223"/>
        <v>0</v>
      </c>
      <c r="Y611" s="29">
        <f t="shared" si="224"/>
        <v>0</v>
      </c>
      <c r="Z611" s="29">
        <f t="shared" si="225"/>
        <v>2152</v>
      </c>
    </row>
    <row r="612" spans="1:26" x14ac:dyDescent="0.3">
      <c r="A612" s="5" t="s">
        <v>2818</v>
      </c>
      <c r="B612" s="5" t="s">
        <v>2819</v>
      </c>
      <c r="C612" s="5">
        <v>32</v>
      </c>
      <c r="D612" s="6">
        <v>3303</v>
      </c>
      <c r="E612" s="17">
        <f>VLOOKUP(A612,'forecast data dump'!$A$1:$H$3450,4,FALSE)</f>
        <v>44418</v>
      </c>
      <c r="F612" s="17">
        <f>VLOOKUP(A612,'forecast data dump'!$A$1:$H$3450,5,FALSE)</f>
        <v>44446</v>
      </c>
      <c r="G612" s="42">
        <f>VLOOKUP(A612,'forecast data dump'!$A$1:$H$3450,8,FALSE)</f>
        <v>0</v>
      </c>
      <c r="H612" s="5" t="s">
        <v>3757</v>
      </c>
      <c r="I612" s="39">
        <f t="shared" si="238"/>
        <v>32</v>
      </c>
      <c r="J612" s="5"/>
      <c r="K612" s="5"/>
      <c r="L612" s="33">
        <f t="shared" si="239"/>
        <v>3303</v>
      </c>
      <c r="M612" s="33">
        <f t="shared" si="240"/>
        <v>3303</v>
      </c>
      <c r="N612" s="33">
        <f t="shared" si="241"/>
        <v>0</v>
      </c>
      <c r="T612">
        <v>1</v>
      </c>
      <c r="U612" s="29">
        <f t="shared" si="220"/>
        <v>0</v>
      </c>
      <c r="V612" s="29">
        <f t="shared" si="221"/>
        <v>0</v>
      </c>
      <c r="W612" s="29">
        <f t="shared" si="222"/>
        <v>0</v>
      </c>
      <c r="X612" s="29">
        <f t="shared" si="223"/>
        <v>0</v>
      </c>
      <c r="Y612" s="29">
        <f t="shared" si="224"/>
        <v>0</v>
      </c>
      <c r="Z612" s="29">
        <f t="shared" si="225"/>
        <v>3303</v>
      </c>
    </row>
    <row r="613" spans="1:26" x14ac:dyDescent="0.3">
      <c r="A613" s="5" t="s">
        <v>2818</v>
      </c>
      <c r="B613" s="5" t="s">
        <v>2819</v>
      </c>
      <c r="C613" s="5">
        <v>4</v>
      </c>
      <c r="D613" s="6">
        <v>607</v>
      </c>
      <c r="E613" s="17">
        <f>VLOOKUP(A613,'forecast data dump'!$A$1:$H$3450,4,FALSE)</f>
        <v>44418</v>
      </c>
      <c r="F613" s="17">
        <f>VLOOKUP(A613,'forecast data dump'!$A$1:$H$3450,5,FALSE)</f>
        <v>44446</v>
      </c>
      <c r="G613" s="42">
        <f>VLOOKUP(A613,'forecast data dump'!$A$1:$H$3450,8,FALSE)</f>
        <v>0</v>
      </c>
      <c r="H613" s="5" t="s">
        <v>3763</v>
      </c>
      <c r="I613" s="39">
        <f t="shared" si="238"/>
        <v>4</v>
      </c>
      <c r="J613" s="5"/>
      <c r="K613" s="5"/>
      <c r="L613" s="33">
        <f t="shared" si="239"/>
        <v>607</v>
      </c>
      <c r="M613" s="33">
        <f t="shared" si="240"/>
        <v>607</v>
      </c>
      <c r="N613" s="33">
        <f t="shared" si="241"/>
        <v>0</v>
      </c>
      <c r="T613">
        <v>1</v>
      </c>
      <c r="U613" s="29">
        <f t="shared" si="220"/>
        <v>0</v>
      </c>
      <c r="V613" s="29">
        <f t="shared" si="221"/>
        <v>0</v>
      </c>
      <c r="W613" s="29">
        <f t="shared" si="222"/>
        <v>0</v>
      </c>
      <c r="X613" s="29">
        <f t="shared" si="223"/>
        <v>0</v>
      </c>
      <c r="Y613" s="29">
        <f t="shared" si="224"/>
        <v>0</v>
      </c>
      <c r="Z613" s="29">
        <f t="shared" si="225"/>
        <v>607</v>
      </c>
    </row>
    <row r="614" spans="1:26" x14ac:dyDescent="0.3">
      <c r="A614" s="5" t="s">
        <v>2820</v>
      </c>
      <c r="B614" s="5" t="s">
        <v>2821</v>
      </c>
      <c r="C614" s="5">
        <v>16</v>
      </c>
      <c r="D614" s="6">
        <v>2152</v>
      </c>
      <c r="E614" s="17">
        <f>VLOOKUP(A614,'forecast data dump'!$A$1:$H$3450,4,FALSE)</f>
        <v>44447</v>
      </c>
      <c r="F614" s="17">
        <f>VLOOKUP(A614,'forecast data dump'!$A$1:$H$3450,5,FALSE)</f>
        <v>44474</v>
      </c>
      <c r="G614" s="42">
        <f>VLOOKUP(A614,'forecast data dump'!$A$1:$H$3450,8,FALSE)</f>
        <v>0</v>
      </c>
      <c r="H614" s="5" t="s">
        <v>3765</v>
      </c>
      <c r="I614" s="39">
        <f t="shared" si="238"/>
        <v>16</v>
      </c>
      <c r="J614" s="5"/>
      <c r="K614" s="5"/>
      <c r="L614" s="33">
        <f t="shared" si="239"/>
        <v>2152</v>
      </c>
      <c r="M614" s="33">
        <f t="shared" si="240"/>
        <v>2152</v>
      </c>
      <c r="N614" s="33">
        <f t="shared" si="241"/>
        <v>0</v>
      </c>
      <c r="T614">
        <v>1</v>
      </c>
      <c r="U614" s="29">
        <f t="shared" si="220"/>
        <v>0</v>
      </c>
      <c r="V614" s="29">
        <f t="shared" si="221"/>
        <v>0</v>
      </c>
      <c r="W614" s="29">
        <f t="shared" si="222"/>
        <v>0</v>
      </c>
      <c r="X614" s="29">
        <f t="shared" si="223"/>
        <v>0</v>
      </c>
      <c r="Y614" s="29">
        <f t="shared" si="224"/>
        <v>0</v>
      </c>
      <c r="Z614" s="29">
        <f t="shared" si="225"/>
        <v>2152</v>
      </c>
    </row>
    <row r="615" spans="1:26" x14ac:dyDescent="0.3">
      <c r="A615" s="5" t="s">
        <v>2820</v>
      </c>
      <c r="B615" s="5" t="s">
        <v>2821</v>
      </c>
      <c r="C615" s="5">
        <v>32</v>
      </c>
      <c r="D615" s="6">
        <v>3303</v>
      </c>
      <c r="E615" s="17">
        <f>VLOOKUP(A615,'forecast data dump'!$A$1:$H$3450,4,FALSE)</f>
        <v>44447</v>
      </c>
      <c r="F615" s="17">
        <f>VLOOKUP(A615,'forecast data dump'!$A$1:$H$3450,5,FALSE)</f>
        <v>44474</v>
      </c>
      <c r="G615" s="42">
        <f>VLOOKUP(A615,'forecast data dump'!$A$1:$H$3450,8,FALSE)</f>
        <v>0</v>
      </c>
      <c r="H615" s="5" t="s">
        <v>3757</v>
      </c>
      <c r="I615" s="39">
        <f t="shared" si="238"/>
        <v>32</v>
      </c>
      <c r="J615" s="5"/>
      <c r="K615" s="5"/>
      <c r="L615" s="33">
        <f t="shared" si="239"/>
        <v>3303</v>
      </c>
      <c r="M615" s="33">
        <f t="shared" si="240"/>
        <v>3303</v>
      </c>
      <c r="N615" s="33">
        <f t="shared" si="241"/>
        <v>0</v>
      </c>
      <c r="T615">
        <v>1</v>
      </c>
      <c r="U615" s="29">
        <f t="shared" si="220"/>
        <v>0</v>
      </c>
      <c r="V615" s="29">
        <f t="shared" si="221"/>
        <v>0</v>
      </c>
      <c r="W615" s="29">
        <f t="shared" si="222"/>
        <v>0</v>
      </c>
      <c r="X615" s="29">
        <f t="shared" si="223"/>
        <v>0</v>
      </c>
      <c r="Y615" s="29">
        <f t="shared" si="224"/>
        <v>0</v>
      </c>
      <c r="Z615" s="29">
        <f t="shared" si="225"/>
        <v>3303</v>
      </c>
    </row>
    <row r="616" spans="1:26" x14ac:dyDescent="0.3">
      <c r="A616" s="5" t="s">
        <v>2820</v>
      </c>
      <c r="B616" s="5" t="s">
        <v>2821</v>
      </c>
      <c r="C616" s="5">
        <v>4</v>
      </c>
      <c r="D616" s="6">
        <v>607</v>
      </c>
      <c r="E616" s="17">
        <f>VLOOKUP(A616,'forecast data dump'!$A$1:$H$3450,4,FALSE)</f>
        <v>44447</v>
      </c>
      <c r="F616" s="17">
        <f>VLOOKUP(A616,'forecast data dump'!$A$1:$H$3450,5,FALSE)</f>
        <v>44474</v>
      </c>
      <c r="G616" s="42">
        <f>VLOOKUP(A616,'forecast data dump'!$A$1:$H$3450,8,FALSE)</f>
        <v>0</v>
      </c>
      <c r="H616" s="5" t="s">
        <v>3763</v>
      </c>
      <c r="I616" s="39">
        <f t="shared" si="238"/>
        <v>4</v>
      </c>
      <c r="J616" s="5"/>
      <c r="K616" s="5"/>
      <c r="L616" s="33">
        <f t="shared" si="239"/>
        <v>607</v>
      </c>
      <c r="M616" s="33">
        <f t="shared" si="240"/>
        <v>607</v>
      </c>
      <c r="N616" s="33">
        <f t="shared" si="241"/>
        <v>0</v>
      </c>
      <c r="T616">
        <v>1</v>
      </c>
      <c r="U616" s="29">
        <f t="shared" ref="U616:U676" si="242">O616*M616</f>
        <v>0</v>
      </c>
      <c r="V616" s="29">
        <f t="shared" ref="V616:V676" si="243">P616*M616</f>
        <v>0</v>
      </c>
      <c r="W616" s="29">
        <f t="shared" ref="W616:W676" si="244">Q616*M616</f>
        <v>0</v>
      </c>
      <c r="X616" s="29">
        <f t="shared" ref="X616:X676" si="245">R616*M616</f>
        <v>0</v>
      </c>
      <c r="Y616" s="29">
        <f t="shared" ref="Y616:Y676" si="246">S616*M616</f>
        <v>0</v>
      </c>
      <c r="Z616" s="29">
        <f t="shared" ref="Z616:Z676" si="247">T616*M616</f>
        <v>607</v>
      </c>
    </row>
    <row r="617" spans="1:26" x14ac:dyDescent="0.3">
      <c r="A617" s="5" t="s">
        <v>2822</v>
      </c>
      <c r="B617" s="5" t="s">
        <v>2823</v>
      </c>
      <c r="C617" s="5">
        <v>48</v>
      </c>
      <c r="D617" s="6">
        <v>6457</v>
      </c>
      <c r="E617" s="17">
        <f>VLOOKUP(A617,'forecast data dump'!$A$1:$H$3450,4,FALSE)</f>
        <v>44475</v>
      </c>
      <c r="F617" s="17">
        <f>VLOOKUP(A617,'forecast data dump'!$A$1:$H$3450,5,FALSE)</f>
        <v>44566</v>
      </c>
      <c r="G617" s="42">
        <f>VLOOKUP(A617,'forecast data dump'!$A$1:$H$3450,8,FALSE)</f>
        <v>0</v>
      </c>
      <c r="H617" s="5" t="s">
        <v>3765</v>
      </c>
      <c r="I617" s="39">
        <f t="shared" si="238"/>
        <v>48</v>
      </c>
      <c r="J617" s="5"/>
      <c r="K617" s="5"/>
      <c r="L617" s="33">
        <f t="shared" si="239"/>
        <v>6457</v>
      </c>
      <c r="M617" s="33">
        <f t="shared" si="240"/>
        <v>6457</v>
      </c>
      <c r="N617" s="33">
        <f t="shared" si="241"/>
        <v>0</v>
      </c>
      <c r="T617">
        <v>1</v>
      </c>
      <c r="U617" s="29">
        <f t="shared" si="242"/>
        <v>0</v>
      </c>
      <c r="V617" s="29">
        <f t="shared" si="243"/>
        <v>0</v>
      </c>
      <c r="W617" s="29">
        <f t="shared" si="244"/>
        <v>0</v>
      </c>
      <c r="X617" s="29">
        <f t="shared" si="245"/>
        <v>0</v>
      </c>
      <c r="Y617" s="29">
        <f t="shared" si="246"/>
        <v>0</v>
      </c>
      <c r="Z617" s="29">
        <f t="shared" si="247"/>
        <v>6457</v>
      </c>
    </row>
    <row r="618" spans="1:26" x14ac:dyDescent="0.3">
      <c r="A618" s="5" t="s">
        <v>2822</v>
      </c>
      <c r="B618" s="5" t="s">
        <v>2823</v>
      </c>
      <c r="C618" s="5">
        <v>96</v>
      </c>
      <c r="D618" s="6">
        <v>9910</v>
      </c>
      <c r="E618" s="17">
        <f>VLOOKUP(A618,'forecast data dump'!$A$1:$H$3450,4,FALSE)</f>
        <v>44475</v>
      </c>
      <c r="F618" s="17">
        <f>VLOOKUP(A618,'forecast data dump'!$A$1:$H$3450,5,FALSE)</f>
        <v>44566</v>
      </c>
      <c r="G618" s="42">
        <f>VLOOKUP(A618,'forecast data dump'!$A$1:$H$3450,8,FALSE)</f>
        <v>0</v>
      </c>
      <c r="H618" s="5" t="s">
        <v>3757</v>
      </c>
      <c r="I618" s="39">
        <f t="shared" si="238"/>
        <v>96</v>
      </c>
      <c r="J618" s="5"/>
      <c r="K618" s="5"/>
      <c r="L618" s="33">
        <f t="shared" si="239"/>
        <v>9910</v>
      </c>
      <c r="M618" s="33">
        <f t="shared" si="240"/>
        <v>9910</v>
      </c>
      <c r="N618" s="33">
        <f t="shared" si="241"/>
        <v>0</v>
      </c>
      <c r="T618">
        <v>1</v>
      </c>
      <c r="U618" s="29">
        <f t="shared" si="242"/>
        <v>0</v>
      </c>
      <c r="V618" s="29">
        <f t="shared" si="243"/>
        <v>0</v>
      </c>
      <c r="W618" s="29">
        <f t="shared" si="244"/>
        <v>0</v>
      </c>
      <c r="X618" s="29">
        <f t="shared" si="245"/>
        <v>0</v>
      </c>
      <c r="Y618" s="29">
        <f t="shared" si="246"/>
        <v>0</v>
      </c>
      <c r="Z618" s="29">
        <f t="shared" si="247"/>
        <v>9910</v>
      </c>
    </row>
    <row r="619" spans="1:26" x14ac:dyDescent="0.3">
      <c r="A619" s="5" t="s">
        <v>2824</v>
      </c>
      <c r="B619" s="5" t="s">
        <v>2825</v>
      </c>
      <c r="C619" s="5">
        <v>40</v>
      </c>
      <c r="D619" s="6">
        <v>4702</v>
      </c>
      <c r="E619" s="17">
        <f>VLOOKUP(A619,'forecast data dump'!$A$1:$H$3450,4,FALSE)</f>
        <v>44567</v>
      </c>
      <c r="F619" s="17">
        <f>VLOOKUP(A619,'forecast data dump'!$A$1:$H$3450,5,FALSE)</f>
        <v>44581</v>
      </c>
      <c r="G619" s="42">
        <f>VLOOKUP(A619,'forecast data dump'!$A$1:$H$3450,8,FALSE)</f>
        <v>0</v>
      </c>
      <c r="H619" s="5" t="s">
        <v>3759</v>
      </c>
      <c r="I619" s="39">
        <f t="shared" si="238"/>
        <v>40</v>
      </c>
      <c r="J619" s="5"/>
      <c r="K619" s="5"/>
      <c r="L619" s="33">
        <f t="shared" si="239"/>
        <v>4702</v>
      </c>
      <c r="M619" s="33">
        <f t="shared" si="240"/>
        <v>4702</v>
      </c>
      <c r="N619" s="33">
        <f t="shared" si="241"/>
        <v>0</v>
      </c>
      <c r="T619">
        <v>1</v>
      </c>
      <c r="U619" s="29">
        <f t="shared" si="242"/>
        <v>0</v>
      </c>
      <c r="V619" s="29">
        <f t="shared" si="243"/>
        <v>0</v>
      </c>
      <c r="W619" s="29">
        <f t="shared" si="244"/>
        <v>0</v>
      </c>
      <c r="X619" s="29">
        <f t="shared" si="245"/>
        <v>0</v>
      </c>
      <c r="Y619" s="29">
        <f t="shared" si="246"/>
        <v>0</v>
      </c>
      <c r="Z619" s="29">
        <f t="shared" si="247"/>
        <v>4702</v>
      </c>
    </row>
    <row r="620" spans="1:26" x14ac:dyDescent="0.3">
      <c r="A620" s="5" t="s">
        <v>2824</v>
      </c>
      <c r="B620" s="5" t="s">
        <v>2825</v>
      </c>
      <c r="C620" s="5">
        <v>8</v>
      </c>
      <c r="D620" s="6">
        <v>1076</v>
      </c>
      <c r="E620" s="17">
        <f>VLOOKUP(A620,'forecast data dump'!$A$1:$H$3450,4,FALSE)</f>
        <v>44567</v>
      </c>
      <c r="F620" s="17">
        <f>VLOOKUP(A620,'forecast data dump'!$A$1:$H$3450,5,FALSE)</f>
        <v>44581</v>
      </c>
      <c r="G620" s="42">
        <f>VLOOKUP(A620,'forecast data dump'!$A$1:$H$3450,8,FALSE)</f>
        <v>0</v>
      </c>
      <c r="H620" s="5" t="s">
        <v>3765</v>
      </c>
      <c r="I620" s="39">
        <f t="shared" si="238"/>
        <v>8</v>
      </c>
      <c r="J620" s="5"/>
      <c r="K620" s="5"/>
      <c r="L620" s="33">
        <f t="shared" si="239"/>
        <v>1076</v>
      </c>
      <c r="M620" s="33">
        <f t="shared" si="240"/>
        <v>1076</v>
      </c>
      <c r="N620" s="33">
        <f t="shared" si="241"/>
        <v>0</v>
      </c>
      <c r="T620">
        <v>1</v>
      </c>
      <c r="U620" s="29">
        <f t="shared" si="242"/>
        <v>0</v>
      </c>
      <c r="V620" s="29">
        <f t="shared" si="243"/>
        <v>0</v>
      </c>
      <c r="W620" s="29">
        <f t="shared" si="244"/>
        <v>0</v>
      </c>
      <c r="X620" s="29">
        <f t="shared" si="245"/>
        <v>0</v>
      </c>
      <c r="Y620" s="29">
        <f t="shared" si="246"/>
        <v>0</v>
      </c>
      <c r="Z620" s="29">
        <f t="shared" si="247"/>
        <v>1076</v>
      </c>
    </row>
    <row r="621" spans="1:26" x14ac:dyDescent="0.3">
      <c r="A621" s="5" t="s">
        <v>2824</v>
      </c>
      <c r="B621" s="5" t="s">
        <v>2825</v>
      </c>
      <c r="C621" s="5">
        <v>16</v>
      </c>
      <c r="D621" s="6">
        <v>1652</v>
      </c>
      <c r="E621" s="17">
        <f>VLOOKUP(A621,'forecast data dump'!$A$1:$H$3450,4,FALSE)</f>
        <v>44567</v>
      </c>
      <c r="F621" s="17">
        <f>VLOOKUP(A621,'forecast data dump'!$A$1:$H$3450,5,FALSE)</f>
        <v>44581</v>
      </c>
      <c r="G621" s="42">
        <f>VLOOKUP(A621,'forecast data dump'!$A$1:$H$3450,8,FALSE)</f>
        <v>0</v>
      </c>
      <c r="H621" s="5" t="s">
        <v>3757</v>
      </c>
      <c r="I621" s="39">
        <f t="shared" si="238"/>
        <v>16</v>
      </c>
      <c r="J621" s="5"/>
      <c r="K621" s="5"/>
      <c r="L621" s="33">
        <f t="shared" si="239"/>
        <v>1652</v>
      </c>
      <c r="M621" s="33">
        <f t="shared" si="240"/>
        <v>1652</v>
      </c>
      <c r="N621" s="33">
        <f t="shared" si="241"/>
        <v>0</v>
      </c>
      <c r="T621">
        <v>1</v>
      </c>
      <c r="U621" s="29">
        <f t="shared" si="242"/>
        <v>0</v>
      </c>
      <c r="V621" s="29">
        <f t="shared" si="243"/>
        <v>0</v>
      </c>
      <c r="W621" s="29">
        <f t="shared" si="244"/>
        <v>0</v>
      </c>
      <c r="X621" s="29">
        <f t="shared" si="245"/>
        <v>0</v>
      </c>
      <c r="Y621" s="29">
        <f t="shared" si="246"/>
        <v>0</v>
      </c>
      <c r="Z621" s="29">
        <f t="shared" si="247"/>
        <v>1652</v>
      </c>
    </row>
    <row r="622" spans="1:26" x14ac:dyDescent="0.3">
      <c r="A622" s="5" t="s">
        <v>2824</v>
      </c>
      <c r="B622" s="5" t="s">
        <v>2825</v>
      </c>
      <c r="C622" s="5">
        <v>2</v>
      </c>
      <c r="D622" s="6">
        <v>303</v>
      </c>
      <c r="E622" s="17">
        <f>VLOOKUP(A622,'forecast data dump'!$A$1:$H$3450,4,FALSE)</f>
        <v>44567</v>
      </c>
      <c r="F622" s="17">
        <f>VLOOKUP(A622,'forecast data dump'!$A$1:$H$3450,5,FALSE)</f>
        <v>44581</v>
      </c>
      <c r="G622" s="42">
        <f>VLOOKUP(A622,'forecast data dump'!$A$1:$H$3450,8,FALSE)</f>
        <v>0</v>
      </c>
      <c r="H622" s="5" t="s">
        <v>3763</v>
      </c>
      <c r="I622" s="39">
        <f t="shared" si="238"/>
        <v>2</v>
      </c>
      <c r="J622" s="5"/>
      <c r="K622" s="5"/>
      <c r="L622" s="33">
        <f t="shared" si="239"/>
        <v>303</v>
      </c>
      <c r="M622" s="33">
        <f t="shared" si="240"/>
        <v>303</v>
      </c>
      <c r="N622" s="33">
        <f t="shared" si="241"/>
        <v>0</v>
      </c>
      <c r="T622">
        <v>1</v>
      </c>
      <c r="U622" s="29">
        <f t="shared" si="242"/>
        <v>0</v>
      </c>
      <c r="V622" s="29">
        <f t="shared" si="243"/>
        <v>0</v>
      </c>
      <c r="W622" s="29">
        <f t="shared" si="244"/>
        <v>0</v>
      </c>
      <c r="X622" s="29">
        <f t="shared" si="245"/>
        <v>0</v>
      </c>
      <c r="Y622" s="29">
        <f t="shared" si="246"/>
        <v>0</v>
      </c>
      <c r="Z622" s="29">
        <f t="shared" si="247"/>
        <v>303</v>
      </c>
    </row>
    <row r="623" spans="1:26" x14ac:dyDescent="0.3">
      <c r="A623" s="5" t="s">
        <v>2826</v>
      </c>
      <c r="B623" s="5" t="s">
        <v>2827</v>
      </c>
      <c r="C623" s="5">
        <v>35000</v>
      </c>
      <c r="D623" s="6">
        <v>40624</v>
      </c>
      <c r="E623" s="17">
        <f>VLOOKUP(A623,'forecast data dump'!$A$1:$H$3450,4,FALSE)</f>
        <v>44475</v>
      </c>
      <c r="F623" s="17">
        <f>VLOOKUP(A623,'forecast data dump'!$A$1:$H$3450,5,FALSE)</f>
        <v>44566</v>
      </c>
      <c r="G623" s="42">
        <f>VLOOKUP(A623,'forecast data dump'!$A$1:$H$3450,8,FALSE)</f>
        <v>0</v>
      </c>
      <c r="H623" s="5" t="s">
        <v>3762</v>
      </c>
      <c r="I623" s="39">
        <f t="shared" si="238"/>
        <v>35000</v>
      </c>
      <c r="J623" s="5"/>
      <c r="K623" s="5"/>
      <c r="L623" s="33">
        <f t="shared" si="239"/>
        <v>40624</v>
      </c>
      <c r="M623" s="33">
        <f t="shared" si="240"/>
        <v>40624</v>
      </c>
      <c r="N623" s="33">
        <f t="shared" si="241"/>
        <v>0</v>
      </c>
      <c r="Q623">
        <v>1</v>
      </c>
      <c r="U623" s="29">
        <f t="shared" si="242"/>
        <v>0</v>
      </c>
      <c r="V623" s="29">
        <f t="shared" si="243"/>
        <v>0</v>
      </c>
      <c r="W623" s="29">
        <f t="shared" si="244"/>
        <v>40624</v>
      </c>
      <c r="X623" s="29">
        <f t="shared" si="245"/>
        <v>0</v>
      </c>
      <c r="Y623" s="29">
        <f t="shared" si="246"/>
        <v>0</v>
      </c>
      <c r="Z623" s="29">
        <f t="shared" si="247"/>
        <v>0</v>
      </c>
    </row>
    <row r="624" spans="1:26" x14ac:dyDescent="0.3">
      <c r="A624" s="3" t="s">
        <v>7888</v>
      </c>
      <c r="B624" s="3"/>
      <c r="C624" s="3"/>
      <c r="D624" s="4"/>
      <c r="E624" s="15"/>
      <c r="F624" s="15"/>
      <c r="G624" s="41"/>
      <c r="H624" s="3"/>
      <c r="I624" s="38"/>
      <c r="J624" s="3"/>
      <c r="K624" s="3"/>
      <c r="L624" s="32"/>
      <c r="M624" s="32"/>
      <c r="N624" s="32"/>
      <c r="U624" s="29"/>
      <c r="V624" s="29"/>
      <c r="W624" s="29"/>
      <c r="X624" s="29"/>
      <c r="Y624" s="29"/>
      <c r="Z624" s="29"/>
    </row>
    <row r="625" spans="1:26" x14ac:dyDescent="0.3">
      <c r="A625" s="5" t="s">
        <v>2830</v>
      </c>
      <c r="B625" s="5" t="s">
        <v>2831</v>
      </c>
      <c r="C625" s="5">
        <v>8</v>
      </c>
      <c r="D625" s="6">
        <v>1076</v>
      </c>
      <c r="E625" s="17">
        <f>VLOOKUP(A625,'forecast data dump'!$A$1:$H$3450,4,FALSE)</f>
        <v>44397</v>
      </c>
      <c r="F625" s="17">
        <f>VLOOKUP(A625,'forecast data dump'!$A$1:$H$3450,5,FALSE)</f>
        <v>44410</v>
      </c>
      <c r="G625" s="42">
        <f>VLOOKUP(A625,'forecast data dump'!$A$1:$H$3450,8,FALSE)</f>
        <v>0</v>
      </c>
      <c r="H625" s="5" t="s">
        <v>3765</v>
      </c>
      <c r="I625" s="39">
        <f t="shared" ref="I625:I644" si="248">C625*(1-G625)</f>
        <v>8</v>
      </c>
      <c r="J625" s="5"/>
      <c r="K625" s="5"/>
      <c r="L625" s="33">
        <f t="shared" ref="L625:L644" si="249">D625*(1-G625)</f>
        <v>1076</v>
      </c>
      <c r="M625" s="33">
        <f t="shared" ref="M625:M644" si="250">IF(J625="",L625,(D625/C625)*J625)</f>
        <v>1076</v>
      </c>
      <c r="N625" s="33">
        <f t="shared" ref="N625:N644" si="251">L625-M625</f>
        <v>0</v>
      </c>
      <c r="T625">
        <v>1</v>
      </c>
      <c r="U625" s="29">
        <f t="shared" si="242"/>
        <v>0</v>
      </c>
      <c r="V625" s="29">
        <f t="shared" si="243"/>
        <v>0</v>
      </c>
      <c r="W625" s="29">
        <f t="shared" si="244"/>
        <v>0</v>
      </c>
      <c r="X625" s="29">
        <f t="shared" si="245"/>
        <v>0</v>
      </c>
      <c r="Y625" s="29">
        <f t="shared" si="246"/>
        <v>0</v>
      </c>
      <c r="Z625" s="29">
        <f t="shared" si="247"/>
        <v>1076</v>
      </c>
    </row>
    <row r="626" spans="1:26" x14ac:dyDescent="0.3">
      <c r="A626" s="5" t="s">
        <v>2830</v>
      </c>
      <c r="B626" s="5" t="s">
        <v>2831</v>
      </c>
      <c r="C626" s="5">
        <v>16</v>
      </c>
      <c r="D626" s="6">
        <v>1652</v>
      </c>
      <c r="E626" s="17">
        <f>VLOOKUP(A626,'forecast data dump'!$A$1:$H$3450,4,FALSE)</f>
        <v>44397</v>
      </c>
      <c r="F626" s="17">
        <f>VLOOKUP(A626,'forecast data dump'!$A$1:$H$3450,5,FALSE)</f>
        <v>44410</v>
      </c>
      <c r="G626" s="42">
        <f>VLOOKUP(A626,'forecast data dump'!$A$1:$H$3450,8,FALSE)</f>
        <v>0</v>
      </c>
      <c r="H626" s="5" t="s">
        <v>3757</v>
      </c>
      <c r="I626" s="39">
        <f t="shared" si="248"/>
        <v>16</v>
      </c>
      <c r="J626" s="5"/>
      <c r="K626" s="5"/>
      <c r="L626" s="33">
        <f t="shared" si="249"/>
        <v>1652</v>
      </c>
      <c r="M626" s="33">
        <f t="shared" si="250"/>
        <v>1652</v>
      </c>
      <c r="N626" s="33">
        <f t="shared" si="251"/>
        <v>0</v>
      </c>
      <c r="T626">
        <v>1</v>
      </c>
      <c r="U626" s="29">
        <f t="shared" si="242"/>
        <v>0</v>
      </c>
      <c r="V626" s="29">
        <f t="shared" si="243"/>
        <v>0</v>
      </c>
      <c r="W626" s="29">
        <f t="shared" si="244"/>
        <v>0</v>
      </c>
      <c r="X626" s="29">
        <f t="shared" si="245"/>
        <v>0</v>
      </c>
      <c r="Y626" s="29">
        <f t="shared" si="246"/>
        <v>0</v>
      </c>
      <c r="Z626" s="29">
        <f t="shared" si="247"/>
        <v>1652</v>
      </c>
    </row>
    <row r="627" spans="1:26" x14ac:dyDescent="0.3">
      <c r="A627" s="5" t="s">
        <v>2830</v>
      </c>
      <c r="B627" s="5" t="s">
        <v>2831</v>
      </c>
      <c r="C627" s="5">
        <v>4</v>
      </c>
      <c r="D627" s="6">
        <v>607</v>
      </c>
      <c r="E627" s="17">
        <f>VLOOKUP(A627,'forecast data dump'!$A$1:$H$3450,4,FALSE)</f>
        <v>44397</v>
      </c>
      <c r="F627" s="17">
        <f>VLOOKUP(A627,'forecast data dump'!$A$1:$H$3450,5,FALSE)</f>
        <v>44410</v>
      </c>
      <c r="G627" s="42">
        <f>VLOOKUP(A627,'forecast data dump'!$A$1:$H$3450,8,FALSE)</f>
        <v>0</v>
      </c>
      <c r="H627" s="5" t="s">
        <v>3763</v>
      </c>
      <c r="I627" s="39">
        <f t="shared" si="248"/>
        <v>4</v>
      </c>
      <c r="J627" s="5"/>
      <c r="K627" s="5"/>
      <c r="L627" s="33">
        <f t="shared" si="249"/>
        <v>607</v>
      </c>
      <c r="M627" s="33">
        <f t="shared" si="250"/>
        <v>607</v>
      </c>
      <c r="N627" s="33">
        <f t="shared" si="251"/>
        <v>0</v>
      </c>
      <c r="T627">
        <v>1</v>
      </c>
      <c r="U627" s="29">
        <f t="shared" si="242"/>
        <v>0</v>
      </c>
      <c r="V627" s="29">
        <f t="shared" si="243"/>
        <v>0</v>
      </c>
      <c r="W627" s="29">
        <f t="shared" si="244"/>
        <v>0</v>
      </c>
      <c r="X627" s="29">
        <f t="shared" si="245"/>
        <v>0</v>
      </c>
      <c r="Y627" s="29">
        <f t="shared" si="246"/>
        <v>0</v>
      </c>
      <c r="Z627" s="29">
        <f t="shared" si="247"/>
        <v>607</v>
      </c>
    </row>
    <row r="628" spans="1:26" x14ac:dyDescent="0.3">
      <c r="A628" s="5" t="s">
        <v>2832</v>
      </c>
      <c r="B628" s="5" t="s">
        <v>2833</v>
      </c>
      <c r="C628" s="5">
        <v>8</v>
      </c>
      <c r="D628" s="6">
        <v>1076</v>
      </c>
      <c r="E628" s="17">
        <f>VLOOKUP(A628,'forecast data dump'!$A$1:$H$3450,4,FALSE)</f>
        <v>44411</v>
      </c>
      <c r="F628" s="17">
        <f>VLOOKUP(A628,'forecast data dump'!$A$1:$H$3450,5,FALSE)</f>
        <v>44424</v>
      </c>
      <c r="G628" s="42">
        <f>VLOOKUP(A628,'forecast data dump'!$A$1:$H$3450,8,FALSE)</f>
        <v>0</v>
      </c>
      <c r="H628" s="5" t="s">
        <v>3765</v>
      </c>
      <c r="I628" s="39">
        <f t="shared" si="248"/>
        <v>8</v>
      </c>
      <c r="J628" s="5"/>
      <c r="K628" s="5"/>
      <c r="L628" s="33">
        <f t="shared" si="249"/>
        <v>1076</v>
      </c>
      <c r="M628" s="33">
        <f t="shared" si="250"/>
        <v>1076</v>
      </c>
      <c r="N628" s="33">
        <f t="shared" si="251"/>
        <v>0</v>
      </c>
      <c r="T628">
        <v>1</v>
      </c>
      <c r="U628" s="29">
        <f t="shared" si="242"/>
        <v>0</v>
      </c>
      <c r="V628" s="29">
        <f t="shared" si="243"/>
        <v>0</v>
      </c>
      <c r="W628" s="29">
        <f t="shared" si="244"/>
        <v>0</v>
      </c>
      <c r="X628" s="29">
        <f t="shared" si="245"/>
        <v>0</v>
      </c>
      <c r="Y628" s="29">
        <f t="shared" si="246"/>
        <v>0</v>
      </c>
      <c r="Z628" s="29">
        <f t="shared" si="247"/>
        <v>1076</v>
      </c>
    </row>
    <row r="629" spans="1:26" x14ac:dyDescent="0.3">
      <c r="A629" s="5" t="s">
        <v>2832</v>
      </c>
      <c r="B629" s="5" t="s">
        <v>2833</v>
      </c>
      <c r="C629" s="5">
        <v>16</v>
      </c>
      <c r="D629" s="6">
        <v>1652</v>
      </c>
      <c r="E629" s="17">
        <f>VLOOKUP(A629,'forecast data dump'!$A$1:$H$3450,4,FALSE)</f>
        <v>44411</v>
      </c>
      <c r="F629" s="17">
        <f>VLOOKUP(A629,'forecast data dump'!$A$1:$H$3450,5,FALSE)</f>
        <v>44424</v>
      </c>
      <c r="G629" s="42">
        <f>VLOOKUP(A629,'forecast data dump'!$A$1:$H$3450,8,FALSE)</f>
        <v>0</v>
      </c>
      <c r="H629" s="5" t="s">
        <v>3757</v>
      </c>
      <c r="I629" s="39">
        <f t="shared" si="248"/>
        <v>16</v>
      </c>
      <c r="J629" s="5"/>
      <c r="K629" s="5"/>
      <c r="L629" s="33">
        <f t="shared" si="249"/>
        <v>1652</v>
      </c>
      <c r="M629" s="33">
        <f t="shared" si="250"/>
        <v>1652</v>
      </c>
      <c r="N629" s="33">
        <f t="shared" si="251"/>
        <v>0</v>
      </c>
      <c r="T629">
        <v>1</v>
      </c>
      <c r="U629" s="29">
        <f t="shared" si="242"/>
        <v>0</v>
      </c>
      <c r="V629" s="29">
        <f t="shared" si="243"/>
        <v>0</v>
      </c>
      <c r="W629" s="29">
        <f t="shared" si="244"/>
        <v>0</v>
      </c>
      <c r="X629" s="29">
        <f t="shared" si="245"/>
        <v>0</v>
      </c>
      <c r="Y629" s="29">
        <f t="shared" si="246"/>
        <v>0</v>
      </c>
      <c r="Z629" s="29">
        <f t="shared" si="247"/>
        <v>1652</v>
      </c>
    </row>
    <row r="630" spans="1:26" x14ac:dyDescent="0.3">
      <c r="A630" s="5" t="s">
        <v>2832</v>
      </c>
      <c r="B630" s="5" t="s">
        <v>2833</v>
      </c>
      <c r="C630" s="5">
        <v>2</v>
      </c>
      <c r="D630" s="6">
        <v>303</v>
      </c>
      <c r="E630" s="17">
        <f>VLOOKUP(A630,'forecast data dump'!$A$1:$H$3450,4,FALSE)</f>
        <v>44411</v>
      </c>
      <c r="F630" s="17">
        <f>VLOOKUP(A630,'forecast data dump'!$A$1:$H$3450,5,FALSE)</f>
        <v>44424</v>
      </c>
      <c r="G630" s="42">
        <f>VLOOKUP(A630,'forecast data dump'!$A$1:$H$3450,8,FALSE)</f>
        <v>0</v>
      </c>
      <c r="H630" s="5" t="s">
        <v>3763</v>
      </c>
      <c r="I630" s="39">
        <f t="shared" si="248"/>
        <v>2</v>
      </c>
      <c r="J630" s="5"/>
      <c r="K630" s="5"/>
      <c r="L630" s="33">
        <f t="shared" si="249"/>
        <v>303</v>
      </c>
      <c r="M630" s="33">
        <f t="shared" si="250"/>
        <v>303</v>
      </c>
      <c r="N630" s="33">
        <f t="shared" si="251"/>
        <v>0</v>
      </c>
      <c r="T630">
        <v>1</v>
      </c>
      <c r="U630" s="29">
        <f t="shared" si="242"/>
        <v>0</v>
      </c>
      <c r="V630" s="29">
        <f t="shared" si="243"/>
        <v>0</v>
      </c>
      <c r="W630" s="29">
        <f t="shared" si="244"/>
        <v>0</v>
      </c>
      <c r="X630" s="29">
        <f t="shared" si="245"/>
        <v>0</v>
      </c>
      <c r="Y630" s="29">
        <f t="shared" si="246"/>
        <v>0</v>
      </c>
      <c r="Z630" s="29">
        <f t="shared" si="247"/>
        <v>303</v>
      </c>
    </row>
    <row r="631" spans="1:26" x14ac:dyDescent="0.3">
      <c r="A631" s="5" t="s">
        <v>2834</v>
      </c>
      <c r="B631" s="5" t="s">
        <v>2835</v>
      </c>
      <c r="C631" s="5">
        <v>16</v>
      </c>
      <c r="D631" s="6">
        <v>2152</v>
      </c>
      <c r="E631" s="17">
        <f>VLOOKUP(A631,'forecast data dump'!$A$1:$H$3450,4,FALSE)</f>
        <v>44425</v>
      </c>
      <c r="F631" s="17">
        <f>VLOOKUP(A631,'forecast data dump'!$A$1:$H$3450,5,FALSE)</f>
        <v>44453</v>
      </c>
      <c r="G631" s="42">
        <f>VLOOKUP(A631,'forecast data dump'!$A$1:$H$3450,8,FALSE)</f>
        <v>0</v>
      </c>
      <c r="H631" s="5" t="s">
        <v>3765</v>
      </c>
      <c r="I631" s="39">
        <f t="shared" si="248"/>
        <v>16</v>
      </c>
      <c r="J631" s="5"/>
      <c r="K631" s="5"/>
      <c r="L631" s="33">
        <f t="shared" si="249"/>
        <v>2152</v>
      </c>
      <c r="M631" s="33">
        <f t="shared" si="250"/>
        <v>2152</v>
      </c>
      <c r="N631" s="33">
        <f t="shared" si="251"/>
        <v>0</v>
      </c>
      <c r="T631">
        <v>1</v>
      </c>
      <c r="U631" s="29">
        <f t="shared" si="242"/>
        <v>0</v>
      </c>
      <c r="V631" s="29">
        <f t="shared" si="243"/>
        <v>0</v>
      </c>
      <c r="W631" s="29">
        <f t="shared" si="244"/>
        <v>0</v>
      </c>
      <c r="X631" s="29">
        <f t="shared" si="245"/>
        <v>0</v>
      </c>
      <c r="Y631" s="29">
        <f t="shared" si="246"/>
        <v>0</v>
      </c>
      <c r="Z631" s="29">
        <f t="shared" si="247"/>
        <v>2152</v>
      </c>
    </row>
    <row r="632" spans="1:26" x14ac:dyDescent="0.3">
      <c r="A632" s="5" t="s">
        <v>2834</v>
      </c>
      <c r="B632" s="5" t="s">
        <v>2835</v>
      </c>
      <c r="C632" s="5">
        <v>32</v>
      </c>
      <c r="D632" s="6">
        <v>3303</v>
      </c>
      <c r="E632" s="17">
        <f>VLOOKUP(A632,'forecast data dump'!$A$1:$H$3450,4,FALSE)</f>
        <v>44425</v>
      </c>
      <c r="F632" s="17">
        <f>VLOOKUP(A632,'forecast data dump'!$A$1:$H$3450,5,FALSE)</f>
        <v>44453</v>
      </c>
      <c r="G632" s="42">
        <f>VLOOKUP(A632,'forecast data dump'!$A$1:$H$3450,8,FALSE)</f>
        <v>0</v>
      </c>
      <c r="H632" s="5" t="s">
        <v>3757</v>
      </c>
      <c r="I632" s="39">
        <f t="shared" si="248"/>
        <v>32</v>
      </c>
      <c r="J632" s="5"/>
      <c r="K632" s="5"/>
      <c r="L632" s="33">
        <f t="shared" si="249"/>
        <v>3303</v>
      </c>
      <c r="M632" s="33">
        <f t="shared" si="250"/>
        <v>3303</v>
      </c>
      <c r="N632" s="33">
        <f t="shared" si="251"/>
        <v>0</v>
      </c>
      <c r="T632">
        <v>1</v>
      </c>
      <c r="U632" s="29">
        <f t="shared" si="242"/>
        <v>0</v>
      </c>
      <c r="V632" s="29">
        <f t="shared" si="243"/>
        <v>0</v>
      </c>
      <c r="W632" s="29">
        <f t="shared" si="244"/>
        <v>0</v>
      </c>
      <c r="X632" s="29">
        <f t="shared" si="245"/>
        <v>0</v>
      </c>
      <c r="Y632" s="29">
        <f t="shared" si="246"/>
        <v>0</v>
      </c>
      <c r="Z632" s="29">
        <f t="shared" si="247"/>
        <v>3303</v>
      </c>
    </row>
    <row r="633" spans="1:26" x14ac:dyDescent="0.3">
      <c r="A633" s="5" t="s">
        <v>2834</v>
      </c>
      <c r="B633" s="5" t="s">
        <v>2835</v>
      </c>
      <c r="C633" s="5">
        <v>4</v>
      </c>
      <c r="D633" s="6">
        <v>607</v>
      </c>
      <c r="E633" s="17">
        <f>VLOOKUP(A633,'forecast data dump'!$A$1:$H$3450,4,FALSE)</f>
        <v>44425</v>
      </c>
      <c r="F633" s="17">
        <f>VLOOKUP(A633,'forecast data dump'!$A$1:$H$3450,5,FALSE)</f>
        <v>44453</v>
      </c>
      <c r="G633" s="42">
        <f>VLOOKUP(A633,'forecast data dump'!$A$1:$H$3450,8,FALSE)</f>
        <v>0</v>
      </c>
      <c r="H633" s="5" t="s">
        <v>3763</v>
      </c>
      <c r="I633" s="39">
        <f t="shared" si="248"/>
        <v>4</v>
      </c>
      <c r="J633" s="5"/>
      <c r="K633" s="5"/>
      <c r="L633" s="33">
        <f t="shared" si="249"/>
        <v>607</v>
      </c>
      <c r="M633" s="33">
        <f t="shared" si="250"/>
        <v>607</v>
      </c>
      <c r="N633" s="33">
        <f t="shared" si="251"/>
        <v>0</v>
      </c>
      <c r="T633">
        <v>1</v>
      </c>
      <c r="U633" s="29">
        <f t="shared" si="242"/>
        <v>0</v>
      </c>
      <c r="V633" s="29">
        <f t="shared" si="243"/>
        <v>0</v>
      </c>
      <c r="W633" s="29">
        <f t="shared" si="244"/>
        <v>0</v>
      </c>
      <c r="X633" s="29">
        <f t="shared" si="245"/>
        <v>0</v>
      </c>
      <c r="Y633" s="29">
        <f t="shared" si="246"/>
        <v>0</v>
      </c>
      <c r="Z633" s="29">
        <f t="shared" si="247"/>
        <v>607</v>
      </c>
    </row>
    <row r="634" spans="1:26" x14ac:dyDescent="0.3">
      <c r="A634" s="5" t="s">
        <v>2836</v>
      </c>
      <c r="B634" s="5" t="s">
        <v>2837</v>
      </c>
      <c r="C634" s="5">
        <v>16</v>
      </c>
      <c r="D634" s="6">
        <v>2152</v>
      </c>
      <c r="E634" s="17">
        <f>VLOOKUP(A634,'forecast data dump'!$A$1:$H$3450,4,FALSE)</f>
        <v>44454</v>
      </c>
      <c r="F634" s="17">
        <f>VLOOKUP(A634,'forecast data dump'!$A$1:$H$3450,5,FALSE)</f>
        <v>44482</v>
      </c>
      <c r="G634" s="42">
        <f>VLOOKUP(A634,'forecast data dump'!$A$1:$H$3450,8,FALSE)</f>
        <v>0</v>
      </c>
      <c r="H634" s="5" t="s">
        <v>3765</v>
      </c>
      <c r="I634" s="39">
        <f t="shared" si="248"/>
        <v>16</v>
      </c>
      <c r="J634" s="5"/>
      <c r="K634" s="5"/>
      <c r="L634" s="33">
        <f t="shared" si="249"/>
        <v>2152</v>
      </c>
      <c r="M634" s="33">
        <f t="shared" si="250"/>
        <v>2152</v>
      </c>
      <c r="N634" s="33">
        <f t="shared" si="251"/>
        <v>0</v>
      </c>
      <c r="T634">
        <v>1</v>
      </c>
      <c r="U634" s="29">
        <f t="shared" si="242"/>
        <v>0</v>
      </c>
      <c r="V634" s="29">
        <f t="shared" si="243"/>
        <v>0</v>
      </c>
      <c r="W634" s="29">
        <f t="shared" si="244"/>
        <v>0</v>
      </c>
      <c r="X634" s="29">
        <f t="shared" si="245"/>
        <v>0</v>
      </c>
      <c r="Y634" s="29">
        <f t="shared" si="246"/>
        <v>0</v>
      </c>
      <c r="Z634" s="29">
        <f t="shared" si="247"/>
        <v>2152</v>
      </c>
    </row>
    <row r="635" spans="1:26" x14ac:dyDescent="0.3">
      <c r="A635" s="5" t="s">
        <v>2836</v>
      </c>
      <c r="B635" s="5" t="s">
        <v>2837</v>
      </c>
      <c r="C635" s="5">
        <v>32</v>
      </c>
      <c r="D635" s="6">
        <v>3303</v>
      </c>
      <c r="E635" s="17">
        <f>VLOOKUP(A635,'forecast data dump'!$A$1:$H$3450,4,FALSE)</f>
        <v>44454</v>
      </c>
      <c r="F635" s="17">
        <f>VLOOKUP(A635,'forecast data dump'!$A$1:$H$3450,5,FALSE)</f>
        <v>44482</v>
      </c>
      <c r="G635" s="42">
        <f>VLOOKUP(A635,'forecast data dump'!$A$1:$H$3450,8,FALSE)</f>
        <v>0</v>
      </c>
      <c r="H635" s="5" t="s">
        <v>3757</v>
      </c>
      <c r="I635" s="39">
        <f t="shared" si="248"/>
        <v>32</v>
      </c>
      <c r="J635" s="5"/>
      <c r="K635" s="5"/>
      <c r="L635" s="33">
        <f t="shared" si="249"/>
        <v>3303</v>
      </c>
      <c r="M635" s="33">
        <f t="shared" si="250"/>
        <v>3303</v>
      </c>
      <c r="N635" s="33">
        <f t="shared" si="251"/>
        <v>0</v>
      </c>
      <c r="T635">
        <v>1</v>
      </c>
      <c r="U635" s="29">
        <f t="shared" si="242"/>
        <v>0</v>
      </c>
      <c r="V635" s="29">
        <f t="shared" si="243"/>
        <v>0</v>
      </c>
      <c r="W635" s="29">
        <f t="shared" si="244"/>
        <v>0</v>
      </c>
      <c r="X635" s="29">
        <f t="shared" si="245"/>
        <v>0</v>
      </c>
      <c r="Y635" s="29">
        <f t="shared" si="246"/>
        <v>0</v>
      </c>
      <c r="Z635" s="29">
        <f t="shared" si="247"/>
        <v>3303</v>
      </c>
    </row>
    <row r="636" spans="1:26" x14ac:dyDescent="0.3">
      <c r="A636" s="5" t="s">
        <v>2836</v>
      </c>
      <c r="B636" s="5" t="s">
        <v>2837</v>
      </c>
      <c r="C636" s="5">
        <v>4</v>
      </c>
      <c r="D636" s="6">
        <v>607</v>
      </c>
      <c r="E636" s="17">
        <f>VLOOKUP(A636,'forecast data dump'!$A$1:$H$3450,4,FALSE)</f>
        <v>44454</v>
      </c>
      <c r="F636" s="17">
        <f>VLOOKUP(A636,'forecast data dump'!$A$1:$H$3450,5,FALSE)</f>
        <v>44482</v>
      </c>
      <c r="G636" s="42">
        <f>VLOOKUP(A636,'forecast data dump'!$A$1:$H$3450,8,FALSE)</f>
        <v>0</v>
      </c>
      <c r="H636" s="5" t="s">
        <v>3763</v>
      </c>
      <c r="I636" s="39">
        <f t="shared" si="248"/>
        <v>4</v>
      </c>
      <c r="J636" s="5"/>
      <c r="K636" s="5"/>
      <c r="L636" s="33">
        <f t="shared" si="249"/>
        <v>607</v>
      </c>
      <c r="M636" s="33">
        <f t="shared" si="250"/>
        <v>607</v>
      </c>
      <c r="N636" s="33">
        <f t="shared" si="251"/>
        <v>0</v>
      </c>
      <c r="T636">
        <v>1</v>
      </c>
      <c r="U636" s="29">
        <f t="shared" si="242"/>
        <v>0</v>
      </c>
      <c r="V636" s="29">
        <f t="shared" si="243"/>
        <v>0</v>
      </c>
      <c r="W636" s="29">
        <f t="shared" si="244"/>
        <v>0</v>
      </c>
      <c r="X636" s="29">
        <f t="shared" si="245"/>
        <v>0</v>
      </c>
      <c r="Y636" s="29">
        <f t="shared" si="246"/>
        <v>0</v>
      </c>
      <c r="Z636" s="29">
        <f t="shared" si="247"/>
        <v>607</v>
      </c>
    </row>
    <row r="637" spans="1:26" x14ac:dyDescent="0.3">
      <c r="A637" s="5" t="s">
        <v>2838</v>
      </c>
      <c r="B637" s="5" t="s">
        <v>2839</v>
      </c>
      <c r="C637" s="5">
        <v>40</v>
      </c>
      <c r="D637" s="6">
        <v>5526</v>
      </c>
      <c r="E637" s="17" t="str">
        <f>VLOOKUP(A637,'forecast data dump'!$A$1:$H$3450,4,FALSE)</f>
        <v>26-Apr-21 A</v>
      </c>
      <c r="F637" s="17">
        <f>VLOOKUP(A637,'forecast data dump'!$A$1:$H$3450,5,FALSE)</f>
        <v>44495</v>
      </c>
      <c r="G637" s="42">
        <f>VLOOKUP(A637,'forecast data dump'!$A$1:$H$3450,8,FALSE)</f>
        <v>0.5</v>
      </c>
      <c r="H637" s="5" t="s">
        <v>3765</v>
      </c>
      <c r="I637" s="39">
        <f t="shared" si="248"/>
        <v>20</v>
      </c>
      <c r="J637" s="5"/>
      <c r="K637" s="5"/>
      <c r="L637" s="33">
        <f t="shared" si="249"/>
        <v>2763</v>
      </c>
      <c r="M637" s="33">
        <f t="shared" si="250"/>
        <v>2763</v>
      </c>
      <c r="N637" s="33">
        <f t="shared" si="251"/>
        <v>0</v>
      </c>
      <c r="R637">
        <v>1</v>
      </c>
      <c r="U637" s="29">
        <f t="shared" si="242"/>
        <v>0</v>
      </c>
      <c r="V637" s="29">
        <f t="shared" si="243"/>
        <v>0</v>
      </c>
      <c r="W637" s="29">
        <f t="shared" si="244"/>
        <v>0</v>
      </c>
      <c r="X637" s="29">
        <f t="shared" si="245"/>
        <v>2763</v>
      </c>
      <c r="Y637" s="29">
        <f t="shared" si="246"/>
        <v>0</v>
      </c>
      <c r="Z637" s="29">
        <f t="shared" si="247"/>
        <v>0</v>
      </c>
    </row>
    <row r="638" spans="1:26" x14ac:dyDescent="0.3">
      <c r="A638" s="5" t="s">
        <v>2838</v>
      </c>
      <c r="B638" s="5" t="s">
        <v>2839</v>
      </c>
      <c r="C638" s="5">
        <v>80</v>
      </c>
      <c r="D638" s="6">
        <v>8481</v>
      </c>
      <c r="E638" s="17" t="str">
        <f>VLOOKUP(A638,'forecast data dump'!$A$1:$H$3450,4,FALSE)</f>
        <v>26-Apr-21 A</v>
      </c>
      <c r="F638" s="17">
        <f>VLOOKUP(A638,'forecast data dump'!$A$1:$H$3450,5,FALSE)</f>
        <v>44495</v>
      </c>
      <c r="G638" s="42">
        <f>VLOOKUP(A638,'forecast data dump'!$A$1:$H$3450,8,FALSE)</f>
        <v>0.5</v>
      </c>
      <c r="H638" s="5" t="s">
        <v>3757</v>
      </c>
      <c r="I638" s="39">
        <f t="shared" si="248"/>
        <v>40</v>
      </c>
      <c r="J638" s="5"/>
      <c r="K638" s="5"/>
      <c r="L638" s="33">
        <f t="shared" si="249"/>
        <v>4240.5</v>
      </c>
      <c r="M638" s="33">
        <f t="shared" si="250"/>
        <v>4240.5</v>
      </c>
      <c r="N638" s="33">
        <f t="shared" si="251"/>
        <v>0</v>
      </c>
      <c r="R638">
        <v>1</v>
      </c>
      <c r="U638" s="29">
        <f t="shared" si="242"/>
        <v>0</v>
      </c>
      <c r="V638" s="29">
        <f t="shared" si="243"/>
        <v>0</v>
      </c>
      <c r="W638" s="29">
        <f t="shared" si="244"/>
        <v>0</v>
      </c>
      <c r="X638" s="29">
        <f t="shared" si="245"/>
        <v>4240.5</v>
      </c>
      <c r="Y638" s="29">
        <f t="shared" si="246"/>
        <v>0</v>
      </c>
      <c r="Z638" s="29">
        <f t="shared" si="247"/>
        <v>0</v>
      </c>
    </row>
    <row r="639" spans="1:26" x14ac:dyDescent="0.3">
      <c r="A639" s="5" t="s">
        <v>2838</v>
      </c>
      <c r="B639" s="5" t="s">
        <v>2839</v>
      </c>
      <c r="C639" s="5">
        <v>2</v>
      </c>
      <c r="D639" s="6">
        <v>312</v>
      </c>
      <c r="E639" s="17" t="str">
        <f>VLOOKUP(A639,'forecast data dump'!$A$1:$H$3450,4,FALSE)</f>
        <v>26-Apr-21 A</v>
      </c>
      <c r="F639" s="17">
        <f>VLOOKUP(A639,'forecast data dump'!$A$1:$H$3450,5,FALSE)</f>
        <v>44495</v>
      </c>
      <c r="G639" s="42">
        <f>VLOOKUP(A639,'forecast data dump'!$A$1:$H$3450,8,FALSE)</f>
        <v>0.5</v>
      </c>
      <c r="H639" s="5" t="s">
        <v>3763</v>
      </c>
      <c r="I639" s="39">
        <f t="shared" si="248"/>
        <v>1</v>
      </c>
      <c r="J639" s="5"/>
      <c r="K639" s="5"/>
      <c r="L639" s="33">
        <f t="shared" si="249"/>
        <v>156</v>
      </c>
      <c r="M639" s="33">
        <f t="shared" si="250"/>
        <v>156</v>
      </c>
      <c r="N639" s="33">
        <f t="shared" si="251"/>
        <v>0</v>
      </c>
      <c r="R639">
        <v>1</v>
      </c>
      <c r="U639" s="29">
        <f t="shared" si="242"/>
        <v>0</v>
      </c>
      <c r="V639" s="29">
        <f t="shared" si="243"/>
        <v>0</v>
      </c>
      <c r="W639" s="29">
        <f t="shared" si="244"/>
        <v>0</v>
      </c>
      <c r="X639" s="29">
        <f t="shared" si="245"/>
        <v>156</v>
      </c>
      <c r="Y639" s="29">
        <f t="shared" si="246"/>
        <v>0</v>
      </c>
      <c r="Z639" s="29">
        <f t="shared" si="247"/>
        <v>0</v>
      </c>
    </row>
    <row r="640" spans="1:26" x14ac:dyDescent="0.3">
      <c r="A640" s="5" t="s">
        <v>2840</v>
      </c>
      <c r="B640" s="5" t="s">
        <v>2841</v>
      </c>
      <c r="C640" s="5">
        <v>20</v>
      </c>
      <c r="D640" s="6">
        <v>2421</v>
      </c>
      <c r="E640" s="17">
        <f>VLOOKUP(A640,'forecast data dump'!$A$1:$H$3450,4,FALSE)</f>
        <v>44574</v>
      </c>
      <c r="F640" s="17">
        <f>VLOOKUP(A640,'forecast data dump'!$A$1:$H$3450,5,FALSE)</f>
        <v>44581</v>
      </c>
      <c r="G640" s="42">
        <f>VLOOKUP(A640,'forecast data dump'!$A$1:$H$3450,8,FALSE)</f>
        <v>0</v>
      </c>
      <c r="H640" s="5" t="s">
        <v>3759</v>
      </c>
      <c r="I640" s="39">
        <f t="shared" si="248"/>
        <v>20</v>
      </c>
      <c r="J640" s="5"/>
      <c r="K640" s="5"/>
      <c r="L640" s="33">
        <f t="shared" si="249"/>
        <v>2421</v>
      </c>
      <c r="M640" s="33">
        <f t="shared" si="250"/>
        <v>2421</v>
      </c>
      <c r="N640" s="33">
        <f t="shared" si="251"/>
        <v>0</v>
      </c>
      <c r="T640">
        <v>1</v>
      </c>
      <c r="U640" s="29">
        <f t="shared" si="242"/>
        <v>0</v>
      </c>
      <c r="V640" s="29">
        <f t="shared" si="243"/>
        <v>0</v>
      </c>
      <c r="W640" s="29">
        <f t="shared" si="244"/>
        <v>0</v>
      </c>
      <c r="X640" s="29">
        <f t="shared" si="245"/>
        <v>0</v>
      </c>
      <c r="Y640" s="29">
        <f t="shared" si="246"/>
        <v>0</v>
      </c>
      <c r="Z640" s="29">
        <f t="shared" si="247"/>
        <v>2421</v>
      </c>
    </row>
    <row r="641" spans="1:26" x14ac:dyDescent="0.3">
      <c r="A641" s="5" t="s">
        <v>2840</v>
      </c>
      <c r="B641" s="5" t="s">
        <v>2841</v>
      </c>
      <c r="C641" s="5">
        <v>4</v>
      </c>
      <c r="D641" s="6">
        <v>554</v>
      </c>
      <c r="E641" s="17">
        <f>VLOOKUP(A641,'forecast data dump'!$A$1:$H$3450,4,FALSE)</f>
        <v>44574</v>
      </c>
      <c r="F641" s="17">
        <f>VLOOKUP(A641,'forecast data dump'!$A$1:$H$3450,5,FALSE)</f>
        <v>44581</v>
      </c>
      <c r="G641" s="42">
        <f>VLOOKUP(A641,'forecast data dump'!$A$1:$H$3450,8,FALSE)</f>
        <v>0</v>
      </c>
      <c r="H641" s="5" t="s">
        <v>3765</v>
      </c>
      <c r="I641" s="39">
        <f t="shared" si="248"/>
        <v>4</v>
      </c>
      <c r="J641" s="5"/>
      <c r="K641" s="5"/>
      <c r="L641" s="33">
        <f t="shared" si="249"/>
        <v>554</v>
      </c>
      <c r="M641" s="33">
        <f t="shared" si="250"/>
        <v>554</v>
      </c>
      <c r="N641" s="33">
        <f t="shared" si="251"/>
        <v>0</v>
      </c>
      <c r="T641">
        <v>1</v>
      </c>
      <c r="U641" s="29">
        <f t="shared" si="242"/>
        <v>0</v>
      </c>
      <c r="V641" s="29">
        <f t="shared" si="243"/>
        <v>0</v>
      </c>
      <c r="W641" s="29">
        <f t="shared" si="244"/>
        <v>0</v>
      </c>
      <c r="X641" s="29">
        <f t="shared" si="245"/>
        <v>0</v>
      </c>
      <c r="Y641" s="29">
        <f t="shared" si="246"/>
        <v>0</v>
      </c>
      <c r="Z641" s="29">
        <f t="shared" si="247"/>
        <v>554</v>
      </c>
    </row>
    <row r="642" spans="1:26" x14ac:dyDescent="0.3">
      <c r="A642" s="5" t="s">
        <v>2840</v>
      </c>
      <c r="B642" s="5" t="s">
        <v>2841</v>
      </c>
      <c r="C642" s="5">
        <v>8</v>
      </c>
      <c r="D642" s="6">
        <v>851</v>
      </c>
      <c r="E642" s="17">
        <f>VLOOKUP(A642,'forecast data dump'!$A$1:$H$3450,4,FALSE)</f>
        <v>44574</v>
      </c>
      <c r="F642" s="17">
        <f>VLOOKUP(A642,'forecast data dump'!$A$1:$H$3450,5,FALSE)</f>
        <v>44581</v>
      </c>
      <c r="G642" s="42">
        <f>VLOOKUP(A642,'forecast data dump'!$A$1:$H$3450,8,FALSE)</f>
        <v>0</v>
      </c>
      <c r="H642" s="5" t="s">
        <v>3757</v>
      </c>
      <c r="I642" s="39">
        <f t="shared" si="248"/>
        <v>8</v>
      </c>
      <c r="J642" s="5"/>
      <c r="K642" s="5"/>
      <c r="L642" s="33">
        <f t="shared" si="249"/>
        <v>851</v>
      </c>
      <c r="M642" s="33">
        <f t="shared" si="250"/>
        <v>851</v>
      </c>
      <c r="N642" s="33">
        <f t="shared" si="251"/>
        <v>0</v>
      </c>
      <c r="T642">
        <v>1</v>
      </c>
      <c r="U642" s="29">
        <f t="shared" si="242"/>
        <v>0</v>
      </c>
      <c r="V642" s="29">
        <f t="shared" si="243"/>
        <v>0</v>
      </c>
      <c r="W642" s="29">
        <f t="shared" si="244"/>
        <v>0</v>
      </c>
      <c r="X642" s="29">
        <f t="shared" si="245"/>
        <v>0</v>
      </c>
      <c r="Y642" s="29">
        <f t="shared" si="246"/>
        <v>0</v>
      </c>
      <c r="Z642" s="29">
        <f t="shared" si="247"/>
        <v>851</v>
      </c>
    </row>
    <row r="643" spans="1:26" x14ac:dyDescent="0.3">
      <c r="A643" s="5" t="s">
        <v>2840</v>
      </c>
      <c r="B643" s="5" t="s">
        <v>2841</v>
      </c>
      <c r="C643" s="5">
        <v>4</v>
      </c>
      <c r="D643" s="6">
        <v>625</v>
      </c>
      <c r="E643" s="17">
        <f>VLOOKUP(A643,'forecast data dump'!$A$1:$H$3450,4,FALSE)</f>
        <v>44574</v>
      </c>
      <c r="F643" s="17">
        <f>VLOOKUP(A643,'forecast data dump'!$A$1:$H$3450,5,FALSE)</f>
        <v>44581</v>
      </c>
      <c r="G643" s="42">
        <f>VLOOKUP(A643,'forecast data dump'!$A$1:$H$3450,8,FALSE)</f>
        <v>0</v>
      </c>
      <c r="H643" s="5" t="s">
        <v>3763</v>
      </c>
      <c r="I643" s="39">
        <f t="shared" si="248"/>
        <v>4</v>
      </c>
      <c r="J643" s="5"/>
      <c r="K643" s="5"/>
      <c r="L643" s="33">
        <f t="shared" si="249"/>
        <v>625</v>
      </c>
      <c r="M643" s="33">
        <f t="shared" si="250"/>
        <v>625</v>
      </c>
      <c r="N643" s="33">
        <f t="shared" si="251"/>
        <v>0</v>
      </c>
      <c r="T643">
        <v>1</v>
      </c>
      <c r="U643" s="29">
        <f t="shared" si="242"/>
        <v>0</v>
      </c>
      <c r="V643" s="29">
        <f t="shared" si="243"/>
        <v>0</v>
      </c>
      <c r="W643" s="29">
        <f t="shared" si="244"/>
        <v>0</v>
      </c>
      <c r="X643" s="29">
        <f t="shared" si="245"/>
        <v>0</v>
      </c>
      <c r="Y643" s="29">
        <f t="shared" si="246"/>
        <v>0</v>
      </c>
      <c r="Z643" s="29">
        <f t="shared" si="247"/>
        <v>625</v>
      </c>
    </row>
    <row r="644" spans="1:26" x14ac:dyDescent="0.3">
      <c r="A644" s="5" t="s">
        <v>2842</v>
      </c>
      <c r="B644" s="5" t="s">
        <v>2843</v>
      </c>
      <c r="C644" s="5">
        <v>65000</v>
      </c>
      <c r="D644" s="6">
        <v>76953</v>
      </c>
      <c r="E644" s="17" t="str">
        <f>VLOOKUP(A644,'forecast data dump'!$A$1:$H$3450,4,FALSE)</f>
        <v>26-Apr-21 A</v>
      </c>
      <c r="F644" s="17">
        <f>VLOOKUP(A644,'forecast data dump'!$A$1:$H$3450,5,FALSE)</f>
        <v>44573</v>
      </c>
      <c r="G644" s="42">
        <v>0.6</v>
      </c>
      <c r="H644" s="5" t="s">
        <v>3762</v>
      </c>
      <c r="I644" s="39">
        <f t="shared" si="248"/>
        <v>26000</v>
      </c>
      <c r="J644" s="5"/>
      <c r="K644" s="5"/>
      <c r="L644" s="33">
        <f t="shared" si="249"/>
        <v>30781.200000000001</v>
      </c>
      <c r="M644" s="33">
        <f t="shared" si="250"/>
        <v>30781.200000000001</v>
      </c>
      <c r="N644" s="33">
        <f t="shared" si="251"/>
        <v>0</v>
      </c>
      <c r="Q644">
        <v>1</v>
      </c>
      <c r="U644" s="29">
        <f t="shared" si="242"/>
        <v>0</v>
      </c>
      <c r="V644" s="29">
        <f t="shared" si="243"/>
        <v>0</v>
      </c>
      <c r="W644" s="29">
        <f t="shared" si="244"/>
        <v>30781.200000000001</v>
      </c>
      <c r="X644" s="29">
        <f t="shared" si="245"/>
        <v>0</v>
      </c>
      <c r="Y644" s="29">
        <f t="shared" si="246"/>
        <v>0</v>
      </c>
      <c r="Z644" s="29">
        <f t="shared" si="247"/>
        <v>0</v>
      </c>
    </row>
    <row r="645" spans="1:26" x14ac:dyDescent="0.3">
      <c r="A645" s="3" t="s">
        <v>7889</v>
      </c>
      <c r="B645" s="3"/>
      <c r="C645" s="3"/>
      <c r="D645" s="4"/>
      <c r="E645" s="15"/>
      <c r="F645" s="15"/>
      <c r="G645" s="41"/>
      <c r="H645" s="3"/>
      <c r="I645" s="38"/>
      <c r="J645" s="3"/>
      <c r="K645" s="3"/>
      <c r="L645" s="32"/>
      <c r="M645" s="32"/>
      <c r="N645" s="32"/>
      <c r="U645" s="29"/>
      <c r="V645" s="29"/>
      <c r="W645" s="29"/>
      <c r="X645" s="29"/>
      <c r="Y645" s="29"/>
      <c r="Z645" s="29"/>
    </row>
    <row r="646" spans="1:26" x14ac:dyDescent="0.3">
      <c r="A646" s="5" t="s">
        <v>2720</v>
      </c>
      <c r="B646" s="5" t="s">
        <v>2721</v>
      </c>
      <c r="C646" s="5">
        <v>3</v>
      </c>
      <c r="D646" s="6">
        <v>532</v>
      </c>
      <c r="E646" s="17" t="str">
        <f>VLOOKUP(A646,'forecast data dump'!$A$1:$H$3450,4,FALSE)</f>
        <v>14-Dec-20 A</v>
      </c>
      <c r="F646" s="17">
        <f>VLOOKUP(A646,'forecast data dump'!$A$1:$H$3450,5,FALSE)</f>
        <v>44407</v>
      </c>
      <c r="G646" s="42">
        <v>0.3</v>
      </c>
      <c r="H646" s="5" t="s">
        <v>3740</v>
      </c>
      <c r="I646" s="39">
        <f t="shared" ref="I646:I671" si="252">C646*(1-G646)</f>
        <v>2.0999999999999996</v>
      </c>
      <c r="J646" s="5"/>
      <c r="K646" s="5"/>
      <c r="L646" s="33">
        <f t="shared" ref="L646:L671" si="253">D646*(1-G646)</f>
        <v>372.4</v>
      </c>
      <c r="M646" s="33">
        <f t="shared" ref="M646:M671" si="254">IF(J646="",L646,(D646/C646)*J646)</f>
        <v>372.4</v>
      </c>
      <c r="N646" s="33">
        <f t="shared" ref="N646:N671" si="255">L646-M646</f>
        <v>0</v>
      </c>
      <c r="R646">
        <v>1</v>
      </c>
      <c r="U646" s="29">
        <f t="shared" si="242"/>
        <v>0</v>
      </c>
      <c r="V646" s="29">
        <f t="shared" si="243"/>
        <v>0</v>
      </c>
      <c r="W646" s="29">
        <f t="shared" si="244"/>
        <v>0</v>
      </c>
      <c r="X646" s="29">
        <f t="shared" si="245"/>
        <v>372.4</v>
      </c>
      <c r="Y646" s="29">
        <f t="shared" si="246"/>
        <v>0</v>
      </c>
      <c r="Z646" s="29">
        <f t="shared" si="247"/>
        <v>0</v>
      </c>
    </row>
    <row r="647" spans="1:26" x14ac:dyDescent="0.3">
      <c r="A647" s="5" t="s">
        <v>2722</v>
      </c>
      <c r="B647" s="5" t="s">
        <v>2723</v>
      </c>
      <c r="C647" s="5">
        <v>60</v>
      </c>
      <c r="D647" s="6">
        <v>8071</v>
      </c>
      <c r="E647" s="17">
        <f>VLOOKUP(A647,'forecast data dump'!$A$1:$H$3450,4,FALSE)</f>
        <v>44410</v>
      </c>
      <c r="F647" s="17">
        <f>VLOOKUP(A647,'forecast data dump'!$A$1:$H$3450,5,FALSE)</f>
        <v>44452</v>
      </c>
      <c r="G647" s="42">
        <f>VLOOKUP(A647,'forecast data dump'!$A$1:$H$3450,8,FALSE)</f>
        <v>0</v>
      </c>
      <c r="H647" s="5" t="s">
        <v>3765</v>
      </c>
      <c r="I647" s="39">
        <f t="shared" si="252"/>
        <v>60</v>
      </c>
      <c r="J647" s="5"/>
      <c r="K647" s="5"/>
      <c r="L647" s="33">
        <f t="shared" si="253"/>
        <v>8071</v>
      </c>
      <c r="M647" s="33">
        <f t="shared" si="254"/>
        <v>8071</v>
      </c>
      <c r="N647" s="33">
        <f t="shared" si="255"/>
        <v>0</v>
      </c>
      <c r="T647">
        <v>1</v>
      </c>
      <c r="U647" s="29">
        <f t="shared" si="242"/>
        <v>0</v>
      </c>
      <c r="V647" s="29">
        <f t="shared" si="243"/>
        <v>0</v>
      </c>
      <c r="W647" s="29">
        <f t="shared" si="244"/>
        <v>0</v>
      </c>
      <c r="X647" s="29">
        <f t="shared" si="245"/>
        <v>0</v>
      </c>
      <c r="Y647" s="29">
        <f t="shared" si="246"/>
        <v>0</v>
      </c>
      <c r="Z647" s="29">
        <f t="shared" si="247"/>
        <v>8071</v>
      </c>
    </row>
    <row r="648" spans="1:26" x14ac:dyDescent="0.3">
      <c r="A648" s="5" t="s">
        <v>2722</v>
      </c>
      <c r="B648" s="5" t="s">
        <v>2723</v>
      </c>
      <c r="C648" s="5">
        <v>96</v>
      </c>
      <c r="D648" s="6">
        <v>9910</v>
      </c>
      <c r="E648" s="17">
        <f>VLOOKUP(A648,'forecast data dump'!$A$1:$H$3450,4,FALSE)</f>
        <v>44410</v>
      </c>
      <c r="F648" s="17">
        <f>VLOOKUP(A648,'forecast data dump'!$A$1:$H$3450,5,FALSE)</f>
        <v>44452</v>
      </c>
      <c r="G648" s="42">
        <f>VLOOKUP(A648,'forecast data dump'!$A$1:$H$3450,8,FALSE)</f>
        <v>0</v>
      </c>
      <c r="H648" s="5" t="s">
        <v>3757</v>
      </c>
      <c r="I648" s="39">
        <f t="shared" si="252"/>
        <v>96</v>
      </c>
      <c r="J648" s="5"/>
      <c r="K648" s="5"/>
      <c r="L648" s="33">
        <f t="shared" si="253"/>
        <v>9910</v>
      </c>
      <c r="M648" s="33">
        <f t="shared" si="254"/>
        <v>9910</v>
      </c>
      <c r="N648" s="33">
        <f t="shared" si="255"/>
        <v>0</v>
      </c>
      <c r="T648">
        <v>1</v>
      </c>
      <c r="U648" s="29">
        <f t="shared" si="242"/>
        <v>0</v>
      </c>
      <c r="V648" s="29">
        <f t="shared" si="243"/>
        <v>0</v>
      </c>
      <c r="W648" s="29">
        <f t="shared" si="244"/>
        <v>0</v>
      </c>
      <c r="X648" s="29">
        <f t="shared" si="245"/>
        <v>0</v>
      </c>
      <c r="Y648" s="29">
        <f t="shared" si="246"/>
        <v>0</v>
      </c>
      <c r="Z648" s="29">
        <f t="shared" si="247"/>
        <v>9910</v>
      </c>
    </row>
    <row r="649" spans="1:26" x14ac:dyDescent="0.3">
      <c r="A649" s="5" t="s">
        <v>2722</v>
      </c>
      <c r="B649" s="5" t="s">
        <v>2723</v>
      </c>
      <c r="C649" s="5">
        <v>8</v>
      </c>
      <c r="D649" s="6">
        <v>1213</v>
      </c>
      <c r="E649" s="17">
        <f>VLOOKUP(A649,'forecast data dump'!$A$1:$H$3450,4,FALSE)</f>
        <v>44410</v>
      </c>
      <c r="F649" s="17">
        <f>VLOOKUP(A649,'forecast data dump'!$A$1:$H$3450,5,FALSE)</f>
        <v>44452</v>
      </c>
      <c r="G649" s="42">
        <f>VLOOKUP(A649,'forecast data dump'!$A$1:$H$3450,8,FALSE)</f>
        <v>0</v>
      </c>
      <c r="H649" s="5" t="s">
        <v>3763</v>
      </c>
      <c r="I649" s="39">
        <f t="shared" si="252"/>
        <v>8</v>
      </c>
      <c r="J649" s="5"/>
      <c r="K649" s="5"/>
      <c r="L649" s="33">
        <f t="shared" si="253"/>
        <v>1213</v>
      </c>
      <c r="M649" s="33">
        <f t="shared" si="254"/>
        <v>1213</v>
      </c>
      <c r="N649" s="33">
        <f t="shared" si="255"/>
        <v>0</v>
      </c>
      <c r="T649">
        <v>1</v>
      </c>
      <c r="U649" s="29">
        <f t="shared" si="242"/>
        <v>0</v>
      </c>
      <c r="V649" s="29">
        <f t="shared" si="243"/>
        <v>0</v>
      </c>
      <c r="W649" s="29">
        <f t="shared" si="244"/>
        <v>0</v>
      </c>
      <c r="X649" s="29">
        <f t="shared" si="245"/>
        <v>0</v>
      </c>
      <c r="Y649" s="29">
        <f t="shared" si="246"/>
        <v>0</v>
      </c>
      <c r="Z649" s="29">
        <f t="shared" si="247"/>
        <v>1213</v>
      </c>
    </row>
    <row r="650" spans="1:26" x14ac:dyDescent="0.3">
      <c r="A650" s="5" t="s">
        <v>2724</v>
      </c>
      <c r="B650" s="5" t="s">
        <v>2725</v>
      </c>
      <c r="C650" s="5">
        <v>8</v>
      </c>
      <c r="D650" s="6">
        <v>1076</v>
      </c>
      <c r="E650" s="17">
        <f>VLOOKUP(A650,'forecast data dump'!$A$1:$H$3450,4,FALSE)</f>
        <v>44453</v>
      </c>
      <c r="F650" s="17">
        <f>VLOOKUP(A650,'forecast data dump'!$A$1:$H$3450,5,FALSE)</f>
        <v>44466</v>
      </c>
      <c r="G650" s="42">
        <f>VLOOKUP(A650,'forecast data dump'!$A$1:$H$3450,8,FALSE)</f>
        <v>0</v>
      </c>
      <c r="H650" s="5" t="s">
        <v>3765</v>
      </c>
      <c r="I650" s="39">
        <f t="shared" si="252"/>
        <v>8</v>
      </c>
      <c r="J650" s="5"/>
      <c r="K650" s="5"/>
      <c r="L650" s="33">
        <f t="shared" si="253"/>
        <v>1076</v>
      </c>
      <c r="M650" s="33">
        <f t="shared" si="254"/>
        <v>1076</v>
      </c>
      <c r="N650" s="33">
        <f t="shared" si="255"/>
        <v>0</v>
      </c>
      <c r="T650">
        <v>1</v>
      </c>
      <c r="U650" s="29">
        <f t="shared" si="242"/>
        <v>0</v>
      </c>
      <c r="V650" s="29">
        <f t="shared" si="243"/>
        <v>0</v>
      </c>
      <c r="W650" s="29">
        <f t="shared" si="244"/>
        <v>0</v>
      </c>
      <c r="X650" s="29">
        <f t="shared" si="245"/>
        <v>0</v>
      </c>
      <c r="Y650" s="29">
        <f t="shared" si="246"/>
        <v>0</v>
      </c>
      <c r="Z650" s="29">
        <f t="shared" si="247"/>
        <v>1076</v>
      </c>
    </row>
    <row r="651" spans="1:26" x14ac:dyDescent="0.3">
      <c r="A651" s="5" t="s">
        <v>2724</v>
      </c>
      <c r="B651" s="5" t="s">
        <v>2725</v>
      </c>
      <c r="C651" s="5">
        <v>32</v>
      </c>
      <c r="D651" s="6">
        <v>3303</v>
      </c>
      <c r="E651" s="17">
        <f>VLOOKUP(A651,'forecast data dump'!$A$1:$H$3450,4,FALSE)</f>
        <v>44453</v>
      </c>
      <c r="F651" s="17">
        <f>VLOOKUP(A651,'forecast data dump'!$A$1:$H$3450,5,FALSE)</f>
        <v>44466</v>
      </c>
      <c r="G651" s="42">
        <f>VLOOKUP(A651,'forecast data dump'!$A$1:$H$3450,8,FALSE)</f>
        <v>0</v>
      </c>
      <c r="H651" s="5" t="s">
        <v>3757</v>
      </c>
      <c r="I651" s="39">
        <f t="shared" si="252"/>
        <v>32</v>
      </c>
      <c r="J651" s="5"/>
      <c r="K651" s="5"/>
      <c r="L651" s="33">
        <f t="shared" si="253"/>
        <v>3303</v>
      </c>
      <c r="M651" s="33">
        <f t="shared" si="254"/>
        <v>3303</v>
      </c>
      <c r="N651" s="33">
        <f t="shared" si="255"/>
        <v>0</v>
      </c>
      <c r="T651">
        <v>1</v>
      </c>
      <c r="U651" s="29">
        <f t="shared" si="242"/>
        <v>0</v>
      </c>
      <c r="V651" s="29">
        <f t="shared" si="243"/>
        <v>0</v>
      </c>
      <c r="W651" s="29">
        <f t="shared" si="244"/>
        <v>0</v>
      </c>
      <c r="X651" s="29">
        <f t="shared" si="245"/>
        <v>0</v>
      </c>
      <c r="Y651" s="29">
        <f t="shared" si="246"/>
        <v>0</v>
      </c>
      <c r="Z651" s="29">
        <f t="shared" si="247"/>
        <v>3303</v>
      </c>
    </row>
    <row r="652" spans="1:26" x14ac:dyDescent="0.3">
      <c r="A652" s="5" t="s">
        <v>2724</v>
      </c>
      <c r="B652" s="5" t="s">
        <v>2725</v>
      </c>
      <c r="C652" s="5">
        <v>8</v>
      </c>
      <c r="D652" s="6">
        <v>1213</v>
      </c>
      <c r="E652" s="17">
        <f>VLOOKUP(A652,'forecast data dump'!$A$1:$H$3450,4,FALSE)</f>
        <v>44453</v>
      </c>
      <c r="F652" s="17">
        <f>VLOOKUP(A652,'forecast data dump'!$A$1:$H$3450,5,FALSE)</f>
        <v>44466</v>
      </c>
      <c r="G652" s="42">
        <f>VLOOKUP(A652,'forecast data dump'!$A$1:$H$3450,8,FALSE)</f>
        <v>0</v>
      </c>
      <c r="H652" s="5" t="s">
        <v>3763</v>
      </c>
      <c r="I652" s="39">
        <f t="shared" si="252"/>
        <v>8</v>
      </c>
      <c r="J652" s="5"/>
      <c r="K652" s="5"/>
      <c r="L652" s="33">
        <f t="shared" si="253"/>
        <v>1213</v>
      </c>
      <c r="M652" s="33">
        <f t="shared" si="254"/>
        <v>1213</v>
      </c>
      <c r="N652" s="33">
        <f t="shared" si="255"/>
        <v>0</v>
      </c>
      <c r="T652">
        <v>1</v>
      </c>
      <c r="U652" s="29">
        <f t="shared" si="242"/>
        <v>0</v>
      </c>
      <c r="V652" s="29">
        <f t="shared" si="243"/>
        <v>0</v>
      </c>
      <c r="W652" s="29">
        <f t="shared" si="244"/>
        <v>0</v>
      </c>
      <c r="X652" s="29">
        <f t="shared" si="245"/>
        <v>0</v>
      </c>
      <c r="Y652" s="29">
        <f t="shared" si="246"/>
        <v>0</v>
      </c>
      <c r="Z652" s="29">
        <f t="shared" si="247"/>
        <v>1213</v>
      </c>
    </row>
    <row r="653" spans="1:26" x14ac:dyDescent="0.3">
      <c r="A653" s="5" t="s">
        <v>2726</v>
      </c>
      <c r="B653" s="5" t="s">
        <v>2727</v>
      </c>
      <c r="C653" s="5">
        <v>8</v>
      </c>
      <c r="D653" s="6">
        <v>1076</v>
      </c>
      <c r="E653" s="17">
        <f>VLOOKUP(A653,'forecast data dump'!$A$1:$H$3450,4,FALSE)</f>
        <v>44467</v>
      </c>
      <c r="F653" s="17">
        <f>VLOOKUP(A653,'forecast data dump'!$A$1:$H$3450,5,FALSE)</f>
        <v>44481</v>
      </c>
      <c r="G653" s="42">
        <f>VLOOKUP(A653,'forecast data dump'!$A$1:$H$3450,8,FALSE)</f>
        <v>0</v>
      </c>
      <c r="H653" s="5" t="s">
        <v>3765</v>
      </c>
      <c r="I653" s="39">
        <f t="shared" si="252"/>
        <v>8</v>
      </c>
      <c r="J653" s="5"/>
      <c r="K653" s="5"/>
      <c r="L653" s="33">
        <f t="shared" si="253"/>
        <v>1076</v>
      </c>
      <c r="M653" s="33">
        <f t="shared" si="254"/>
        <v>1076</v>
      </c>
      <c r="N653" s="33">
        <f t="shared" si="255"/>
        <v>0</v>
      </c>
      <c r="T653">
        <v>1</v>
      </c>
      <c r="U653" s="29">
        <f t="shared" si="242"/>
        <v>0</v>
      </c>
      <c r="V653" s="29">
        <f t="shared" si="243"/>
        <v>0</v>
      </c>
      <c r="W653" s="29">
        <f t="shared" si="244"/>
        <v>0</v>
      </c>
      <c r="X653" s="29">
        <f t="shared" si="245"/>
        <v>0</v>
      </c>
      <c r="Y653" s="29">
        <f t="shared" si="246"/>
        <v>0</v>
      </c>
      <c r="Z653" s="29">
        <f t="shared" si="247"/>
        <v>1076</v>
      </c>
    </row>
    <row r="654" spans="1:26" x14ac:dyDescent="0.3">
      <c r="A654" s="5" t="s">
        <v>2726</v>
      </c>
      <c r="B654" s="5" t="s">
        <v>2727</v>
      </c>
      <c r="C654" s="5">
        <v>32</v>
      </c>
      <c r="D654" s="6">
        <v>3303</v>
      </c>
      <c r="E654" s="17">
        <f>VLOOKUP(A654,'forecast data dump'!$A$1:$H$3450,4,FALSE)</f>
        <v>44467</v>
      </c>
      <c r="F654" s="17">
        <f>VLOOKUP(A654,'forecast data dump'!$A$1:$H$3450,5,FALSE)</f>
        <v>44481</v>
      </c>
      <c r="G654" s="42">
        <f>VLOOKUP(A654,'forecast data dump'!$A$1:$H$3450,8,FALSE)</f>
        <v>0</v>
      </c>
      <c r="H654" s="5" t="s">
        <v>3757</v>
      </c>
      <c r="I654" s="39">
        <f t="shared" si="252"/>
        <v>32</v>
      </c>
      <c r="J654" s="5"/>
      <c r="K654" s="5"/>
      <c r="L654" s="33">
        <f t="shared" si="253"/>
        <v>3303</v>
      </c>
      <c r="M654" s="33">
        <f t="shared" si="254"/>
        <v>3303</v>
      </c>
      <c r="N654" s="33">
        <f t="shared" si="255"/>
        <v>0</v>
      </c>
      <c r="T654">
        <v>1</v>
      </c>
      <c r="U654" s="29">
        <f t="shared" si="242"/>
        <v>0</v>
      </c>
      <c r="V654" s="29">
        <f t="shared" si="243"/>
        <v>0</v>
      </c>
      <c r="W654" s="29">
        <f t="shared" si="244"/>
        <v>0</v>
      </c>
      <c r="X654" s="29">
        <f t="shared" si="245"/>
        <v>0</v>
      </c>
      <c r="Y654" s="29">
        <f t="shared" si="246"/>
        <v>0</v>
      </c>
      <c r="Z654" s="29">
        <f t="shared" si="247"/>
        <v>3303</v>
      </c>
    </row>
    <row r="655" spans="1:26" x14ac:dyDescent="0.3">
      <c r="A655" s="5" t="s">
        <v>2726</v>
      </c>
      <c r="B655" s="5" t="s">
        <v>2727</v>
      </c>
      <c r="C655" s="5">
        <v>4</v>
      </c>
      <c r="D655" s="6">
        <v>607</v>
      </c>
      <c r="E655" s="17">
        <f>VLOOKUP(A655,'forecast data dump'!$A$1:$H$3450,4,FALSE)</f>
        <v>44467</v>
      </c>
      <c r="F655" s="17">
        <f>VLOOKUP(A655,'forecast data dump'!$A$1:$H$3450,5,FALSE)</f>
        <v>44481</v>
      </c>
      <c r="G655" s="42">
        <f>VLOOKUP(A655,'forecast data dump'!$A$1:$H$3450,8,FALSE)</f>
        <v>0</v>
      </c>
      <c r="H655" s="5" t="s">
        <v>3763</v>
      </c>
      <c r="I655" s="39">
        <f t="shared" si="252"/>
        <v>4</v>
      </c>
      <c r="J655" s="5"/>
      <c r="K655" s="5"/>
      <c r="L655" s="33">
        <f t="shared" si="253"/>
        <v>607</v>
      </c>
      <c r="M655" s="33">
        <f t="shared" si="254"/>
        <v>607</v>
      </c>
      <c r="N655" s="33">
        <f t="shared" si="255"/>
        <v>0</v>
      </c>
      <c r="T655">
        <v>1</v>
      </c>
      <c r="U655" s="29">
        <f t="shared" si="242"/>
        <v>0</v>
      </c>
      <c r="V655" s="29">
        <f t="shared" si="243"/>
        <v>0</v>
      </c>
      <c r="W655" s="29">
        <f t="shared" si="244"/>
        <v>0</v>
      </c>
      <c r="X655" s="29">
        <f t="shared" si="245"/>
        <v>0</v>
      </c>
      <c r="Y655" s="29">
        <f t="shared" si="246"/>
        <v>0</v>
      </c>
      <c r="Z655" s="29">
        <f t="shared" si="247"/>
        <v>607</v>
      </c>
    </row>
    <row r="656" spans="1:26" x14ac:dyDescent="0.3">
      <c r="A656" s="5" t="s">
        <v>2728</v>
      </c>
      <c r="B656" s="5" t="s">
        <v>2729</v>
      </c>
      <c r="C656" s="5">
        <v>8</v>
      </c>
      <c r="D656" s="6">
        <v>1076</v>
      </c>
      <c r="E656" s="17">
        <f>VLOOKUP(A656,'forecast data dump'!$A$1:$H$3450,4,FALSE)</f>
        <v>44482</v>
      </c>
      <c r="F656" s="17">
        <f>VLOOKUP(A656,'forecast data dump'!$A$1:$H$3450,5,FALSE)</f>
        <v>44495</v>
      </c>
      <c r="G656" s="42">
        <f>VLOOKUP(A656,'forecast data dump'!$A$1:$H$3450,8,FALSE)</f>
        <v>0</v>
      </c>
      <c r="H656" s="5" t="s">
        <v>3765</v>
      </c>
      <c r="I656" s="39">
        <f t="shared" si="252"/>
        <v>8</v>
      </c>
      <c r="J656" s="5"/>
      <c r="K656" s="5"/>
      <c r="L656" s="33">
        <f t="shared" si="253"/>
        <v>1076</v>
      </c>
      <c r="M656" s="33">
        <f t="shared" si="254"/>
        <v>1076</v>
      </c>
      <c r="N656" s="33">
        <f t="shared" si="255"/>
        <v>0</v>
      </c>
      <c r="T656">
        <v>1</v>
      </c>
      <c r="U656" s="29">
        <f t="shared" si="242"/>
        <v>0</v>
      </c>
      <c r="V656" s="29">
        <f t="shared" si="243"/>
        <v>0</v>
      </c>
      <c r="W656" s="29">
        <f t="shared" si="244"/>
        <v>0</v>
      </c>
      <c r="X656" s="29">
        <f t="shared" si="245"/>
        <v>0</v>
      </c>
      <c r="Y656" s="29">
        <f t="shared" si="246"/>
        <v>0</v>
      </c>
      <c r="Z656" s="29">
        <f t="shared" si="247"/>
        <v>1076</v>
      </c>
    </row>
    <row r="657" spans="1:26" x14ac:dyDescent="0.3">
      <c r="A657" s="5" t="s">
        <v>2728</v>
      </c>
      <c r="B657" s="5" t="s">
        <v>2729</v>
      </c>
      <c r="C657" s="5">
        <v>16</v>
      </c>
      <c r="D657" s="6">
        <v>1652</v>
      </c>
      <c r="E657" s="17">
        <f>VLOOKUP(A657,'forecast data dump'!$A$1:$H$3450,4,FALSE)</f>
        <v>44482</v>
      </c>
      <c r="F657" s="17">
        <f>VLOOKUP(A657,'forecast data dump'!$A$1:$H$3450,5,FALSE)</f>
        <v>44495</v>
      </c>
      <c r="G657" s="42">
        <f>VLOOKUP(A657,'forecast data dump'!$A$1:$H$3450,8,FALSE)</f>
        <v>0</v>
      </c>
      <c r="H657" s="5" t="s">
        <v>3757</v>
      </c>
      <c r="I657" s="39">
        <f t="shared" si="252"/>
        <v>16</v>
      </c>
      <c r="J657" s="5"/>
      <c r="K657" s="5"/>
      <c r="L657" s="33">
        <f t="shared" si="253"/>
        <v>1652</v>
      </c>
      <c r="M657" s="33">
        <f t="shared" si="254"/>
        <v>1652</v>
      </c>
      <c r="N657" s="33">
        <f t="shared" si="255"/>
        <v>0</v>
      </c>
      <c r="T657">
        <v>1</v>
      </c>
      <c r="U657" s="29">
        <f t="shared" si="242"/>
        <v>0</v>
      </c>
      <c r="V657" s="29">
        <f t="shared" si="243"/>
        <v>0</v>
      </c>
      <c r="W657" s="29">
        <f t="shared" si="244"/>
        <v>0</v>
      </c>
      <c r="X657" s="29">
        <f t="shared" si="245"/>
        <v>0</v>
      </c>
      <c r="Y657" s="29">
        <f t="shared" si="246"/>
        <v>0</v>
      </c>
      <c r="Z657" s="29">
        <f t="shared" si="247"/>
        <v>1652</v>
      </c>
    </row>
    <row r="658" spans="1:26" x14ac:dyDescent="0.3">
      <c r="A658" s="5" t="s">
        <v>2728</v>
      </c>
      <c r="B658" s="5" t="s">
        <v>2729</v>
      </c>
      <c r="C658" s="5">
        <v>4</v>
      </c>
      <c r="D658" s="6">
        <v>607</v>
      </c>
      <c r="E658" s="17">
        <f>VLOOKUP(A658,'forecast data dump'!$A$1:$H$3450,4,FALSE)</f>
        <v>44482</v>
      </c>
      <c r="F658" s="17">
        <f>VLOOKUP(A658,'forecast data dump'!$A$1:$H$3450,5,FALSE)</f>
        <v>44495</v>
      </c>
      <c r="G658" s="42">
        <f>VLOOKUP(A658,'forecast data dump'!$A$1:$H$3450,8,FALSE)</f>
        <v>0</v>
      </c>
      <c r="H658" s="5" t="s">
        <v>3763</v>
      </c>
      <c r="I658" s="39">
        <f t="shared" si="252"/>
        <v>4</v>
      </c>
      <c r="J658" s="5"/>
      <c r="K658" s="5"/>
      <c r="L658" s="33">
        <f t="shared" si="253"/>
        <v>607</v>
      </c>
      <c r="M658" s="33">
        <f t="shared" si="254"/>
        <v>607</v>
      </c>
      <c r="N658" s="33">
        <f t="shared" si="255"/>
        <v>0</v>
      </c>
      <c r="T658">
        <v>1</v>
      </c>
      <c r="U658" s="29">
        <f t="shared" si="242"/>
        <v>0</v>
      </c>
      <c r="V658" s="29">
        <f t="shared" si="243"/>
        <v>0</v>
      </c>
      <c r="W658" s="29">
        <f t="shared" si="244"/>
        <v>0</v>
      </c>
      <c r="X658" s="29">
        <f t="shared" si="245"/>
        <v>0</v>
      </c>
      <c r="Y658" s="29">
        <f t="shared" si="246"/>
        <v>0</v>
      </c>
      <c r="Z658" s="29">
        <f t="shared" si="247"/>
        <v>607</v>
      </c>
    </row>
    <row r="659" spans="1:26" x14ac:dyDescent="0.3">
      <c r="A659" s="5" t="s">
        <v>2730</v>
      </c>
      <c r="B659" s="5" t="s">
        <v>2731</v>
      </c>
      <c r="C659" s="5">
        <v>24</v>
      </c>
      <c r="D659" s="6">
        <v>3228</v>
      </c>
      <c r="E659" s="17">
        <f>VLOOKUP(A659,'forecast data dump'!$A$1:$H$3450,4,FALSE)</f>
        <v>44496</v>
      </c>
      <c r="F659" s="17">
        <f>VLOOKUP(A659,'forecast data dump'!$A$1:$H$3450,5,FALSE)</f>
        <v>44540</v>
      </c>
      <c r="G659" s="42">
        <f>VLOOKUP(A659,'forecast data dump'!$A$1:$H$3450,8,FALSE)</f>
        <v>0</v>
      </c>
      <c r="H659" s="5" t="s">
        <v>3765</v>
      </c>
      <c r="I659" s="39">
        <f t="shared" si="252"/>
        <v>24</v>
      </c>
      <c r="J659" s="5"/>
      <c r="K659" s="5"/>
      <c r="L659" s="33">
        <f t="shared" si="253"/>
        <v>3228</v>
      </c>
      <c r="M659" s="33">
        <f t="shared" si="254"/>
        <v>3228</v>
      </c>
      <c r="N659" s="33">
        <f t="shared" si="255"/>
        <v>0</v>
      </c>
      <c r="T659">
        <v>1</v>
      </c>
      <c r="U659" s="29">
        <f t="shared" si="242"/>
        <v>0</v>
      </c>
      <c r="V659" s="29">
        <f t="shared" si="243"/>
        <v>0</v>
      </c>
      <c r="W659" s="29">
        <f t="shared" si="244"/>
        <v>0</v>
      </c>
      <c r="X659" s="29">
        <f t="shared" si="245"/>
        <v>0</v>
      </c>
      <c r="Y659" s="29">
        <f t="shared" si="246"/>
        <v>0</v>
      </c>
      <c r="Z659" s="29">
        <f t="shared" si="247"/>
        <v>3228</v>
      </c>
    </row>
    <row r="660" spans="1:26" x14ac:dyDescent="0.3">
      <c r="A660" s="5" t="s">
        <v>2730</v>
      </c>
      <c r="B660" s="5" t="s">
        <v>2731</v>
      </c>
      <c r="C660" s="5">
        <v>48</v>
      </c>
      <c r="D660" s="6">
        <v>4955</v>
      </c>
      <c r="E660" s="17">
        <f>VLOOKUP(A660,'forecast data dump'!$A$1:$H$3450,4,FALSE)</f>
        <v>44496</v>
      </c>
      <c r="F660" s="17">
        <f>VLOOKUP(A660,'forecast data dump'!$A$1:$H$3450,5,FALSE)</f>
        <v>44540</v>
      </c>
      <c r="G660" s="42">
        <f>VLOOKUP(A660,'forecast data dump'!$A$1:$H$3450,8,FALSE)</f>
        <v>0</v>
      </c>
      <c r="H660" s="5" t="s">
        <v>3757</v>
      </c>
      <c r="I660" s="39">
        <f t="shared" si="252"/>
        <v>48</v>
      </c>
      <c r="J660" s="5"/>
      <c r="K660" s="5"/>
      <c r="L660" s="33">
        <f t="shared" si="253"/>
        <v>4955</v>
      </c>
      <c r="M660" s="33">
        <f t="shared" si="254"/>
        <v>4955</v>
      </c>
      <c r="N660" s="33">
        <f t="shared" si="255"/>
        <v>0</v>
      </c>
      <c r="T660">
        <v>1</v>
      </c>
      <c r="U660" s="29">
        <f t="shared" si="242"/>
        <v>0</v>
      </c>
      <c r="V660" s="29">
        <f t="shared" si="243"/>
        <v>0</v>
      </c>
      <c r="W660" s="29">
        <f t="shared" si="244"/>
        <v>0</v>
      </c>
      <c r="X660" s="29">
        <f t="shared" si="245"/>
        <v>0</v>
      </c>
      <c r="Y660" s="29">
        <f t="shared" si="246"/>
        <v>0</v>
      </c>
      <c r="Z660" s="29">
        <f t="shared" si="247"/>
        <v>4955</v>
      </c>
    </row>
    <row r="661" spans="1:26" x14ac:dyDescent="0.3">
      <c r="A661" s="5" t="s">
        <v>2730</v>
      </c>
      <c r="B661" s="5" t="s">
        <v>2731</v>
      </c>
      <c r="C661" s="5">
        <v>4</v>
      </c>
      <c r="D661" s="6">
        <v>607</v>
      </c>
      <c r="E661" s="17">
        <f>VLOOKUP(A661,'forecast data dump'!$A$1:$H$3450,4,FALSE)</f>
        <v>44496</v>
      </c>
      <c r="F661" s="17">
        <f>VLOOKUP(A661,'forecast data dump'!$A$1:$H$3450,5,FALSE)</f>
        <v>44540</v>
      </c>
      <c r="G661" s="42">
        <f>VLOOKUP(A661,'forecast data dump'!$A$1:$H$3450,8,FALSE)</f>
        <v>0</v>
      </c>
      <c r="H661" s="5" t="s">
        <v>3763</v>
      </c>
      <c r="I661" s="39">
        <f t="shared" si="252"/>
        <v>4</v>
      </c>
      <c r="J661" s="5"/>
      <c r="K661" s="5"/>
      <c r="L661" s="33">
        <f t="shared" si="253"/>
        <v>607</v>
      </c>
      <c r="M661" s="33">
        <f t="shared" si="254"/>
        <v>607</v>
      </c>
      <c r="N661" s="33">
        <f t="shared" si="255"/>
        <v>0</v>
      </c>
      <c r="T661">
        <v>1</v>
      </c>
      <c r="U661" s="29">
        <f t="shared" si="242"/>
        <v>0</v>
      </c>
      <c r="V661" s="29">
        <f t="shared" si="243"/>
        <v>0</v>
      </c>
      <c r="W661" s="29">
        <f t="shared" si="244"/>
        <v>0</v>
      </c>
      <c r="X661" s="29">
        <f t="shared" si="245"/>
        <v>0</v>
      </c>
      <c r="Y661" s="29">
        <f t="shared" si="246"/>
        <v>0</v>
      </c>
      <c r="Z661" s="29">
        <f t="shared" si="247"/>
        <v>607</v>
      </c>
    </row>
    <row r="662" spans="1:26" x14ac:dyDescent="0.3">
      <c r="A662" s="5" t="s">
        <v>2732</v>
      </c>
      <c r="B662" s="5" t="s">
        <v>2733</v>
      </c>
      <c r="C662" s="5">
        <v>48</v>
      </c>
      <c r="D662" s="6">
        <v>6457</v>
      </c>
      <c r="E662" s="17">
        <f>VLOOKUP(A662,'forecast data dump'!$A$1:$H$3450,4,FALSE)</f>
        <v>44543</v>
      </c>
      <c r="F662" s="17">
        <f>VLOOKUP(A662,'forecast data dump'!$A$1:$H$3450,5,FALSE)</f>
        <v>44630</v>
      </c>
      <c r="G662" s="42">
        <f>VLOOKUP(A662,'forecast data dump'!$A$1:$H$3450,8,FALSE)</f>
        <v>0</v>
      </c>
      <c r="H662" s="5" t="s">
        <v>3765</v>
      </c>
      <c r="I662" s="39">
        <f t="shared" si="252"/>
        <v>48</v>
      </c>
      <c r="J662" s="5"/>
      <c r="K662" s="5"/>
      <c r="L662" s="33">
        <f t="shared" si="253"/>
        <v>6457</v>
      </c>
      <c r="M662" s="33">
        <f t="shared" si="254"/>
        <v>6457</v>
      </c>
      <c r="N662" s="33">
        <f t="shared" si="255"/>
        <v>0</v>
      </c>
      <c r="T662">
        <v>1</v>
      </c>
      <c r="U662" s="29">
        <f t="shared" si="242"/>
        <v>0</v>
      </c>
      <c r="V662" s="29">
        <f t="shared" si="243"/>
        <v>0</v>
      </c>
      <c r="W662" s="29">
        <f t="shared" si="244"/>
        <v>0</v>
      </c>
      <c r="X662" s="29">
        <f t="shared" si="245"/>
        <v>0</v>
      </c>
      <c r="Y662" s="29">
        <f t="shared" si="246"/>
        <v>0</v>
      </c>
      <c r="Z662" s="29">
        <f t="shared" si="247"/>
        <v>6457</v>
      </c>
    </row>
    <row r="663" spans="1:26" x14ac:dyDescent="0.3">
      <c r="A663" s="5" t="s">
        <v>2732</v>
      </c>
      <c r="B663" s="5" t="s">
        <v>2733</v>
      </c>
      <c r="C663" s="5">
        <v>96</v>
      </c>
      <c r="D663" s="6">
        <v>9910</v>
      </c>
      <c r="E663" s="17">
        <f>VLOOKUP(A663,'forecast data dump'!$A$1:$H$3450,4,FALSE)</f>
        <v>44543</v>
      </c>
      <c r="F663" s="17">
        <f>VLOOKUP(A663,'forecast data dump'!$A$1:$H$3450,5,FALSE)</f>
        <v>44630</v>
      </c>
      <c r="G663" s="42">
        <f>VLOOKUP(A663,'forecast data dump'!$A$1:$H$3450,8,FALSE)</f>
        <v>0</v>
      </c>
      <c r="H663" s="5" t="s">
        <v>3757</v>
      </c>
      <c r="I663" s="39">
        <f t="shared" si="252"/>
        <v>96</v>
      </c>
      <c r="J663" s="5"/>
      <c r="K663" s="5"/>
      <c r="L663" s="33">
        <f t="shared" si="253"/>
        <v>9910</v>
      </c>
      <c r="M663" s="33">
        <f t="shared" si="254"/>
        <v>9910</v>
      </c>
      <c r="N663" s="33">
        <f t="shared" si="255"/>
        <v>0</v>
      </c>
      <c r="T663">
        <v>1</v>
      </c>
      <c r="U663" s="29">
        <f t="shared" si="242"/>
        <v>0</v>
      </c>
      <c r="V663" s="29">
        <f t="shared" si="243"/>
        <v>0</v>
      </c>
      <c r="W663" s="29">
        <f t="shared" si="244"/>
        <v>0</v>
      </c>
      <c r="X663" s="29">
        <f t="shared" si="245"/>
        <v>0</v>
      </c>
      <c r="Y663" s="29">
        <f t="shared" si="246"/>
        <v>0</v>
      </c>
      <c r="Z663" s="29">
        <f t="shared" si="247"/>
        <v>9910</v>
      </c>
    </row>
    <row r="664" spans="1:26" x14ac:dyDescent="0.3">
      <c r="A664" s="5" t="s">
        <v>2732</v>
      </c>
      <c r="B664" s="5" t="s">
        <v>2733</v>
      </c>
      <c r="C664" s="5">
        <v>2</v>
      </c>
      <c r="D664" s="6">
        <v>303</v>
      </c>
      <c r="E664" s="17">
        <f>VLOOKUP(A664,'forecast data dump'!$A$1:$H$3450,4,FALSE)</f>
        <v>44543</v>
      </c>
      <c r="F664" s="17">
        <f>VLOOKUP(A664,'forecast data dump'!$A$1:$H$3450,5,FALSE)</f>
        <v>44630</v>
      </c>
      <c r="G664" s="42">
        <f>VLOOKUP(A664,'forecast data dump'!$A$1:$H$3450,8,FALSE)</f>
        <v>0</v>
      </c>
      <c r="H664" s="5" t="s">
        <v>3763</v>
      </c>
      <c r="I664" s="39">
        <f t="shared" si="252"/>
        <v>2</v>
      </c>
      <c r="J664" s="5"/>
      <c r="K664" s="5"/>
      <c r="L664" s="33">
        <f t="shared" si="253"/>
        <v>303</v>
      </c>
      <c r="M664" s="33">
        <f t="shared" si="254"/>
        <v>303</v>
      </c>
      <c r="N664" s="33">
        <f t="shared" si="255"/>
        <v>0</v>
      </c>
      <c r="T664">
        <v>1</v>
      </c>
      <c r="U664" s="29">
        <f t="shared" si="242"/>
        <v>0</v>
      </c>
      <c r="V664" s="29">
        <f t="shared" si="243"/>
        <v>0</v>
      </c>
      <c r="W664" s="29">
        <f t="shared" si="244"/>
        <v>0</v>
      </c>
      <c r="X664" s="29">
        <f t="shared" si="245"/>
        <v>0</v>
      </c>
      <c r="Y664" s="29">
        <f t="shared" si="246"/>
        <v>0</v>
      </c>
      <c r="Z664" s="29">
        <f t="shared" si="247"/>
        <v>303</v>
      </c>
    </row>
    <row r="665" spans="1:26" x14ac:dyDescent="0.3">
      <c r="A665" s="5" t="s">
        <v>2734</v>
      </c>
      <c r="B665" s="5" t="s">
        <v>2735</v>
      </c>
      <c r="C665" s="5">
        <v>88</v>
      </c>
      <c r="D665" s="6">
        <v>11837</v>
      </c>
      <c r="E665" s="17">
        <f>VLOOKUP(A665,'forecast data dump'!$A$1:$H$3450,4,FALSE)</f>
        <v>44631</v>
      </c>
      <c r="F665" s="17">
        <f>VLOOKUP(A665,'forecast data dump'!$A$1:$H$3450,5,FALSE)</f>
        <v>44644</v>
      </c>
      <c r="G665" s="42">
        <f>VLOOKUP(A665,'forecast data dump'!$A$1:$H$3450,8,FALSE)</f>
        <v>0</v>
      </c>
      <c r="H665" s="5" t="s">
        <v>3765</v>
      </c>
      <c r="I665" s="39">
        <f t="shared" si="252"/>
        <v>88</v>
      </c>
      <c r="J665" s="5"/>
      <c r="K665" s="5"/>
      <c r="L665" s="33">
        <f t="shared" si="253"/>
        <v>11837</v>
      </c>
      <c r="M665" s="33">
        <f t="shared" si="254"/>
        <v>11837</v>
      </c>
      <c r="N665" s="33">
        <f t="shared" si="255"/>
        <v>0</v>
      </c>
      <c r="T665">
        <v>1</v>
      </c>
      <c r="U665" s="29">
        <f t="shared" si="242"/>
        <v>0</v>
      </c>
      <c r="V665" s="29">
        <f t="shared" si="243"/>
        <v>0</v>
      </c>
      <c r="W665" s="29">
        <f t="shared" si="244"/>
        <v>0</v>
      </c>
      <c r="X665" s="29">
        <f t="shared" si="245"/>
        <v>0</v>
      </c>
      <c r="Y665" s="29">
        <f t="shared" si="246"/>
        <v>0</v>
      </c>
      <c r="Z665" s="29">
        <f t="shared" si="247"/>
        <v>11837</v>
      </c>
    </row>
    <row r="666" spans="1:26" x14ac:dyDescent="0.3">
      <c r="A666" s="5" t="s">
        <v>2734</v>
      </c>
      <c r="B666" s="5" t="s">
        <v>2735</v>
      </c>
      <c r="C666" s="5">
        <v>16</v>
      </c>
      <c r="D666" s="6">
        <v>1652</v>
      </c>
      <c r="E666" s="17">
        <f>VLOOKUP(A666,'forecast data dump'!$A$1:$H$3450,4,FALSE)</f>
        <v>44631</v>
      </c>
      <c r="F666" s="17">
        <f>VLOOKUP(A666,'forecast data dump'!$A$1:$H$3450,5,FALSE)</f>
        <v>44644</v>
      </c>
      <c r="G666" s="42">
        <f>VLOOKUP(A666,'forecast data dump'!$A$1:$H$3450,8,FALSE)</f>
        <v>0</v>
      </c>
      <c r="H666" s="5" t="s">
        <v>3757</v>
      </c>
      <c r="I666" s="39">
        <f t="shared" si="252"/>
        <v>16</v>
      </c>
      <c r="J666" s="5"/>
      <c r="K666" s="5"/>
      <c r="L666" s="33">
        <f t="shared" si="253"/>
        <v>1652</v>
      </c>
      <c r="M666" s="33">
        <f t="shared" si="254"/>
        <v>1652</v>
      </c>
      <c r="N666" s="33">
        <f t="shared" si="255"/>
        <v>0</v>
      </c>
      <c r="T666">
        <v>1</v>
      </c>
      <c r="U666" s="29">
        <f t="shared" si="242"/>
        <v>0</v>
      </c>
      <c r="V666" s="29">
        <f t="shared" si="243"/>
        <v>0</v>
      </c>
      <c r="W666" s="29">
        <f t="shared" si="244"/>
        <v>0</v>
      </c>
      <c r="X666" s="29">
        <f t="shared" si="245"/>
        <v>0</v>
      </c>
      <c r="Y666" s="29">
        <f t="shared" si="246"/>
        <v>0</v>
      </c>
      <c r="Z666" s="29">
        <f t="shared" si="247"/>
        <v>1652</v>
      </c>
    </row>
    <row r="667" spans="1:26" x14ac:dyDescent="0.3">
      <c r="A667" s="5" t="s">
        <v>2734</v>
      </c>
      <c r="B667" s="5" t="s">
        <v>2735</v>
      </c>
      <c r="C667" s="5">
        <v>4</v>
      </c>
      <c r="D667" s="6">
        <v>607</v>
      </c>
      <c r="E667" s="17">
        <f>VLOOKUP(A667,'forecast data dump'!$A$1:$H$3450,4,FALSE)</f>
        <v>44631</v>
      </c>
      <c r="F667" s="17">
        <f>VLOOKUP(A667,'forecast data dump'!$A$1:$H$3450,5,FALSE)</f>
        <v>44644</v>
      </c>
      <c r="G667" s="42">
        <f>VLOOKUP(A667,'forecast data dump'!$A$1:$H$3450,8,FALSE)</f>
        <v>0</v>
      </c>
      <c r="H667" s="5" t="s">
        <v>3763</v>
      </c>
      <c r="I667" s="39">
        <f t="shared" si="252"/>
        <v>4</v>
      </c>
      <c r="J667" s="5"/>
      <c r="K667" s="5"/>
      <c r="L667" s="33">
        <f t="shared" si="253"/>
        <v>607</v>
      </c>
      <c r="M667" s="33">
        <f t="shared" si="254"/>
        <v>607</v>
      </c>
      <c r="N667" s="33">
        <f t="shared" si="255"/>
        <v>0</v>
      </c>
      <c r="T667">
        <v>1</v>
      </c>
      <c r="U667" s="29">
        <f t="shared" si="242"/>
        <v>0</v>
      </c>
      <c r="V667" s="29">
        <f t="shared" si="243"/>
        <v>0</v>
      </c>
      <c r="W667" s="29">
        <f t="shared" si="244"/>
        <v>0</v>
      </c>
      <c r="X667" s="29">
        <f t="shared" si="245"/>
        <v>0</v>
      </c>
      <c r="Y667" s="29">
        <f t="shared" si="246"/>
        <v>0</v>
      </c>
      <c r="Z667" s="29">
        <f t="shared" si="247"/>
        <v>607</v>
      </c>
    </row>
    <row r="668" spans="1:26" x14ac:dyDescent="0.3">
      <c r="A668" s="5" t="s">
        <v>2736</v>
      </c>
      <c r="B668" s="5" t="s">
        <v>2737</v>
      </c>
      <c r="C668" s="5">
        <v>32000</v>
      </c>
      <c r="D668" s="6">
        <v>37142</v>
      </c>
      <c r="E668" s="17">
        <f>VLOOKUP(A668,'forecast data dump'!$A$1:$H$3450,4,FALSE)</f>
        <v>44543</v>
      </c>
      <c r="F668" s="17">
        <f>VLOOKUP(A668,'forecast data dump'!$A$1:$H$3450,5,FALSE)</f>
        <v>44630</v>
      </c>
      <c r="G668" s="42">
        <f>VLOOKUP(A668,'forecast data dump'!$A$1:$H$3450,8,FALSE)</f>
        <v>0</v>
      </c>
      <c r="H668" s="5" t="s">
        <v>3762</v>
      </c>
      <c r="I668" s="39">
        <f t="shared" si="252"/>
        <v>32000</v>
      </c>
      <c r="J668" s="5"/>
      <c r="K668" s="5"/>
      <c r="L668" s="33">
        <f t="shared" si="253"/>
        <v>37142</v>
      </c>
      <c r="M668" s="33">
        <f t="shared" si="254"/>
        <v>37142</v>
      </c>
      <c r="N668" s="33">
        <f t="shared" si="255"/>
        <v>0</v>
      </c>
      <c r="Q668">
        <v>1</v>
      </c>
      <c r="U668" s="29">
        <f t="shared" si="242"/>
        <v>0</v>
      </c>
      <c r="V668" s="29">
        <f t="shared" si="243"/>
        <v>0</v>
      </c>
      <c r="W668" s="29">
        <f t="shared" si="244"/>
        <v>37142</v>
      </c>
      <c r="X668" s="29">
        <f t="shared" si="245"/>
        <v>0</v>
      </c>
      <c r="Y668" s="29">
        <f t="shared" si="246"/>
        <v>0</v>
      </c>
      <c r="Z668" s="29">
        <f t="shared" si="247"/>
        <v>0</v>
      </c>
    </row>
    <row r="669" spans="1:26" x14ac:dyDescent="0.3">
      <c r="A669" s="5" t="s">
        <v>2738</v>
      </c>
      <c r="B669" s="5" t="s">
        <v>2739</v>
      </c>
      <c r="C669" s="5">
        <v>72</v>
      </c>
      <c r="D669" s="6">
        <v>9685</v>
      </c>
      <c r="E669" s="17" t="str">
        <f>VLOOKUP(A669,'forecast data dump'!$A$1:$H$3450,4,FALSE)</f>
        <v>14-Dec-20 A</v>
      </c>
      <c r="F669" s="17">
        <f>VLOOKUP(A669,'forecast data dump'!$A$1:$H$3450,5,FALSE)</f>
        <v>44407</v>
      </c>
      <c r="G669" s="42">
        <v>0.3</v>
      </c>
      <c r="H669" s="5" t="s">
        <v>3765</v>
      </c>
      <c r="I669" s="39">
        <f t="shared" si="252"/>
        <v>50.4</v>
      </c>
      <c r="J669" s="5"/>
      <c r="K669" s="5"/>
      <c r="L669" s="33">
        <f t="shared" si="253"/>
        <v>6779.5</v>
      </c>
      <c r="M669" s="33">
        <f t="shared" si="254"/>
        <v>6779.5</v>
      </c>
      <c r="N669" s="33">
        <f t="shared" si="255"/>
        <v>0</v>
      </c>
      <c r="R669">
        <v>1</v>
      </c>
      <c r="U669" s="29">
        <f t="shared" si="242"/>
        <v>0</v>
      </c>
      <c r="V669" s="29">
        <f t="shared" si="243"/>
        <v>0</v>
      </c>
      <c r="W669" s="29">
        <f t="shared" si="244"/>
        <v>0</v>
      </c>
      <c r="X669" s="29">
        <f t="shared" si="245"/>
        <v>6779.5</v>
      </c>
      <c r="Y669" s="29">
        <f t="shared" si="246"/>
        <v>0</v>
      </c>
      <c r="Z669" s="29">
        <f t="shared" si="247"/>
        <v>0</v>
      </c>
    </row>
    <row r="670" spans="1:26" x14ac:dyDescent="0.3">
      <c r="A670" s="5" t="s">
        <v>2738</v>
      </c>
      <c r="B670" s="5" t="s">
        <v>2739</v>
      </c>
      <c r="C670" s="5">
        <v>96</v>
      </c>
      <c r="D670" s="6">
        <v>9910</v>
      </c>
      <c r="E670" s="17" t="str">
        <f>VLOOKUP(A670,'forecast data dump'!$A$1:$H$3450,4,FALSE)</f>
        <v>14-Dec-20 A</v>
      </c>
      <c r="F670" s="17">
        <f>VLOOKUP(A670,'forecast data dump'!$A$1:$H$3450,5,FALSE)</f>
        <v>44407</v>
      </c>
      <c r="G670" s="42">
        <v>0.3</v>
      </c>
      <c r="H670" s="5" t="s">
        <v>3757</v>
      </c>
      <c r="I670" s="39">
        <f t="shared" si="252"/>
        <v>67.199999999999989</v>
      </c>
      <c r="J670" s="5"/>
      <c r="K670" s="5"/>
      <c r="L670" s="33">
        <f t="shared" si="253"/>
        <v>6937</v>
      </c>
      <c r="M670" s="33">
        <f t="shared" si="254"/>
        <v>6937</v>
      </c>
      <c r="N670" s="33">
        <f t="shared" si="255"/>
        <v>0</v>
      </c>
      <c r="R670">
        <v>1</v>
      </c>
      <c r="U670" s="29">
        <f t="shared" si="242"/>
        <v>0</v>
      </c>
      <c r="V670" s="29">
        <f t="shared" si="243"/>
        <v>0</v>
      </c>
      <c r="W670" s="29">
        <f t="shared" si="244"/>
        <v>0</v>
      </c>
      <c r="X670" s="29">
        <f t="shared" si="245"/>
        <v>6937</v>
      </c>
      <c r="Y670" s="29">
        <f t="shared" si="246"/>
        <v>0</v>
      </c>
      <c r="Z670" s="29">
        <f t="shared" si="247"/>
        <v>0</v>
      </c>
    </row>
    <row r="671" spans="1:26" x14ac:dyDescent="0.3">
      <c r="A671" s="5" t="s">
        <v>2738</v>
      </c>
      <c r="B671" s="5" t="s">
        <v>2739</v>
      </c>
      <c r="C671" s="5">
        <v>10</v>
      </c>
      <c r="D671" s="6">
        <v>1517</v>
      </c>
      <c r="E671" s="17" t="str">
        <f>VLOOKUP(A671,'forecast data dump'!$A$1:$H$3450,4,FALSE)</f>
        <v>14-Dec-20 A</v>
      </c>
      <c r="F671" s="17">
        <f>VLOOKUP(A671,'forecast data dump'!$A$1:$H$3450,5,FALSE)</f>
        <v>44407</v>
      </c>
      <c r="G671" s="42">
        <v>0.3</v>
      </c>
      <c r="H671" s="5" t="s">
        <v>3763</v>
      </c>
      <c r="I671" s="39">
        <f t="shared" si="252"/>
        <v>7</v>
      </c>
      <c r="J671" s="5"/>
      <c r="K671" s="5"/>
      <c r="L671" s="33">
        <f t="shared" si="253"/>
        <v>1061.8999999999999</v>
      </c>
      <c r="M671" s="33">
        <f t="shared" si="254"/>
        <v>1061.8999999999999</v>
      </c>
      <c r="N671" s="33">
        <f t="shared" si="255"/>
        <v>0</v>
      </c>
      <c r="R671">
        <v>1</v>
      </c>
      <c r="U671" s="29">
        <f t="shared" si="242"/>
        <v>0</v>
      </c>
      <c r="V671" s="29">
        <f t="shared" si="243"/>
        <v>0</v>
      </c>
      <c r="W671" s="29">
        <f t="shared" si="244"/>
        <v>0</v>
      </c>
      <c r="X671" s="29">
        <f t="shared" si="245"/>
        <v>1061.8999999999999</v>
      </c>
      <c r="Y671" s="29">
        <f t="shared" si="246"/>
        <v>0</v>
      </c>
      <c r="Z671" s="29">
        <f t="shared" si="247"/>
        <v>0</v>
      </c>
    </row>
    <row r="672" spans="1:26" x14ac:dyDescent="0.3">
      <c r="A672" s="3" t="s">
        <v>7890</v>
      </c>
      <c r="B672" s="3"/>
      <c r="C672" s="3"/>
      <c r="D672" s="4"/>
      <c r="E672" s="15"/>
      <c r="F672" s="15"/>
      <c r="G672" s="41"/>
      <c r="H672" s="3"/>
      <c r="I672" s="38"/>
      <c r="J672" s="3"/>
      <c r="K672" s="3"/>
      <c r="L672" s="32"/>
      <c r="M672" s="32"/>
      <c r="N672" s="32"/>
      <c r="U672" s="29"/>
      <c r="V672" s="29"/>
      <c r="W672" s="29"/>
      <c r="X672" s="29"/>
      <c r="Y672" s="29"/>
      <c r="Z672" s="29"/>
    </row>
    <row r="673" spans="1:26" x14ac:dyDescent="0.3">
      <c r="A673" s="5" t="s">
        <v>2742</v>
      </c>
      <c r="B673" s="5" t="s">
        <v>2743</v>
      </c>
      <c r="C673" s="5">
        <v>24</v>
      </c>
      <c r="D673" s="6">
        <v>3228</v>
      </c>
      <c r="E673" s="17">
        <f>VLOOKUP(A673,'forecast data dump'!$A$1:$H$3450,4,FALSE)</f>
        <v>44378</v>
      </c>
      <c r="F673" s="17">
        <f>VLOOKUP(A673,'forecast data dump'!$A$1:$H$3450,5,FALSE)</f>
        <v>44420</v>
      </c>
      <c r="G673" s="42">
        <f>VLOOKUP(A673,'forecast data dump'!$A$1:$H$3450,8,FALSE)</f>
        <v>0</v>
      </c>
      <c r="H673" s="5" t="s">
        <v>3765</v>
      </c>
      <c r="I673" s="39">
        <f t="shared" ref="I673:I699" si="256">C673*(1-G673)</f>
        <v>24</v>
      </c>
      <c r="J673" s="5"/>
      <c r="K673" s="5"/>
      <c r="L673" s="33">
        <f t="shared" ref="L673:L699" si="257">D673*(1-G673)</f>
        <v>3228</v>
      </c>
      <c r="M673" s="33">
        <f t="shared" ref="M673:M699" si="258">IF(J673="",L673,(D673/C673)*J673)</f>
        <v>3228</v>
      </c>
      <c r="N673" s="33">
        <f t="shared" ref="N673:N699" si="259">L673-M673</f>
        <v>0</v>
      </c>
      <c r="T673">
        <v>1</v>
      </c>
      <c r="U673" s="29">
        <f t="shared" si="242"/>
        <v>0</v>
      </c>
      <c r="V673" s="29">
        <f t="shared" si="243"/>
        <v>0</v>
      </c>
      <c r="W673" s="29">
        <f t="shared" si="244"/>
        <v>0</v>
      </c>
      <c r="X673" s="29">
        <f t="shared" si="245"/>
        <v>0</v>
      </c>
      <c r="Y673" s="29">
        <f t="shared" si="246"/>
        <v>0</v>
      </c>
      <c r="Z673" s="29">
        <f t="shared" si="247"/>
        <v>3228</v>
      </c>
    </row>
    <row r="674" spans="1:26" x14ac:dyDescent="0.3">
      <c r="A674" s="5" t="s">
        <v>2742</v>
      </c>
      <c r="B674" s="5" t="s">
        <v>2743</v>
      </c>
      <c r="C674" s="5">
        <v>48</v>
      </c>
      <c r="D674" s="6">
        <v>4955</v>
      </c>
      <c r="E674" s="17">
        <f>VLOOKUP(A674,'forecast data dump'!$A$1:$H$3450,4,FALSE)</f>
        <v>44378</v>
      </c>
      <c r="F674" s="17">
        <f>VLOOKUP(A674,'forecast data dump'!$A$1:$H$3450,5,FALSE)</f>
        <v>44420</v>
      </c>
      <c r="G674" s="42">
        <f>VLOOKUP(A674,'forecast data dump'!$A$1:$H$3450,8,FALSE)</f>
        <v>0</v>
      </c>
      <c r="H674" s="5" t="s">
        <v>3757</v>
      </c>
      <c r="I674" s="39">
        <f t="shared" si="256"/>
        <v>48</v>
      </c>
      <c r="J674" s="5"/>
      <c r="K674" s="5"/>
      <c r="L674" s="33">
        <f t="shared" si="257"/>
        <v>4955</v>
      </c>
      <c r="M674" s="33">
        <f t="shared" si="258"/>
        <v>4955</v>
      </c>
      <c r="N674" s="33">
        <f t="shared" si="259"/>
        <v>0</v>
      </c>
      <c r="T674">
        <v>1</v>
      </c>
      <c r="U674" s="29">
        <f t="shared" si="242"/>
        <v>0</v>
      </c>
      <c r="V674" s="29">
        <f t="shared" si="243"/>
        <v>0</v>
      </c>
      <c r="W674" s="29">
        <f t="shared" si="244"/>
        <v>0</v>
      </c>
      <c r="X674" s="29">
        <f t="shared" si="245"/>
        <v>0</v>
      </c>
      <c r="Y674" s="29">
        <f t="shared" si="246"/>
        <v>0</v>
      </c>
      <c r="Z674" s="29">
        <f t="shared" si="247"/>
        <v>4955</v>
      </c>
    </row>
    <row r="675" spans="1:26" x14ac:dyDescent="0.3">
      <c r="A675" s="5" t="s">
        <v>2742</v>
      </c>
      <c r="B675" s="5" t="s">
        <v>2743</v>
      </c>
      <c r="C675" s="5">
        <v>20</v>
      </c>
      <c r="D675" s="6">
        <v>3034</v>
      </c>
      <c r="E675" s="17">
        <f>VLOOKUP(A675,'forecast data dump'!$A$1:$H$3450,4,FALSE)</f>
        <v>44378</v>
      </c>
      <c r="F675" s="17">
        <f>VLOOKUP(A675,'forecast data dump'!$A$1:$H$3450,5,FALSE)</f>
        <v>44420</v>
      </c>
      <c r="G675" s="42">
        <f>VLOOKUP(A675,'forecast data dump'!$A$1:$H$3450,8,FALSE)</f>
        <v>0</v>
      </c>
      <c r="H675" s="5" t="s">
        <v>3763</v>
      </c>
      <c r="I675" s="39">
        <f t="shared" si="256"/>
        <v>20</v>
      </c>
      <c r="J675" s="5"/>
      <c r="K675" s="5"/>
      <c r="L675" s="33">
        <f t="shared" si="257"/>
        <v>3034</v>
      </c>
      <c r="M675" s="33">
        <f t="shared" si="258"/>
        <v>3034</v>
      </c>
      <c r="N675" s="33">
        <f t="shared" si="259"/>
        <v>0</v>
      </c>
      <c r="T675">
        <v>1</v>
      </c>
      <c r="U675" s="29">
        <f t="shared" si="242"/>
        <v>0</v>
      </c>
      <c r="V675" s="29">
        <f t="shared" si="243"/>
        <v>0</v>
      </c>
      <c r="W675" s="29">
        <f t="shared" si="244"/>
        <v>0</v>
      </c>
      <c r="X675" s="29">
        <f t="shared" si="245"/>
        <v>0</v>
      </c>
      <c r="Y675" s="29">
        <f t="shared" si="246"/>
        <v>0</v>
      </c>
      <c r="Z675" s="29">
        <f t="shared" si="247"/>
        <v>3034</v>
      </c>
    </row>
    <row r="676" spans="1:26" x14ac:dyDescent="0.3">
      <c r="A676" s="5" t="s">
        <v>2744</v>
      </c>
      <c r="B676" s="5" t="s">
        <v>2745</v>
      </c>
      <c r="C676" s="5">
        <v>8</v>
      </c>
      <c r="D676" s="6">
        <v>1076</v>
      </c>
      <c r="E676" s="17">
        <f>VLOOKUP(A676,'forecast data dump'!$A$1:$H$3450,4,FALSE)</f>
        <v>44421</v>
      </c>
      <c r="F676" s="17">
        <f>VLOOKUP(A676,'forecast data dump'!$A$1:$H$3450,5,FALSE)</f>
        <v>44434</v>
      </c>
      <c r="G676" s="42">
        <f>VLOOKUP(A676,'forecast data dump'!$A$1:$H$3450,8,FALSE)</f>
        <v>0</v>
      </c>
      <c r="H676" s="5" t="s">
        <v>3765</v>
      </c>
      <c r="I676" s="39">
        <f t="shared" si="256"/>
        <v>8</v>
      </c>
      <c r="J676" s="5"/>
      <c r="K676" s="5"/>
      <c r="L676" s="33">
        <f t="shared" si="257"/>
        <v>1076</v>
      </c>
      <c r="M676" s="33">
        <f t="shared" si="258"/>
        <v>1076</v>
      </c>
      <c r="N676" s="33">
        <f t="shared" si="259"/>
        <v>0</v>
      </c>
      <c r="T676">
        <v>1</v>
      </c>
      <c r="U676" s="29">
        <f t="shared" si="242"/>
        <v>0</v>
      </c>
      <c r="V676" s="29">
        <f t="shared" si="243"/>
        <v>0</v>
      </c>
      <c r="W676" s="29">
        <f t="shared" si="244"/>
        <v>0</v>
      </c>
      <c r="X676" s="29">
        <f t="shared" si="245"/>
        <v>0</v>
      </c>
      <c r="Y676" s="29">
        <f t="shared" si="246"/>
        <v>0</v>
      </c>
      <c r="Z676" s="29">
        <f t="shared" si="247"/>
        <v>1076</v>
      </c>
    </row>
    <row r="677" spans="1:26" x14ac:dyDescent="0.3">
      <c r="A677" s="5" t="s">
        <v>2744</v>
      </c>
      <c r="B677" s="5" t="s">
        <v>2745</v>
      </c>
      <c r="C677" s="5">
        <v>16</v>
      </c>
      <c r="D677" s="6">
        <v>1652</v>
      </c>
      <c r="E677" s="17">
        <f>VLOOKUP(A677,'forecast data dump'!$A$1:$H$3450,4,FALSE)</f>
        <v>44421</v>
      </c>
      <c r="F677" s="17">
        <f>VLOOKUP(A677,'forecast data dump'!$A$1:$H$3450,5,FALSE)</f>
        <v>44434</v>
      </c>
      <c r="G677" s="42">
        <f>VLOOKUP(A677,'forecast data dump'!$A$1:$H$3450,8,FALSE)</f>
        <v>0</v>
      </c>
      <c r="H677" s="5" t="s">
        <v>3757</v>
      </c>
      <c r="I677" s="39">
        <f t="shared" si="256"/>
        <v>16</v>
      </c>
      <c r="J677" s="5"/>
      <c r="K677" s="5"/>
      <c r="L677" s="33">
        <f t="shared" si="257"/>
        <v>1652</v>
      </c>
      <c r="M677" s="33">
        <f t="shared" si="258"/>
        <v>1652</v>
      </c>
      <c r="N677" s="33">
        <f t="shared" si="259"/>
        <v>0</v>
      </c>
      <c r="T677">
        <v>1</v>
      </c>
      <c r="U677" s="29">
        <f t="shared" ref="U677:U740" si="260">O677*M677</f>
        <v>0</v>
      </c>
      <c r="V677" s="29">
        <f t="shared" ref="V677:V740" si="261">P677*M677</f>
        <v>0</v>
      </c>
      <c r="W677" s="29">
        <f t="shared" ref="W677:W740" si="262">Q677*M677</f>
        <v>0</v>
      </c>
      <c r="X677" s="29">
        <f t="shared" ref="X677:X740" si="263">R677*M677</f>
        <v>0</v>
      </c>
      <c r="Y677" s="29">
        <f t="shared" ref="Y677:Y740" si="264">S677*M677</f>
        <v>0</v>
      </c>
      <c r="Z677" s="29">
        <f t="shared" ref="Z677:Z740" si="265">T677*M677</f>
        <v>1652</v>
      </c>
    </row>
    <row r="678" spans="1:26" x14ac:dyDescent="0.3">
      <c r="A678" s="5" t="s">
        <v>2744</v>
      </c>
      <c r="B678" s="5" t="s">
        <v>2745</v>
      </c>
      <c r="C678" s="5">
        <v>5</v>
      </c>
      <c r="D678" s="6">
        <v>758</v>
      </c>
      <c r="E678" s="17">
        <f>VLOOKUP(A678,'forecast data dump'!$A$1:$H$3450,4,FALSE)</f>
        <v>44421</v>
      </c>
      <c r="F678" s="17">
        <f>VLOOKUP(A678,'forecast data dump'!$A$1:$H$3450,5,FALSE)</f>
        <v>44434</v>
      </c>
      <c r="G678" s="42">
        <f>VLOOKUP(A678,'forecast data dump'!$A$1:$H$3450,8,FALSE)</f>
        <v>0</v>
      </c>
      <c r="H678" s="5" t="s">
        <v>3763</v>
      </c>
      <c r="I678" s="39">
        <f t="shared" si="256"/>
        <v>5</v>
      </c>
      <c r="J678" s="5"/>
      <c r="K678" s="5"/>
      <c r="L678" s="33">
        <f t="shared" si="257"/>
        <v>758</v>
      </c>
      <c r="M678" s="33">
        <f t="shared" si="258"/>
        <v>758</v>
      </c>
      <c r="N678" s="33">
        <f t="shared" si="259"/>
        <v>0</v>
      </c>
      <c r="T678">
        <v>1</v>
      </c>
      <c r="U678" s="29">
        <f t="shared" si="260"/>
        <v>0</v>
      </c>
      <c r="V678" s="29">
        <f t="shared" si="261"/>
        <v>0</v>
      </c>
      <c r="W678" s="29">
        <f t="shared" si="262"/>
        <v>0</v>
      </c>
      <c r="X678" s="29">
        <f t="shared" si="263"/>
        <v>0</v>
      </c>
      <c r="Y678" s="29">
        <f t="shared" si="264"/>
        <v>0</v>
      </c>
      <c r="Z678" s="29">
        <f t="shared" si="265"/>
        <v>758</v>
      </c>
    </row>
    <row r="679" spans="1:26" x14ac:dyDescent="0.3">
      <c r="A679" s="5" t="s">
        <v>2746</v>
      </c>
      <c r="B679" s="5" t="s">
        <v>2747</v>
      </c>
      <c r="C679" s="5">
        <v>8</v>
      </c>
      <c r="D679" s="6">
        <v>1076</v>
      </c>
      <c r="E679" s="17">
        <f>VLOOKUP(A679,'forecast data dump'!$A$1:$H$3450,4,FALSE)</f>
        <v>44435</v>
      </c>
      <c r="F679" s="17">
        <f>VLOOKUP(A679,'forecast data dump'!$A$1:$H$3450,5,FALSE)</f>
        <v>44449</v>
      </c>
      <c r="G679" s="42">
        <f>VLOOKUP(A679,'forecast data dump'!$A$1:$H$3450,8,FALSE)</f>
        <v>0</v>
      </c>
      <c r="H679" s="5" t="s">
        <v>3765</v>
      </c>
      <c r="I679" s="39">
        <f t="shared" si="256"/>
        <v>8</v>
      </c>
      <c r="J679" s="5"/>
      <c r="K679" s="5"/>
      <c r="L679" s="33">
        <f t="shared" si="257"/>
        <v>1076</v>
      </c>
      <c r="M679" s="33">
        <f t="shared" si="258"/>
        <v>1076</v>
      </c>
      <c r="N679" s="33">
        <f t="shared" si="259"/>
        <v>0</v>
      </c>
      <c r="T679">
        <v>1</v>
      </c>
      <c r="U679" s="29">
        <f t="shared" si="260"/>
        <v>0</v>
      </c>
      <c r="V679" s="29">
        <f t="shared" si="261"/>
        <v>0</v>
      </c>
      <c r="W679" s="29">
        <f t="shared" si="262"/>
        <v>0</v>
      </c>
      <c r="X679" s="29">
        <f t="shared" si="263"/>
        <v>0</v>
      </c>
      <c r="Y679" s="29">
        <f t="shared" si="264"/>
        <v>0</v>
      </c>
      <c r="Z679" s="29">
        <f t="shared" si="265"/>
        <v>1076</v>
      </c>
    </row>
    <row r="680" spans="1:26" x14ac:dyDescent="0.3">
      <c r="A680" s="5" t="s">
        <v>2746</v>
      </c>
      <c r="B680" s="5" t="s">
        <v>2747</v>
      </c>
      <c r="C680" s="5">
        <v>16</v>
      </c>
      <c r="D680" s="6">
        <v>1652</v>
      </c>
      <c r="E680" s="17">
        <f>VLOOKUP(A680,'forecast data dump'!$A$1:$H$3450,4,FALSE)</f>
        <v>44435</v>
      </c>
      <c r="F680" s="17">
        <f>VLOOKUP(A680,'forecast data dump'!$A$1:$H$3450,5,FALSE)</f>
        <v>44449</v>
      </c>
      <c r="G680" s="42">
        <f>VLOOKUP(A680,'forecast data dump'!$A$1:$H$3450,8,FALSE)</f>
        <v>0</v>
      </c>
      <c r="H680" s="5" t="s">
        <v>3757</v>
      </c>
      <c r="I680" s="39">
        <f t="shared" si="256"/>
        <v>16</v>
      </c>
      <c r="J680" s="5"/>
      <c r="K680" s="5"/>
      <c r="L680" s="33">
        <f t="shared" si="257"/>
        <v>1652</v>
      </c>
      <c r="M680" s="33">
        <f t="shared" si="258"/>
        <v>1652</v>
      </c>
      <c r="N680" s="33">
        <f t="shared" si="259"/>
        <v>0</v>
      </c>
      <c r="T680">
        <v>1</v>
      </c>
      <c r="U680" s="29">
        <f t="shared" si="260"/>
        <v>0</v>
      </c>
      <c r="V680" s="29">
        <f t="shared" si="261"/>
        <v>0</v>
      </c>
      <c r="W680" s="29">
        <f t="shared" si="262"/>
        <v>0</v>
      </c>
      <c r="X680" s="29">
        <f t="shared" si="263"/>
        <v>0</v>
      </c>
      <c r="Y680" s="29">
        <f t="shared" si="264"/>
        <v>0</v>
      </c>
      <c r="Z680" s="29">
        <f t="shared" si="265"/>
        <v>1652</v>
      </c>
    </row>
    <row r="681" spans="1:26" x14ac:dyDescent="0.3">
      <c r="A681" s="5" t="s">
        <v>2746</v>
      </c>
      <c r="B681" s="5" t="s">
        <v>2747</v>
      </c>
      <c r="C681" s="5">
        <v>5</v>
      </c>
      <c r="D681" s="6">
        <v>758</v>
      </c>
      <c r="E681" s="17">
        <f>VLOOKUP(A681,'forecast data dump'!$A$1:$H$3450,4,FALSE)</f>
        <v>44435</v>
      </c>
      <c r="F681" s="17">
        <f>VLOOKUP(A681,'forecast data dump'!$A$1:$H$3450,5,FALSE)</f>
        <v>44449</v>
      </c>
      <c r="G681" s="42">
        <f>VLOOKUP(A681,'forecast data dump'!$A$1:$H$3450,8,FALSE)</f>
        <v>0</v>
      </c>
      <c r="H681" s="5" t="s">
        <v>3763</v>
      </c>
      <c r="I681" s="39">
        <f t="shared" si="256"/>
        <v>5</v>
      </c>
      <c r="J681" s="5"/>
      <c r="K681" s="5"/>
      <c r="L681" s="33">
        <f t="shared" si="257"/>
        <v>758</v>
      </c>
      <c r="M681" s="33">
        <f t="shared" si="258"/>
        <v>758</v>
      </c>
      <c r="N681" s="33">
        <f t="shared" si="259"/>
        <v>0</v>
      </c>
      <c r="T681">
        <v>1</v>
      </c>
      <c r="U681" s="29">
        <f t="shared" si="260"/>
        <v>0</v>
      </c>
      <c r="V681" s="29">
        <f t="shared" si="261"/>
        <v>0</v>
      </c>
      <c r="W681" s="29">
        <f t="shared" si="262"/>
        <v>0</v>
      </c>
      <c r="X681" s="29">
        <f t="shared" si="263"/>
        <v>0</v>
      </c>
      <c r="Y681" s="29">
        <f t="shared" si="264"/>
        <v>0</v>
      </c>
      <c r="Z681" s="29">
        <f t="shared" si="265"/>
        <v>758</v>
      </c>
    </row>
    <row r="682" spans="1:26" x14ac:dyDescent="0.3">
      <c r="A682" s="5" t="s">
        <v>2748</v>
      </c>
      <c r="B682" s="5" t="s">
        <v>2749</v>
      </c>
      <c r="C682" s="5">
        <v>72</v>
      </c>
      <c r="D682" s="6">
        <v>9685</v>
      </c>
      <c r="E682" s="17">
        <f>VLOOKUP(A682,'forecast data dump'!$A$1:$H$3450,4,FALSE)</f>
        <v>44452</v>
      </c>
      <c r="F682" s="17">
        <f>VLOOKUP(A682,'forecast data dump'!$A$1:$H$3450,5,FALSE)</f>
        <v>44494</v>
      </c>
      <c r="G682" s="42">
        <f>VLOOKUP(A682,'forecast data dump'!$A$1:$H$3450,8,FALSE)</f>
        <v>0</v>
      </c>
      <c r="H682" s="5" t="s">
        <v>3765</v>
      </c>
      <c r="I682" s="39">
        <f t="shared" si="256"/>
        <v>72</v>
      </c>
      <c r="J682" s="5"/>
      <c r="K682" s="5"/>
      <c r="L682" s="33">
        <f t="shared" si="257"/>
        <v>9685</v>
      </c>
      <c r="M682" s="33">
        <f t="shared" si="258"/>
        <v>9685</v>
      </c>
      <c r="N682" s="33">
        <f t="shared" si="259"/>
        <v>0</v>
      </c>
      <c r="T682">
        <v>1</v>
      </c>
      <c r="U682" s="29">
        <f t="shared" si="260"/>
        <v>0</v>
      </c>
      <c r="V682" s="29">
        <f t="shared" si="261"/>
        <v>0</v>
      </c>
      <c r="W682" s="29">
        <f t="shared" si="262"/>
        <v>0</v>
      </c>
      <c r="X682" s="29">
        <f t="shared" si="263"/>
        <v>0</v>
      </c>
      <c r="Y682" s="29">
        <f t="shared" si="264"/>
        <v>0</v>
      </c>
      <c r="Z682" s="29">
        <f t="shared" si="265"/>
        <v>9685</v>
      </c>
    </row>
    <row r="683" spans="1:26" x14ac:dyDescent="0.3">
      <c r="A683" s="5" t="s">
        <v>2748</v>
      </c>
      <c r="B683" s="5" t="s">
        <v>2749</v>
      </c>
      <c r="C683" s="5">
        <v>48</v>
      </c>
      <c r="D683" s="6">
        <v>4955</v>
      </c>
      <c r="E683" s="17">
        <f>VLOOKUP(A683,'forecast data dump'!$A$1:$H$3450,4,FALSE)</f>
        <v>44452</v>
      </c>
      <c r="F683" s="17">
        <f>VLOOKUP(A683,'forecast data dump'!$A$1:$H$3450,5,FALSE)</f>
        <v>44494</v>
      </c>
      <c r="G683" s="42">
        <f>VLOOKUP(A683,'forecast data dump'!$A$1:$H$3450,8,FALSE)</f>
        <v>0</v>
      </c>
      <c r="H683" s="5" t="s">
        <v>3757</v>
      </c>
      <c r="I683" s="39">
        <f t="shared" si="256"/>
        <v>48</v>
      </c>
      <c r="J683" s="5"/>
      <c r="K683" s="5"/>
      <c r="L683" s="33">
        <f t="shared" si="257"/>
        <v>4955</v>
      </c>
      <c r="M683" s="33">
        <f t="shared" si="258"/>
        <v>4955</v>
      </c>
      <c r="N683" s="33">
        <f t="shared" si="259"/>
        <v>0</v>
      </c>
      <c r="T683">
        <v>1</v>
      </c>
      <c r="U683" s="29">
        <f t="shared" si="260"/>
        <v>0</v>
      </c>
      <c r="V683" s="29">
        <f t="shared" si="261"/>
        <v>0</v>
      </c>
      <c r="W683" s="29">
        <f t="shared" si="262"/>
        <v>0</v>
      </c>
      <c r="X683" s="29">
        <f t="shared" si="263"/>
        <v>0</v>
      </c>
      <c r="Y683" s="29">
        <f t="shared" si="264"/>
        <v>0</v>
      </c>
      <c r="Z683" s="29">
        <f t="shared" si="265"/>
        <v>4955</v>
      </c>
    </row>
    <row r="684" spans="1:26" x14ac:dyDescent="0.3">
      <c r="A684" s="5" t="s">
        <v>2748</v>
      </c>
      <c r="B684" s="5" t="s">
        <v>2749</v>
      </c>
      <c r="C684" s="5">
        <v>4</v>
      </c>
      <c r="D684" s="6">
        <v>607</v>
      </c>
      <c r="E684" s="17">
        <f>VLOOKUP(A684,'forecast data dump'!$A$1:$H$3450,4,FALSE)</f>
        <v>44452</v>
      </c>
      <c r="F684" s="17">
        <f>VLOOKUP(A684,'forecast data dump'!$A$1:$H$3450,5,FALSE)</f>
        <v>44494</v>
      </c>
      <c r="G684" s="42">
        <f>VLOOKUP(A684,'forecast data dump'!$A$1:$H$3450,8,FALSE)</f>
        <v>0</v>
      </c>
      <c r="H684" s="5" t="s">
        <v>3763</v>
      </c>
      <c r="I684" s="39">
        <f t="shared" si="256"/>
        <v>4</v>
      </c>
      <c r="J684" s="5"/>
      <c r="K684" s="5"/>
      <c r="L684" s="33">
        <f t="shared" si="257"/>
        <v>607</v>
      </c>
      <c r="M684" s="33">
        <f t="shared" si="258"/>
        <v>607</v>
      </c>
      <c r="N684" s="33">
        <f t="shared" si="259"/>
        <v>0</v>
      </c>
      <c r="T684">
        <v>1</v>
      </c>
      <c r="U684" s="29">
        <f t="shared" si="260"/>
        <v>0</v>
      </c>
      <c r="V684" s="29">
        <f t="shared" si="261"/>
        <v>0</v>
      </c>
      <c r="W684" s="29">
        <f t="shared" si="262"/>
        <v>0</v>
      </c>
      <c r="X684" s="29">
        <f t="shared" si="263"/>
        <v>0</v>
      </c>
      <c r="Y684" s="29">
        <f t="shared" si="264"/>
        <v>0</v>
      </c>
      <c r="Z684" s="29">
        <f t="shared" si="265"/>
        <v>607</v>
      </c>
    </row>
    <row r="685" spans="1:26" x14ac:dyDescent="0.3">
      <c r="A685" s="5" t="s">
        <v>2750</v>
      </c>
      <c r="B685" s="5" t="s">
        <v>2751</v>
      </c>
      <c r="C685" s="5">
        <v>72</v>
      </c>
      <c r="D685" s="6">
        <v>9685</v>
      </c>
      <c r="E685" s="17">
        <f>VLOOKUP(A685,'forecast data dump'!$A$1:$H$3450,4,FALSE)</f>
        <v>44495</v>
      </c>
      <c r="F685" s="17">
        <f>VLOOKUP(A685,'forecast data dump'!$A$1:$H$3450,5,FALSE)</f>
        <v>44539</v>
      </c>
      <c r="G685" s="42">
        <f>VLOOKUP(A685,'forecast data dump'!$A$1:$H$3450,8,FALSE)</f>
        <v>0</v>
      </c>
      <c r="H685" s="5" t="s">
        <v>3765</v>
      </c>
      <c r="I685" s="39">
        <f t="shared" si="256"/>
        <v>72</v>
      </c>
      <c r="J685" s="5"/>
      <c r="K685" s="5"/>
      <c r="L685" s="33">
        <f t="shared" si="257"/>
        <v>9685</v>
      </c>
      <c r="M685" s="33">
        <f t="shared" si="258"/>
        <v>9685</v>
      </c>
      <c r="N685" s="33">
        <f t="shared" si="259"/>
        <v>0</v>
      </c>
      <c r="T685">
        <v>1</v>
      </c>
      <c r="U685" s="29">
        <f t="shared" si="260"/>
        <v>0</v>
      </c>
      <c r="V685" s="29">
        <f t="shared" si="261"/>
        <v>0</v>
      </c>
      <c r="W685" s="29">
        <f t="shared" si="262"/>
        <v>0</v>
      </c>
      <c r="X685" s="29">
        <f t="shared" si="263"/>
        <v>0</v>
      </c>
      <c r="Y685" s="29">
        <f t="shared" si="264"/>
        <v>0</v>
      </c>
      <c r="Z685" s="29">
        <f t="shared" si="265"/>
        <v>9685</v>
      </c>
    </row>
    <row r="686" spans="1:26" x14ac:dyDescent="0.3">
      <c r="A686" s="5" t="s">
        <v>2750</v>
      </c>
      <c r="B686" s="5" t="s">
        <v>2751</v>
      </c>
      <c r="C686" s="5">
        <v>48</v>
      </c>
      <c r="D686" s="6">
        <v>4955</v>
      </c>
      <c r="E686" s="17">
        <f>VLOOKUP(A686,'forecast data dump'!$A$1:$H$3450,4,FALSE)</f>
        <v>44495</v>
      </c>
      <c r="F686" s="17">
        <f>VLOOKUP(A686,'forecast data dump'!$A$1:$H$3450,5,FALSE)</f>
        <v>44539</v>
      </c>
      <c r="G686" s="42">
        <f>VLOOKUP(A686,'forecast data dump'!$A$1:$H$3450,8,FALSE)</f>
        <v>0</v>
      </c>
      <c r="H686" s="5" t="s">
        <v>3757</v>
      </c>
      <c r="I686" s="39">
        <f t="shared" si="256"/>
        <v>48</v>
      </c>
      <c r="J686" s="5"/>
      <c r="K686" s="5"/>
      <c r="L686" s="33">
        <f t="shared" si="257"/>
        <v>4955</v>
      </c>
      <c r="M686" s="33">
        <f t="shared" si="258"/>
        <v>4955</v>
      </c>
      <c r="N686" s="33">
        <f t="shared" si="259"/>
        <v>0</v>
      </c>
      <c r="T686">
        <v>1</v>
      </c>
      <c r="U686" s="29">
        <f t="shared" si="260"/>
        <v>0</v>
      </c>
      <c r="V686" s="29">
        <f t="shared" si="261"/>
        <v>0</v>
      </c>
      <c r="W686" s="29">
        <f t="shared" si="262"/>
        <v>0</v>
      </c>
      <c r="X686" s="29">
        <f t="shared" si="263"/>
        <v>0</v>
      </c>
      <c r="Y686" s="29">
        <f t="shared" si="264"/>
        <v>0</v>
      </c>
      <c r="Z686" s="29">
        <f t="shared" si="265"/>
        <v>4955</v>
      </c>
    </row>
    <row r="687" spans="1:26" x14ac:dyDescent="0.3">
      <c r="A687" s="5" t="s">
        <v>2750</v>
      </c>
      <c r="B687" s="5" t="s">
        <v>2751</v>
      </c>
      <c r="C687" s="5">
        <v>2</v>
      </c>
      <c r="D687" s="6">
        <v>303</v>
      </c>
      <c r="E687" s="17">
        <f>VLOOKUP(A687,'forecast data dump'!$A$1:$H$3450,4,FALSE)</f>
        <v>44495</v>
      </c>
      <c r="F687" s="17">
        <f>VLOOKUP(A687,'forecast data dump'!$A$1:$H$3450,5,FALSE)</f>
        <v>44539</v>
      </c>
      <c r="G687" s="42">
        <f>VLOOKUP(A687,'forecast data dump'!$A$1:$H$3450,8,FALSE)</f>
        <v>0</v>
      </c>
      <c r="H687" s="5" t="s">
        <v>3763</v>
      </c>
      <c r="I687" s="39">
        <f t="shared" si="256"/>
        <v>2</v>
      </c>
      <c r="J687" s="5"/>
      <c r="K687" s="5"/>
      <c r="L687" s="33">
        <f t="shared" si="257"/>
        <v>303</v>
      </c>
      <c r="M687" s="33">
        <f t="shared" si="258"/>
        <v>303</v>
      </c>
      <c r="N687" s="33">
        <f t="shared" si="259"/>
        <v>0</v>
      </c>
      <c r="T687">
        <v>1</v>
      </c>
      <c r="U687" s="29">
        <f t="shared" si="260"/>
        <v>0</v>
      </c>
      <c r="V687" s="29">
        <f t="shared" si="261"/>
        <v>0</v>
      </c>
      <c r="W687" s="29">
        <f t="shared" si="262"/>
        <v>0</v>
      </c>
      <c r="X687" s="29">
        <f t="shared" si="263"/>
        <v>0</v>
      </c>
      <c r="Y687" s="29">
        <f t="shared" si="264"/>
        <v>0</v>
      </c>
      <c r="Z687" s="29">
        <f t="shared" si="265"/>
        <v>303</v>
      </c>
    </row>
    <row r="688" spans="1:26" x14ac:dyDescent="0.3">
      <c r="A688" s="5" t="s">
        <v>2752</v>
      </c>
      <c r="B688" s="5" t="s">
        <v>2753</v>
      </c>
      <c r="C688" s="5">
        <v>72</v>
      </c>
      <c r="D688" s="6">
        <v>9685</v>
      </c>
      <c r="E688" s="17">
        <f>VLOOKUP(A688,'forecast data dump'!$A$1:$H$3450,4,FALSE)</f>
        <v>44540</v>
      </c>
      <c r="F688" s="17">
        <f>VLOOKUP(A688,'forecast data dump'!$A$1:$H$3450,5,FALSE)</f>
        <v>44671</v>
      </c>
      <c r="G688" s="42">
        <f>VLOOKUP(A688,'forecast data dump'!$A$1:$H$3450,8,FALSE)</f>
        <v>0</v>
      </c>
      <c r="H688" s="5" t="s">
        <v>3765</v>
      </c>
      <c r="I688" s="39">
        <f t="shared" si="256"/>
        <v>72</v>
      </c>
      <c r="J688" s="5"/>
      <c r="K688" s="5"/>
      <c r="L688" s="33">
        <f t="shared" si="257"/>
        <v>9685</v>
      </c>
      <c r="M688" s="33">
        <f t="shared" si="258"/>
        <v>9685</v>
      </c>
      <c r="N688" s="33">
        <f t="shared" si="259"/>
        <v>0</v>
      </c>
      <c r="T688">
        <v>1</v>
      </c>
      <c r="U688" s="29">
        <f t="shared" si="260"/>
        <v>0</v>
      </c>
      <c r="V688" s="29">
        <f t="shared" si="261"/>
        <v>0</v>
      </c>
      <c r="W688" s="29">
        <f t="shared" si="262"/>
        <v>0</v>
      </c>
      <c r="X688" s="29">
        <f t="shared" si="263"/>
        <v>0</v>
      </c>
      <c r="Y688" s="29">
        <f t="shared" si="264"/>
        <v>0</v>
      </c>
      <c r="Z688" s="29">
        <f t="shared" si="265"/>
        <v>9685</v>
      </c>
    </row>
    <row r="689" spans="1:27" x14ac:dyDescent="0.3">
      <c r="A689" s="5" t="s">
        <v>2752</v>
      </c>
      <c r="B689" s="5" t="s">
        <v>2753</v>
      </c>
      <c r="C689" s="5">
        <v>144</v>
      </c>
      <c r="D689" s="6">
        <v>14865</v>
      </c>
      <c r="E689" s="17">
        <f>VLOOKUP(A689,'forecast data dump'!$A$1:$H$3450,4,FALSE)</f>
        <v>44540</v>
      </c>
      <c r="F689" s="17">
        <f>VLOOKUP(A689,'forecast data dump'!$A$1:$H$3450,5,FALSE)</f>
        <v>44671</v>
      </c>
      <c r="G689" s="42">
        <f>VLOOKUP(A689,'forecast data dump'!$A$1:$H$3450,8,FALSE)</f>
        <v>0</v>
      </c>
      <c r="H689" s="5" t="s">
        <v>3757</v>
      </c>
      <c r="I689" s="39">
        <f t="shared" si="256"/>
        <v>144</v>
      </c>
      <c r="J689" s="5"/>
      <c r="K689" s="5"/>
      <c r="L689" s="33">
        <f t="shared" si="257"/>
        <v>14865</v>
      </c>
      <c r="M689" s="33">
        <f t="shared" si="258"/>
        <v>14865</v>
      </c>
      <c r="N689" s="33">
        <f t="shared" si="259"/>
        <v>0</v>
      </c>
      <c r="T689">
        <v>1</v>
      </c>
      <c r="U689" s="29">
        <f t="shared" si="260"/>
        <v>0</v>
      </c>
      <c r="V689" s="29">
        <f t="shared" si="261"/>
        <v>0</v>
      </c>
      <c r="W689" s="29">
        <f t="shared" si="262"/>
        <v>0</v>
      </c>
      <c r="X689" s="29">
        <f t="shared" si="263"/>
        <v>0</v>
      </c>
      <c r="Y689" s="29">
        <f t="shared" si="264"/>
        <v>0</v>
      </c>
      <c r="Z689" s="29">
        <f t="shared" si="265"/>
        <v>14865</v>
      </c>
    </row>
    <row r="690" spans="1:27" x14ac:dyDescent="0.3">
      <c r="A690" s="5" t="s">
        <v>2752</v>
      </c>
      <c r="B690" s="5" t="s">
        <v>2753</v>
      </c>
      <c r="C690" s="5">
        <v>8</v>
      </c>
      <c r="D690" s="6">
        <v>1213</v>
      </c>
      <c r="E690" s="17">
        <f>VLOOKUP(A690,'forecast data dump'!$A$1:$H$3450,4,FALSE)</f>
        <v>44540</v>
      </c>
      <c r="F690" s="17">
        <f>VLOOKUP(A690,'forecast data dump'!$A$1:$H$3450,5,FALSE)</f>
        <v>44671</v>
      </c>
      <c r="G690" s="42">
        <f>VLOOKUP(A690,'forecast data dump'!$A$1:$H$3450,8,FALSE)</f>
        <v>0</v>
      </c>
      <c r="H690" s="5" t="s">
        <v>3763</v>
      </c>
      <c r="I690" s="39">
        <f t="shared" si="256"/>
        <v>8</v>
      </c>
      <c r="J690" s="5"/>
      <c r="K690" s="5"/>
      <c r="L690" s="33">
        <f t="shared" si="257"/>
        <v>1213</v>
      </c>
      <c r="M690" s="33">
        <f t="shared" si="258"/>
        <v>1213</v>
      </c>
      <c r="N690" s="33">
        <f t="shared" si="259"/>
        <v>0</v>
      </c>
      <c r="T690">
        <v>1</v>
      </c>
      <c r="U690" s="29">
        <f t="shared" si="260"/>
        <v>0</v>
      </c>
      <c r="V690" s="29">
        <f t="shared" si="261"/>
        <v>0</v>
      </c>
      <c r="W690" s="29">
        <f t="shared" si="262"/>
        <v>0</v>
      </c>
      <c r="X690" s="29">
        <f t="shared" si="263"/>
        <v>0</v>
      </c>
      <c r="Y690" s="29">
        <f t="shared" si="264"/>
        <v>0</v>
      </c>
      <c r="Z690" s="29">
        <f t="shared" si="265"/>
        <v>1213</v>
      </c>
    </row>
    <row r="691" spans="1:27" x14ac:dyDescent="0.3">
      <c r="A691" s="5" t="s">
        <v>2754</v>
      </c>
      <c r="B691" s="5" t="s">
        <v>2755</v>
      </c>
      <c r="C691" s="5">
        <v>24</v>
      </c>
      <c r="D691" s="6">
        <v>3228</v>
      </c>
      <c r="E691" s="17">
        <f>VLOOKUP(A691,'forecast data dump'!$A$1:$H$3450,4,FALSE)</f>
        <v>44672</v>
      </c>
      <c r="F691" s="17">
        <f>VLOOKUP(A691,'forecast data dump'!$A$1:$H$3450,5,FALSE)</f>
        <v>44685</v>
      </c>
      <c r="G691" s="42">
        <f>VLOOKUP(A691,'forecast data dump'!$A$1:$H$3450,8,FALSE)</f>
        <v>0</v>
      </c>
      <c r="H691" s="5" t="s">
        <v>3765</v>
      </c>
      <c r="I691" s="39">
        <f t="shared" si="256"/>
        <v>24</v>
      </c>
      <c r="J691" s="5"/>
      <c r="K691" s="5"/>
      <c r="L691" s="33">
        <f t="shared" si="257"/>
        <v>3228</v>
      </c>
      <c r="M691" s="33">
        <f t="shared" si="258"/>
        <v>3228</v>
      </c>
      <c r="N691" s="33">
        <f t="shared" si="259"/>
        <v>0</v>
      </c>
      <c r="T691">
        <v>1</v>
      </c>
      <c r="U691" s="29">
        <f t="shared" si="260"/>
        <v>0</v>
      </c>
      <c r="V691" s="29">
        <f t="shared" si="261"/>
        <v>0</v>
      </c>
      <c r="W691" s="29">
        <f t="shared" si="262"/>
        <v>0</v>
      </c>
      <c r="X691" s="29">
        <f t="shared" si="263"/>
        <v>0</v>
      </c>
      <c r="Y691" s="29">
        <f t="shared" si="264"/>
        <v>0</v>
      </c>
      <c r="Z691" s="29">
        <f t="shared" si="265"/>
        <v>3228</v>
      </c>
    </row>
    <row r="692" spans="1:27" x14ac:dyDescent="0.3">
      <c r="A692" s="5" t="s">
        <v>2754</v>
      </c>
      <c r="B692" s="5" t="s">
        <v>2755</v>
      </c>
      <c r="C692" s="5">
        <v>16</v>
      </c>
      <c r="D692" s="6">
        <v>1652</v>
      </c>
      <c r="E692" s="17">
        <f>VLOOKUP(A692,'forecast data dump'!$A$1:$H$3450,4,FALSE)</f>
        <v>44672</v>
      </c>
      <c r="F692" s="17">
        <f>VLOOKUP(A692,'forecast data dump'!$A$1:$H$3450,5,FALSE)</f>
        <v>44685</v>
      </c>
      <c r="G692" s="42">
        <f>VLOOKUP(A692,'forecast data dump'!$A$1:$H$3450,8,FALSE)</f>
        <v>0</v>
      </c>
      <c r="H692" s="5" t="s">
        <v>3757</v>
      </c>
      <c r="I692" s="39">
        <f t="shared" si="256"/>
        <v>16</v>
      </c>
      <c r="J692" s="5"/>
      <c r="K692" s="5"/>
      <c r="L692" s="33">
        <f t="shared" si="257"/>
        <v>1652</v>
      </c>
      <c r="M692" s="33">
        <f t="shared" si="258"/>
        <v>1652</v>
      </c>
      <c r="N692" s="33">
        <f t="shared" si="259"/>
        <v>0</v>
      </c>
      <c r="T692">
        <v>1</v>
      </c>
      <c r="U692" s="29">
        <f t="shared" si="260"/>
        <v>0</v>
      </c>
      <c r="V692" s="29">
        <f t="shared" si="261"/>
        <v>0</v>
      </c>
      <c r="W692" s="29">
        <f t="shared" si="262"/>
        <v>0</v>
      </c>
      <c r="X692" s="29">
        <f t="shared" si="263"/>
        <v>0</v>
      </c>
      <c r="Y692" s="29">
        <f t="shared" si="264"/>
        <v>0</v>
      </c>
      <c r="Z692" s="29">
        <f t="shared" si="265"/>
        <v>1652</v>
      </c>
    </row>
    <row r="693" spans="1:27" x14ac:dyDescent="0.3">
      <c r="A693" s="5" t="s">
        <v>2756</v>
      </c>
      <c r="B693" s="5" t="s">
        <v>2757</v>
      </c>
      <c r="C693" s="5">
        <v>10000</v>
      </c>
      <c r="D693" s="6">
        <v>11607</v>
      </c>
      <c r="E693" s="17">
        <f>VLOOKUP(A693,'forecast data dump'!$A$1:$H$3450,4,FALSE)</f>
        <v>44540</v>
      </c>
      <c r="F693" s="17">
        <f>VLOOKUP(A693,'forecast data dump'!$A$1:$H$3450,5,FALSE)</f>
        <v>44671</v>
      </c>
      <c r="G693" s="42">
        <f>VLOOKUP(A693,'forecast data dump'!$A$1:$H$3450,8,FALSE)</f>
        <v>0</v>
      </c>
      <c r="H693" s="5" t="s">
        <v>3762</v>
      </c>
      <c r="I693" s="39">
        <f t="shared" si="256"/>
        <v>10000</v>
      </c>
      <c r="J693" s="5"/>
      <c r="K693" s="5"/>
      <c r="L693" s="33">
        <f t="shared" si="257"/>
        <v>11607</v>
      </c>
      <c r="M693" s="33">
        <f t="shared" si="258"/>
        <v>11607</v>
      </c>
      <c r="N693" s="33">
        <f t="shared" si="259"/>
        <v>0</v>
      </c>
      <c r="Q693">
        <v>1</v>
      </c>
      <c r="U693" s="29">
        <f t="shared" si="260"/>
        <v>0</v>
      </c>
      <c r="V693" s="29">
        <f t="shared" si="261"/>
        <v>0</v>
      </c>
      <c r="W693" s="29">
        <f t="shared" si="262"/>
        <v>11607</v>
      </c>
      <c r="X693" s="29">
        <f t="shared" si="263"/>
        <v>0</v>
      </c>
      <c r="Y693" s="29">
        <f t="shared" si="264"/>
        <v>0</v>
      </c>
      <c r="Z693" s="29">
        <f t="shared" si="265"/>
        <v>0</v>
      </c>
    </row>
    <row r="694" spans="1:27" x14ac:dyDescent="0.3">
      <c r="A694" s="5" t="s">
        <v>2782</v>
      </c>
      <c r="B694" s="5" t="s">
        <v>2783</v>
      </c>
      <c r="C694" s="5">
        <v>108</v>
      </c>
      <c r="D694" s="6">
        <v>13663</v>
      </c>
      <c r="E694" s="17">
        <f>VLOOKUP(A694,'forecast data dump'!$A$1:$H$3450,4,FALSE)</f>
        <v>44439</v>
      </c>
      <c r="F694" s="17">
        <f>VLOOKUP(A694,'forecast data dump'!$A$1:$H$3450,5,FALSE)</f>
        <v>44481</v>
      </c>
      <c r="G694" s="42">
        <v>0.2</v>
      </c>
      <c r="H694" s="5" t="s">
        <v>3758</v>
      </c>
      <c r="I694" s="39">
        <f t="shared" si="256"/>
        <v>86.4</v>
      </c>
      <c r="J694" s="5"/>
      <c r="K694" s="5"/>
      <c r="L694" s="33">
        <f t="shared" si="257"/>
        <v>10930.400000000001</v>
      </c>
      <c r="M694" s="33">
        <f t="shared" si="258"/>
        <v>10930.400000000001</v>
      </c>
      <c r="N694" s="33">
        <f t="shared" si="259"/>
        <v>0</v>
      </c>
      <c r="T694">
        <v>1</v>
      </c>
      <c r="U694" s="29">
        <f t="shared" si="260"/>
        <v>0</v>
      </c>
      <c r="V694" s="29">
        <f t="shared" si="261"/>
        <v>0</v>
      </c>
      <c r="W694" s="29">
        <f t="shared" si="262"/>
        <v>0</v>
      </c>
      <c r="X694" s="29">
        <f t="shared" si="263"/>
        <v>0</v>
      </c>
      <c r="Y694" s="29">
        <f t="shared" si="264"/>
        <v>0</v>
      </c>
      <c r="Z694" s="29">
        <f t="shared" si="265"/>
        <v>10930.400000000001</v>
      </c>
    </row>
    <row r="695" spans="1:27" x14ac:dyDescent="0.3">
      <c r="A695" s="5" t="s">
        <v>2782</v>
      </c>
      <c r="B695" s="5" t="s">
        <v>2783</v>
      </c>
      <c r="C695" s="5">
        <v>24</v>
      </c>
      <c r="D695" s="6">
        <v>3534</v>
      </c>
      <c r="E695" s="17">
        <f>VLOOKUP(A695,'forecast data dump'!$A$1:$H$3450,4,FALSE)</f>
        <v>44439</v>
      </c>
      <c r="F695" s="17">
        <f>VLOOKUP(A695,'forecast data dump'!$A$1:$H$3450,5,FALSE)</f>
        <v>44481</v>
      </c>
      <c r="G695" s="42">
        <v>0.2</v>
      </c>
      <c r="H695" s="5" t="s">
        <v>3763</v>
      </c>
      <c r="I695" s="39">
        <f t="shared" si="256"/>
        <v>19.200000000000003</v>
      </c>
      <c r="J695" s="5"/>
      <c r="K695" s="5"/>
      <c r="L695" s="33">
        <f t="shared" si="257"/>
        <v>2827.2000000000003</v>
      </c>
      <c r="M695" s="33">
        <f t="shared" si="258"/>
        <v>2827.2000000000003</v>
      </c>
      <c r="N695" s="33">
        <f t="shared" si="259"/>
        <v>0</v>
      </c>
      <c r="T695">
        <v>1</v>
      </c>
      <c r="U695" s="29">
        <f t="shared" si="260"/>
        <v>0</v>
      </c>
      <c r="V695" s="29">
        <f t="shared" si="261"/>
        <v>0</v>
      </c>
      <c r="W695" s="29">
        <f t="shared" si="262"/>
        <v>0</v>
      </c>
      <c r="X695" s="29">
        <f t="shared" si="263"/>
        <v>0</v>
      </c>
      <c r="Y695" s="29">
        <f t="shared" si="264"/>
        <v>0</v>
      </c>
      <c r="Z695" s="29">
        <f t="shared" si="265"/>
        <v>2827.2000000000003</v>
      </c>
    </row>
    <row r="696" spans="1:27" x14ac:dyDescent="0.3">
      <c r="A696" s="5" t="s">
        <v>2788</v>
      </c>
      <c r="B696" s="5" t="s">
        <v>2789</v>
      </c>
      <c r="C696" s="5">
        <v>16</v>
      </c>
      <c r="D696" s="6">
        <v>2024</v>
      </c>
      <c r="E696" s="17">
        <f>VLOOKUP(A696,'forecast data dump'!$A$1:$H$3450,4,FALSE)</f>
        <v>44482</v>
      </c>
      <c r="F696" s="17">
        <f>VLOOKUP(A696,'forecast data dump'!$A$1:$H$3450,5,FALSE)</f>
        <v>44488</v>
      </c>
      <c r="G696" s="42">
        <f>VLOOKUP(A696,'forecast data dump'!$A$1:$H$3450,8,FALSE)</f>
        <v>0</v>
      </c>
      <c r="H696" s="5" t="s">
        <v>3758</v>
      </c>
      <c r="I696" s="39">
        <f t="shared" si="256"/>
        <v>16</v>
      </c>
      <c r="J696" s="5"/>
      <c r="K696" s="5"/>
      <c r="L696" s="33">
        <f t="shared" si="257"/>
        <v>2024</v>
      </c>
      <c r="M696" s="33">
        <f t="shared" si="258"/>
        <v>2024</v>
      </c>
      <c r="N696" s="33">
        <f t="shared" si="259"/>
        <v>0</v>
      </c>
      <c r="T696">
        <v>1</v>
      </c>
      <c r="U696" s="29">
        <f t="shared" si="260"/>
        <v>0</v>
      </c>
      <c r="V696" s="29">
        <f t="shared" si="261"/>
        <v>0</v>
      </c>
      <c r="W696" s="29">
        <f t="shared" si="262"/>
        <v>0</v>
      </c>
      <c r="X696" s="29">
        <f t="shared" si="263"/>
        <v>0</v>
      </c>
      <c r="Y696" s="29">
        <f t="shared" si="264"/>
        <v>0</v>
      </c>
      <c r="Z696" s="29">
        <f t="shared" si="265"/>
        <v>2024</v>
      </c>
    </row>
    <row r="697" spans="1:27" x14ac:dyDescent="0.3">
      <c r="A697" s="5" t="s">
        <v>2788</v>
      </c>
      <c r="B697" s="5" t="s">
        <v>2789</v>
      </c>
      <c r="C697" s="5">
        <v>8</v>
      </c>
      <c r="D697" s="6">
        <v>1178</v>
      </c>
      <c r="E697" s="17">
        <f>VLOOKUP(A697,'forecast data dump'!$A$1:$H$3450,4,FALSE)</f>
        <v>44482</v>
      </c>
      <c r="F697" s="17">
        <f>VLOOKUP(A697,'forecast data dump'!$A$1:$H$3450,5,FALSE)</f>
        <v>44488</v>
      </c>
      <c r="G697" s="42">
        <f>VLOOKUP(A697,'forecast data dump'!$A$1:$H$3450,8,FALSE)</f>
        <v>0</v>
      </c>
      <c r="H697" s="5" t="s">
        <v>3763</v>
      </c>
      <c r="I697" s="39">
        <f t="shared" si="256"/>
        <v>8</v>
      </c>
      <c r="J697" s="5"/>
      <c r="K697" s="5"/>
      <c r="L697" s="33">
        <f t="shared" si="257"/>
        <v>1178</v>
      </c>
      <c r="M697" s="33">
        <f t="shared" si="258"/>
        <v>1178</v>
      </c>
      <c r="N697" s="33">
        <f t="shared" si="259"/>
        <v>0</v>
      </c>
      <c r="T697">
        <v>1</v>
      </c>
      <c r="U697" s="29">
        <f t="shared" si="260"/>
        <v>0</v>
      </c>
      <c r="V697" s="29">
        <f t="shared" si="261"/>
        <v>0</v>
      </c>
      <c r="W697" s="29">
        <f t="shared" si="262"/>
        <v>0</v>
      </c>
      <c r="X697" s="29">
        <f t="shared" si="263"/>
        <v>0</v>
      </c>
      <c r="Y697" s="29">
        <f t="shared" si="264"/>
        <v>0</v>
      </c>
      <c r="Z697" s="29">
        <f t="shared" si="265"/>
        <v>1178</v>
      </c>
    </row>
    <row r="698" spans="1:27" x14ac:dyDescent="0.3">
      <c r="A698" s="5" t="s">
        <v>2802</v>
      </c>
      <c r="B698" s="5" t="s">
        <v>2803</v>
      </c>
      <c r="C698" s="5">
        <v>140000</v>
      </c>
      <c r="D698" s="6">
        <v>162496</v>
      </c>
      <c r="E698" s="17">
        <f>VLOOKUP(A698,'forecast data dump'!$A$1:$H$3450,4,FALSE)</f>
        <v>44482</v>
      </c>
      <c r="F698" s="17">
        <f>VLOOKUP(A698,'forecast data dump'!$A$1:$H$3450,5,FALSE)</f>
        <v>44488</v>
      </c>
      <c r="G698" s="42">
        <f>VLOOKUP(A698,'forecast data dump'!$A$1:$H$3450,8,FALSE)</f>
        <v>0</v>
      </c>
      <c r="H698" s="5" t="s">
        <v>3762</v>
      </c>
      <c r="I698" s="39">
        <f t="shared" si="256"/>
        <v>140000</v>
      </c>
      <c r="J698" s="5"/>
      <c r="K698" s="5"/>
      <c r="L698" s="33">
        <f t="shared" si="257"/>
        <v>162496</v>
      </c>
      <c r="M698" s="33">
        <f t="shared" si="258"/>
        <v>162496</v>
      </c>
      <c r="N698" s="33">
        <f t="shared" si="259"/>
        <v>0</v>
      </c>
      <c r="O698">
        <v>1</v>
      </c>
      <c r="U698" s="29">
        <f t="shared" si="260"/>
        <v>162496</v>
      </c>
      <c r="V698" s="29">
        <f t="shared" si="261"/>
        <v>0</v>
      </c>
      <c r="W698" s="29">
        <f t="shared" si="262"/>
        <v>0</v>
      </c>
      <c r="X698" s="29">
        <f t="shared" si="263"/>
        <v>0</v>
      </c>
      <c r="Y698" s="29">
        <f t="shared" si="264"/>
        <v>0</v>
      </c>
      <c r="Z698" s="29">
        <f t="shared" si="265"/>
        <v>0</v>
      </c>
    </row>
    <row r="699" spans="1:27" x14ac:dyDescent="0.3">
      <c r="A699" s="5" t="s">
        <v>2808</v>
      </c>
      <c r="B699" s="5" t="s">
        <v>2809</v>
      </c>
      <c r="C699" s="5">
        <v>550000</v>
      </c>
      <c r="D699" s="6">
        <v>613587</v>
      </c>
      <c r="E699" s="17">
        <f>VLOOKUP(A699,'forecast data dump'!$A$1:$H$3450,4,FALSE)</f>
        <v>44551</v>
      </c>
      <c r="F699" s="17">
        <f>VLOOKUP(A699,'forecast data dump'!$A$1:$H$3450,5,FALSE)</f>
        <v>44551</v>
      </c>
      <c r="G699" s="42">
        <f>VLOOKUP(A699,'forecast data dump'!$A$1:$H$3450,8,FALSE)</f>
        <v>0</v>
      </c>
      <c r="H699" s="5" t="s">
        <v>3761</v>
      </c>
      <c r="I699" s="39">
        <f t="shared" si="256"/>
        <v>550000</v>
      </c>
      <c r="J699" s="5"/>
      <c r="K699" s="5"/>
      <c r="L699" s="33">
        <f t="shared" si="257"/>
        <v>613587</v>
      </c>
      <c r="M699" s="33">
        <f t="shared" si="258"/>
        <v>613587</v>
      </c>
      <c r="N699" s="33">
        <f t="shared" si="259"/>
        <v>0</v>
      </c>
      <c r="O699">
        <v>1</v>
      </c>
      <c r="U699" s="29">
        <f t="shared" si="260"/>
        <v>613587</v>
      </c>
      <c r="V699" s="29">
        <f t="shared" si="261"/>
        <v>0</v>
      </c>
      <c r="W699" s="29">
        <f t="shared" si="262"/>
        <v>0</v>
      </c>
      <c r="X699" s="29">
        <f t="shared" si="263"/>
        <v>0</v>
      </c>
      <c r="Y699" s="29">
        <f t="shared" si="264"/>
        <v>0</v>
      </c>
      <c r="Z699" s="29">
        <f t="shared" si="265"/>
        <v>0</v>
      </c>
    </row>
    <row r="700" spans="1:27" x14ac:dyDescent="0.3">
      <c r="A700" s="3" t="s">
        <v>7891</v>
      </c>
      <c r="B700" s="3"/>
      <c r="C700" s="3"/>
      <c r="D700" s="4"/>
      <c r="E700" s="15"/>
      <c r="F700" s="15"/>
      <c r="G700" s="41"/>
      <c r="H700" s="3"/>
      <c r="I700" s="38"/>
      <c r="J700" s="3"/>
      <c r="K700" s="3"/>
      <c r="L700" s="32"/>
      <c r="M700" s="32"/>
      <c r="N700" s="32"/>
      <c r="U700" s="29"/>
      <c r="V700" s="29"/>
      <c r="W700" s="29"/>
      <c r="X700" s="29"/>
      <c r="Y700" s="29"/>
      <c r="Z700" s="29"/>
      <c r="AA700" s="109">
        <f>SUM(U701:U1292)</f>
        <v>113667.65</v>
      </c>
    </row>
    <row r="701" spans="1:27" x14ac:dyDescent="0.3">
      <c r="A701" s="5" t="s">
        <v>2124</v>
      </c>
      <c r="B701" s="5" t="s">
        <v>2125</v>
      </c>
      <c r="C701" s="5">
        <v>32</v>
      </c>
      <c r="D701" s="6">
        <v>4961</v>
      </c>
      <c r="E701" s="17">
        <f>VLOOKUP(A701,'forecast data dump'!$A$1:$H$3450,4,FALSE)</f>
        <v>44615</v>
      </c>
      <c r="F701" s="17">
        <f>VLOOKUP(A701,'forecast data dump'!$A$1:$H$3450,5,FALSE)</f>
        <v>44642</v>
      </c>
      <c r="G701" s="42">
        <f>VLOOKUP(A701,'forecast data dump'!$A$1:$H$3450,8,FALSE)</f>
        <v>0</v>
      </c>
      <c r="H701" s="5" t="s">
        <v>3763</v>
      </c>
      <c r="I701" s="39">
        <f t="shared" ref="I701:I764" si="266">C701*(1-G701)</f>
        <v>32</v>
      </c>
      <c r="J701" s="5"/>
      <c r="K701" s="5"/>
      <c r="L701" s="33">
        <f t="shared" ref="L701:L764" si="267">D701*(1-G701)</f>
        <v>4961</v>
      </c>
      <c r="M701" s="33">
        <f t="shared" ref="M701:M764" si="268">IF(J701="",L701,(D701/C701)*J701)</f>
        <v>4961</v>
      </c>
      <c r="N701" s="33">
        <f t="shared" ref="N701:N764" si="269">L701-M701</f>
        <v>0</v>
      </c>
      <c r="T701">
        <v>1</v>
      </c>
      <c r="U701" s="29">
        <f t="shared" si="260"/>
        <v>0</v>
      </c>
      <c r="V701" s="29">
        <f t="shared" si="261"/>
        <v>0</v>
      </c>
      <c r="W701" s="29">
        <f t="shared" si="262"/>
        <v>0</v>
      </c>
      <c r="X701" s="29">
        <f t="shared" si="263"/>
        <v>0</v>
      </c>
      <c r="Y701" s="29">
        <f t="shared" si="264"/>
        <v>0</v>
      </c>
      <c r="Z701" s="29">
        <f t="shared" si="265"/>
        <v>4961</v>
      </c>
      <c r="AA701" s="103" t="s">
        <v>8365</v>
      </c>
    </row>
    <row r="702" spans="1:27" x14ac:dyDescent="0.3">
      <c r="A702" s="5" t="s">
        <v>2128</v>
      </c>
      <c r="B702" s="5" t="s">
        <v>2129</v>
      </c>
      <c r="C702" s="5">
        <v>20</v>
      </c>
      <c r="D702" s="6">
        <v>3125</v>
      </c>
      <c r="E702" s="17">
        <f>VLOOKUP(A702,'forecast data dump'!$A$1:$H$3450,4,FALSE)</f>
        <v>44774</v>
      </c>
      <c r="F702" s="17">
        <f>VLOOKUP(A702,'forecast data dump'!$A$1:$H$3450,5,FALSE)</f>
        <v>44782</v>
      </c>
      <c r="G702" s="42">
        <f>VLOOKUP(A702,'forecast data dump'!$A$1:$H$3450,8,FALSE)</f>
        <v>0</v>
      </c>
      <c r="H702" s="5" t="s">
        <v>3733</v>
      </c>
      <c r="I702" s="39">
        <f t="shared" si="266"/>
        <v>20</v>
      </c>
      <c r="J702" s="5"/>
      <c r="K702" s="5"/>
      <c r="L702" s="33">
        <f t="shared" si="267"/>
        <v>3125</v>
      </c>
      <c r="M702" s="33">
        <f t="shared" si="268"/>
        <v>3125</v>
      </c>
      <c r="N702" s="33">
        <f t="shared" si="269"/>
        <v>0</v>
      </c>
      <c r="T702">
        <v>1</v>
      </c>
      <c r="U702" s="29">
        <f t="shared" si="260"/>
        <v>0</v>
      </c>
      <c r="V702" s="29">
        <f t="shared" si="261"/>
        <v>0</v>
      </c>
      <c r="W702" s="29">
        <f t="shared" si="262"/>
        <v>0</v>
      </c>
      <c r="X702" s="29">
        <f t="shared" si="263"/>
        <v>0</v>
      </c>
      <c r="Y702" s="29">
        <f t="shared" si="264"/>
        <v>0</v>
      </c>
      <c r="Z702" s="29">
        <f t="shared" si="265"/>
        <v>3125</v>
      </c>
      <c r="AA702" s="103" t="s">
        <v>8354</v>
      </c>
    </row>
    <row r="703" spans="1:27" x14ac:dyDescent="0.3">
      <c r="A703" s="5" t="s">
        <v>2128</v>
      </c>
      <c r="B703" s="5" t="s">
        <v>2129</v>
      </c>
      <c r="C703" s="5">
        <v>40</v>
      </c>
      <c r="D703" s="6">
        <v>4843</v>
      </c>
      <c r="E703" s="17">
        <f>VLOOKUP(A703,'forecast data dump'!$A$1:$H$3450,4,FALSE)</f>
        <v>44774</v>
      </c>
      <c r="F703" s="17">
        <f>VLOOKUP(A703,'forecast data dump'!$A$1:$H$3450,5,FALSE)</f>
        <v>44782</v>
      </c>
      <c r="G703" s="42">
        <f>VLOOKUP(A703,'forecast data dump'!$A$1:$H$3450,8,FALSE)</f>
        <v>0</v>
      </c>
      <c r="H703" s="5" t="s">
        <v>3741</v>
      </c>
      <c r="I703" s="39">
        <f t="shared" si="266"/>
        <v>40</v>
      </c>
      <c r="J703" s="5"/>
      <c r="K703" s="5"/>
      <c r="L703" s="33">
        <f t="shared" si="267"/>
        <v>4843</v>
      </c>
      <c r="M703" s="33">
        <f t="shared" si="268"/>
        <v>4843</v>
      </c>
      <c r="N703" s="33">
        <f t="shared" si="269"/>
        <v>0</v>
      </c>
      <c r="T703">
        <v>1</v>
      </c>
      <c r="U703" s="29">
        <f t="shared" si="260"/>
        <v>0</v>
      </c>
      <c r="V703" s="29">
        <f t="shared" si="261"/>
        <v>0</v>
      </c>
      <c r="W703" s="29">
        <f t="shared" si="262"/>
        <v>0</v>
      </c>
      <c r="X703" s="29">
        <f t="shared" si="263"/>
        <v>0</v>
      </c>
      <c r="Y703" s="29">
        <f t="shared" si="264"/>
        <v>0</v>
      </c>
      <c r="Z703" s="29">
        <f t="shared" si="265"/>
        <v>4843</v>
      </c>
    </row>
    <row r="704" spans="1:27" x14ac:dyDescent="0.3">
      <c r="A704" s="5" t="s">
        <v>2128</v>
      </c>
      <c r="B704" s="5" t="s">
        <v>2129</v>
      </c>
      <c r="C704" s="5">
        <v>16</v>
      </c>
      <c r="D704" s="6">
        <v>1937</v>
      </c>
      <c r="E704" s="17">
        <f>VLOOKUP(A704,'forecast data dump'!$A$1:$H$3450,4,FALSE)</f>
        <v>44774</v>
      </c>
      <c r="F704" s="17">
        <f>VLOOKUP(A704,'forecast data dump'!$A$1:$H$3450,5,FALSE)</f>
        <v>44782</v>
      </c>
      <c r="G704" s="42">
        <f>VLOOKUP(A704,'forecast data dump'!$A$1:$H$3450,8,FALSE)</f>
        <v>0</v>
      </c>
      <c r="H704" s="5" t="s">
        <v>3745</v>
      </c>
      <c r="I704" s="39">
        <f t="shared" si="266"/>
        <v>16</v>
      </c>
      <c r="J704" s="5"/>
      <c r="K704" s="5"/>
      <c r="L704" s="33">
        <f t="shared" si="267"/>
        <v>1937</v>
      </c>
      <c r="M704" s="33">
        <f t="shared" si="268"/>
        <v>1937</v>
      </c>
      <c r="N704" s="33">
        <f t="shared" si="269"/>
        <v>0</v>
      </c>
      <c r="T704">
        <v>1</v>
      </c>
      <c r="U704" s="29">
        <f t="shared" si="260"/>
        <v>0</v>
      </c>
      <c r="V704" s="29">
        <f t="shared" si="261"/>
        <v>0</v>
      </c>
      <c r="W704" s="29">
        <f t="shared" si="262"/>
        <v>0</v>
      </c>
      <c r="X704" s="29">
        <f t="shared" si="263"/>
        <v>0</v>
      </c>
      <c r="Y704" s="29">
        <f t="shared" si="264"/>
        <v>0</v>
      </c>
      <c r="Z704" s="29">
        <f t="shared" si="265"/>
        <v>1937</v>
      </c>
    </row>
    <row r="705" spans="1:26" x14ac:dyDescent="0.3">
      <c r="A705" s="5" t="s">
        <v>2130</v>
      </c>
      <c r="B705" s="5" t="s">
        <v>2131</v>
      </c>
      <c r="C705" s="5">
        <v>40</v>
      </c>
      <c r="D705" s="6">
        <v>4702</v>
      </c>
      <c r="E705" s="17">
        <f>VLOOKUP(A705,'forecast data dump'!$A$1:$H$3450,4,FALSE)</f>
        <v>44582</v>
      </c>
      <c r="F705" s="17">
        <f>VLOOKUP(A705,'forecast data dump'!$A$1:$H$3450,5,FALSE)</f>
        <v>44595</v>
      </c>
      <c r="G705" s="42">
        <f>VLOOKUP(A705,'forecast data dump'!$A$1:$H$3450,8,FALSE)</f>
        <v>0</v>
      </c>
      <c r="H705" s="5" t="s">
        <v>3759</v>
      </c>
      <c r="I705" s="39">
        <f t="shared" si="266"/>
        <v>40</v>
      </c>
      <c r="J705" s="5"/>
      <c r="K705" s="5"/>
      <c r="L705" s="33">
        <f t="shared" si="267"/>
        <v>4702</v>
      </c>
      <c r="M705" s="33">
        <f t="shared" si="268"/>
        <v>4702</v>
      </c>
      <c r="N705" s="33">
        <f t="shared" si="269"/>
        <v>0</v>
      </c>
      <c r="T705">
        <v>1</v>
      </c>
      <c r="U705" s="29">
        <f t="shared" si="260"/>
        <v>0</v>
      </c>
      <c r="V705" s="29">
        <f t="shared" si="261"/>
        <v>0</v>
      </c>
      <c r="W705" s="29">
        <f t="shared" si="262"/>
        <v>0</v>
      </c>
      <c r="X705" s="29">
        <f t="shared" si="263"/>
        <v>0</v>
      </c>
      <c r="Y705" s="29">
        <f t="shared" si="264"/>
        <v>0</v>
      </c>
      <c r="Z705" s="29">
        <f t="shared" si="265"/>
        <v>4702</v>
      </c>
    </row>
    <row r="706" spans="1:26" x14ac:dyDescent="0.3">
      <c r="A706" s="5" t="s">
        <v>2130</v>
      </c>
      <c r="B706" s="5" t="s">
        <v>2131</v>
      </c>
      <c r="C706" s="5">
        <v>64</v>
      </c>
      <c r="D706" s="6">
        <v>8245</v>
      </c>
      <c r="E706" s="17">
        <f>VLOOKUP(A706,'forecast data dump'!$A$1:$H$3450,4,FALSE)</f>
        <v>44582</v>
      </c>
      <c r="F706" s="17">
        <f>VLOOKUP(A706,'forecast data dump'!$A$1:$H$3450,5,FALSE)</f>
        <v>44595</v>
      </c>
      <c r="G706" s="42">
        <f>VLOOKUP(A706,'forecast data dump'!$A$1:$H$3450,8,FALSE)</f>
        <v>0</v>
      </c>
      <c r="H706" s="5" t="s">
        <v>3752</v>
      </c>
      <c r="I706" s="39">
        <f t="shared" si="266"/>
        <v>64</v>
      </c>
      <c r="J706" s="5"/>
      <c r="K706" s="5"/>
      <c r="L706" s="33">
        <f t="shared" si="267"/>
        <v>8245</v>
      </c>
      <c r="M706" s="33">
        <f t="shared" si="268"/>
        <v>8245</v>
      </c>
      <c r="N706" s="33">
        <f t="shared" si="269"/>
        <v>0</v>
      </c>
      <c r="T706">
        <v>1</v>
      </c>
      <c r="U706" s="29">
        <f t="shared" si="260"/>
        <v>0</v>
      </c>
      <c r="V706" s="29">
        <f t="shared" si="261"/>
        <v>0</v>
      </c>
      <c r="W706" s="29">
        <f t="shared" si="262"/>
        <v>0</v>
      </c>
      <c r="X706" s="29">
        <f t="shared" si="263"/>
        <v>0</v>
      </c>
      <c r="Y706" s="29">
        <f t="shared" si="264"/>
        <v>0</v>
      </c>
      <c r="Z706" s="29">
        <f t="shared" si="265"/>
        <v>8245</v>
      </c>
    </row>
    <row r="707" spans="1:26" x14ac:dyDescent="0.3">
      <c r="A707" s="5" t="s">
        <v>2130</v>
      </c>
      <c r="B707" s="5" t="s">
        <v>2131</v>
      </c>
      <c r="C707" s="5">
        <v>40</v>
      </c>
      <c r="D707" s="6">
        <v>4129</v>
      </c>
      <c r="E707" s="17">
        <f>VLOOKUP(A707,'forecast data dump'!$A$1:$H$3450,4,FALSE)</f>
        <v>44582</v>
      </c>
      <c r="F707" s="17">
        <f>VLOOKUP(A707,'forecast data dump'!$A$1:$H$3450,5,FALSE)</f>
        <v>44595</v>
      </c>
      <c r="G707" s="42">
        <f>VLOOKUP(A707,'forecast data dump'!$A$1:$H$3450,8,FALSE)</f>
        <v>0</v>
      </c>
      <c r="H707" s="5" t="s">
        <v>3757</v>
      </c>
      <c r="I707" s="39">
        <f t="shared" si="266"/>
        <v>40</v>
      </c>
      <c r="J707" s="5"/>
      <c r="K707" s="5"/>
      <c r="L707" s="33">
        <f t="shared" si="267"/>
        <v>4129</v>
      </c>
      <c r="M707" s="33">
        <f t="shared" si="268"/>
        <v>4129</v>
      </c>
      <c r="N707" s="33">
        <f t="shared" si="269"/>
        <v>0</v>
      </c>
      <c r="T707">
        <v>1</v>
      </c>
      <c r="U707" s="29">
        <f t="shared" si="260"/>
        <v>0</v>
      </c>
      <c r="V707" s="29">
        <f t="shared" si="261"/>
        <v>0</v>
      </c>
      <c r="W707" s="29">
        <f t="shared" si="262"/>
        <v>0</v>
      </c>
      <c r="X707" s="29">
        <f t="shared" si="263"/>
        <v>0</v>
      </c>
      <c r="Y707" s="29">
        <f t="shared" si="264"/>
        <v>0</v>
      </c>
      <c r="Z707" s="29">
        <f t="shared" si="265"/>
        <v>4129</v>
      </c>
    </row>
    <row r="708" spans="1:26" x14ac:dyDescent="0.3">
      <c r="A708" s="5" t="s">
        <v>2130</v>
      </c>
      <c r="B708" s="5" t="s">
        <v>2131</v>
      </c>
      <c r="C708" s="5">
        <v>40</v>
      </c>
      <c r="D708" s="6">
        <v>6067</v>
      </c>
      <c r="E708" s="17">
        <f>VLOOKUP(A708,'forecast data dump'!$A$1:$H$3450,4,FALSE)</f>
        <v>44582</v>
      </c>
      <c r="F708" s="17">
        <f>VLOOKUP(A708,'forecast data dump'!$A$1:$H$3450,5,FALSE)</f>
        <v>44595</v>
      </c>
      <c r="G708" s="42">
        <f>VLOOKUP(A708,'forecast data dump'!$A$1:$H$3450,8,FALSE)</f>
        <v>0</v>
      </c>
      <c r="H708" s="5" t="s">
        <v>3763</v>
      </c>
      <c r="I708" s="39">
        <f t="shared" si="266"/>
        <v>40</v>
      </c>
      <c r="J708" s="5"/>
      <c r="K708" s="5"/>
      <c r="L708" s="33">
        <f t="shared" si="267"/>
        <v>6067</v>
      </c>
      <c r="M708" s="33">
        <f t="shared" si="268"/>
        <v>6067</v>
      </c>
      <c r="N708" s="33">
        <f t="shared" si="269"/>
        <v>0</v>
      </c>
      <c r="T708">
        <v>1</v>
      </c>
      <c r="U708" s="29">
        <f t="shared" si="260"/>
        <v>0</v>
      </c>
      <c r="V708" s="29">
        <f t="shared" si="261"/>
        <v>0</v>
      </c>
      <c r="W708" s="29">
        <f t="shared" si="262"/>
        <v>0</v>
      </c>
      <c r="X708" s="29">
        <f t="shared" si="263"/>
        <v>0</v>
      </c>
      <c r="Y708" s="29">
        <f t="shared" si="264"/>
        <v>0</v>
      </c>
      <c r="Z708" s="29">
        <f t="shared" si="265"/>
        <v>6067</v>
      </c>
    </row>
    <row r="709" spans="1:26" x14ac:dyDescent="0.3">
      <c r="A709" s="5" t="s">
        <v>2132</v>
      </c>
      <c r="B709" s="5" t="s">
        <v>2133</v>
      </c>
      <c r="C709" s="5">
        <v>80</v>
      </c>
      <c r="D709" s="6">
        <v>9686</v>
      </c>
      <c r="E709" s="17">
        <f>VLOOKUP(A709,'forecast data dump'!$A$1:$H$3450,4,FALSE)</f>
        <v>44582</v>
      </c>
      <c r="F709" s="17">
        <f>VLOOKUP(A709,'forecast data dump'!$A$1:$H$3450,5,FALSE)</f>
        <v>44609</v>
      </c>
      <c r="G709" s="42">
        <f>VLOOKUP(A709,'forecast data dump'!$A$1:$H$3450,8,FALSE)</f>
        <v>0</v>
      </c>
      <c r="H709" s="5" t="s">
        <v>3759</v>
      </c>
      <c r="I709" s="39">
        <f t="shared" si="266"/>
        <v>80</v>
      </c>
      <c r="J709" s="5"/>
      <c r="K709" s="5"/>
      <c r="L709" s="33">
        <f t="shared" si="267"/>
        <v>9686</v>
      </c>
      <c r="M709" s="33">
        <f t="shared" si="268"/>
        <v>9686</v>
      </c>
      <c r="N709" s="33">
        <f t="shared" si="269"/>
        <v>0</v>
      </c>
      <c r="T709">
        <v>1</v>
      </c>
      <c r="U709" s="29">
        <f t="shared" si="260"/>
        <v>0</v>
      </c>
      <c r="V709" s="29">
        <f t="shared" si="261"/>
        <v>0</v>
      </c>
      <c r="W709" s="29">
        <f t="shared" si="262"/>
        <v>0</v>
      </c>
      <c r="X709" s="29">
        <f t="shared" si="263"/>
        <v>0</v>
      </c>
      <c r="Y709" s="29">
        <f t="shared" si="264"/>
        <v>0</v>
      </c>
      <c r="Z709" s="29">
        <f t="shared" si="265"/>
        <v>9686</v>
      </c>
    </row>
    <row r="710" spans="1:26" x14ac:dyDescent="0.3">
      <c r="A710" s="5" t="s">
        <v>2132</v>
      </c>
      <c r="B710" s="5" t="s">
        <v>2133</v>
      </c>
      <c r="C710" s="5">
        <v>80</v>
      </c>
      <c r="D710" s="6">
        <v>10615</v>
      </c>
      <c r="E710" s="17">
        <f>VLOOKUP(A710,'forecast data dump'!$A$1:$H$3450,4,FALSE)</f>
        <v>44582</v>
      </c>
      <c r="F710" s="17">
        <f>VLOOKUP(A710,'forecast data dump'!$A$1:$H$3450,5,FALSE)</f>
        <v>44609</v>
      </c>
      <c r="G710" s="42">
        <f>VLOOKUP(A710,'forecast data dump'!$A$1:$H$3450,8,FALSE)</f>
        <v>0</v>
      </c>
      <c r="H710" s="5" t="s">
        <v>3752</v>
      </c>
      <c r="I710" s="39">
        <f t="shared" si="266"/>
        <v>80</v>
      </c>
      <c r="J710" s="5"/>
      <c r="K710" s="5"/>
      <c r="L710" s="33">
        <f t="shared" si="267"/>
        <v>10615</v>
      </c>
      <c r="M710" s="33">
        <f t="shared" si="268"/>
        <v>10615</v>
      </c>
      <c r="N710" s="33">
        <f t="shared" si="269"/>
        <v>0</v>
      </c>
      <c r="T710">
        <v>1</v>
      </c>
      <c r="U710" s="29">
        <f t="shared" si="260"/>
        <v>0</v>
      </c>
      <c r="V710" s="29">
        <f t="shared" si="261"/>
        <v>0</v>
      </c>
      <c r="W710" s="29">
        <f t="shared" si="262"/>
        <v>0</v>
      </c>
      <c r="X710" s="29">
        <f t="shared" si="263"/>
        <v>0</v>
      </c>
      <c r="Y710" s="29">
        <f t="shared" si="264"/>
        <v>0</v>
      </c>
      <c r="Z710" s="29">
        <f t="shared" si="265"/>
        <v>10615</v>
      </c>
    </row>
    <row r="711" spans="1:26" x14ac:dyDescent="0.3">
      <c r="A711" s="5" t="s">
        <v>2132</v>
      </c>
      <c r="B711" s="5" t="s">
        <v>2133</v>
      </c>
      <c r="C711" s="5">
        <v>20</v>
      </c>
      <c r="D711" s="6">
        <v>2126</v>
      </c>
      <c r="E711" s="17">
        <f>VLOOKUP(A711,'forecast data dump'!$A$1:$H$3450,4,FALSE)</f>
        <v>44582</v>
      </c>
      <c r="F711" s="17">
        <f>VLOOKUP(A711,'forecast data dump'!$A$1:$H$3450,5,FALSE)</f>
        <v>44609</v>
      </c>
      <c r="G711" s="42">
        <f>VLOOKUP(A711,'forecast data dump'!$A$1:$H$3450,8,FALSE)</f>
        <v>0</v>
      </c>
      <c r="H711" s="5" t="s">
        <v>3757</v>
      </c>
      <c r="I711" s="39">
        <f t="shared" si="266"/>
        <v>20</v>
      </c>
      <c r="J711" s="5"/>
      <c r="K711" s="5"/>
      <c r="L711" s="33">
        <f t="shared" si="267"/>
        <v>2126</v>
      </c>
      <c r="M711" s="33">
        <f t="shared" si="268"/>
        <v>2126</v>
      </c>
      <c r="N711" s="33">
        <f t="shared" si="269"/>
        <v>0</v>
      </c>
      <c r="T711">
        <v>1</v>
      </c>
      <c r="U711" s="29">
        <f t="shared" si="260"/>
        <v>0</v>
      </c>
      <c r="V711" s="29">
        <f t="shared" si="261"/>
        <v>0</v>
      </c>
      <c r="W711" s="29">
        <f t="shared" si="262"/>
        <v>0</v>
      </c>
      <c r="X711" s="29">
        <f t="shared" si="263"/>
        <v>0</v>
      </c>
      <c r="Y711" s="29">
        <f t="shared" si="264"/>
        <v>0</v>
      </c>
      <c r="Z711" s="29">
        <f t="shared" si="265"/>
        <v>2126</v>
      </c>
    </row>
    <row r="712" spans="1:26" x14ac:dyDescent="0.3">
      <c r="A712" s="5" t="s">
        <v>2132</v>
      </c>
      <c r="B712" s="5" t="s">
        <v>2133</v>
      </c>
      <c r="C712" s="5">
        <v>8</v>
      </c>
      <c r="D712" s="6">
        <v>1250</v>
      </c>
      <c r="E712" s="17">
        <f>VLOOKUP(A712,'forecast data dump'!$A$1:$H$3450,4,FALSE)</f>
        <v>44582</v>
      </c>
      <c r="F712" s="17">
        <f>VLOOKUP(A712,'forecast data dump'!$A$1:$H$3450,5,FALSE)</f>
        <v>44609</v>
      </c>
      <c r="G712" s="42">
        <f>VLOOKUP(A712,'forecast data dump'!$A$1:$H$3450,8,FALSE)</f>
        <v>0</v>
      </c>
      <c r="H712" s="5" t="s">
        <v>3763</v>
      </c>
      <c r="I712" s="39">
        <f t="shared" si="266"/>
        <v>8</v>
      </c>
      <c r="J712" s="5"/>
      <c r="K712" s="5"/>
      <c r="L712" s="33">
        <f t="shared" si="267"/>
        <v>1250</v>
      </c>
      <c r="M712" s="33">
        <f t="shared" si="268"/>
        <v>1250</v>
      </c>
      <c r="N712" s="33">
        <f t="shared" si="269"/>
        <v>0</v>
      </c>
      <c r="T712">
        <v>1</v>
      </c>
      <c r="U712" s="29">
        <f t="shared" si="260"/>
        <v>0</v>
      </c>
      <c r="V712" s="29">
        <f t="shared" si="261"/>
        <v>0</v>
      </c>
      <c r="W712" s="29">
        <f t="shared" si="262"/>
        <v>0</v>
      </c>
      <c r="X712" s="29">
        <f t="shared" si="263"/>
        <v>0</v>
      </c>
      <c r="Y712" s="29">
        <f t="shared" si="264"/>
        <v>0</v>
      </c>
      <c r="Z712" s="29">
        <f t="shared" si="265"/>
        <v>1250</v>
      </c>
    </row>
    <row r="713" spans="1:26" x14ac:dyDescent="0.3">
      <c r="A713" s="5" t="s">
        <v>2134</v>
      </c>
      <c r="B713" s="5" t="s">
        <v>2135</v>
      </c>
      <c r="C713" s="5">
        <v>80</v>
      </c>
      <c r="D713" s="6">
        <v>9686</v>
      </c>
      <c r="E713" s="17">
        <f>VLOOKUP(A713,'forecast data dump'!$A$1:$H$3450,4,FALSE)</f>
        <v>44638</v>
      </c>
      <c r="F713" s="17">
        <f>VLOOKUP(A713,'forecast data dump'!$A$1:$H$3450,5,FALSE)</f>
        <v>44665</v>
      </c>
      <c r="G713" s="42">
        <f>VLOOKUP(A713,'forecast data dump'!$A$1:$H$3450,8,FALSE)</f>
        <v>0</v>
      </c>
      <c r="H713" s="5" t="s">
        <v>3742</v>
      </c>
      <c r="I713" s="39">
        <f t="shared" si="266"/>
        <v>80</v>
      </c>
      <c r="J713" s="5"/>
      <c r="K713" s="5"/>
      <c r="L713" s="33">
        <f t="shared" si="267"/>
        <v>9686</v>
      </c>
      <c r="M713" s="33">
        <f t="shared" si="268"/>
        <v>9686</v>
      </c>
      <c r="N713" s="33">
        <f t="shared" si="269"/>
        <v>0</v>
      </c>
      <c r="T713">
        <v>1</v>
      </c>
      <c r="U713" s="29">
        <f t="shared" si="260"/>
        <v>0</v>
      </c>
      <c r="V713" s="29">
        <f t="shared" si="261"/>
        <v>0</v>
      </c>
      <c r="W713" s="29">
        <f t="shared" si="262"/>
        <v>0</v>
      </c>
      <c r="X713" s="29">
        <f t="shared" si="263"/>
        <v>0</v>
      </c>
      <c r="Y713" s="29">
        <f t="shared" si="264"/>
        <v>0</v>
      </c>
      <c r="Z713" s="29">
        <f t="shared" si="265"/>
        <v>9686</v>
      </c>
    </row>
    <row r="714" spans="1:26" x14ac:dyDescent="0.3">
      <c r="A714" s="5" t="s">
        <v>2134</v>
      </c>
      <c r="B714" s="5" t="s">
        <v>2135</v>
      </c>
      <c r="C714" s="5">
        <v>40</v>
      </c>
      <c r="D714" s="6">
        <v>4843</v>
      </c>
      <c r="E714" s="17">
        <f>VLOOKUP(A714,'forecast data dump'!$A$1:$H$3450,4,FALSE)</f>
        <v>44638</v>
      </c>
      <c r="F714" s="17">
        <f>VLOOKUP(A714,'forecast data dump'!$A$1:$H$3450,5,FALSE)</f>
        <v>44665</v>
      </c>
      <c r="G714" s="42">
        <f>VLOOKUP(A714,'forecast data dump'!$A$1:$H$3450,8,FALSE)</f>
        <v>0</v>
      </c>
      <c r="H714" s="5" t="s">
        <v>3741</v>
      </c>
      <c r="I714" s="39">
        <f t="shared" si="266"/>
        <v>40</v>
      </c>
      <c r="J714" s="5"/>
      <c r="K714" s="5"/>
      <c r="L714" s="33">
        <f t="shared" si="267"/>
        <v>4843</v>
      </c>
      <c r="M714" s="33">
        <f t="shared" si="268"/>
        <v>4843</v>
      </c>
      <c r="N714" s="33">
        <f t="shared" si="269"/>
        <v>0</v>
      </c>
      <c r="T714">
        <v>1</v>
      </c>
      <c r="U714" s="29">
        <f t="shared" si="260"/>
        <v>0</v>
      </c>
      <c r="V714" s="29">
        <f t="shared" si="261"/>
        <v>0</v>
      </c>
      <c r="W714" s="29">
        <f t="shared" si="262"/>
        <v>0</v>
      </c>
      <c r="X714" s="29">
        <f t="shared" si="263"/>
        <v>0</v>
      </c>
      <c r="Y714" s="29">
        <f t="shared" si="264"/>
        <v>0</v>
      </c>
      <c r="Z714" s="29">
        <f t="shared" si="265"/>
        <v>4843</v>
      </c>
    </row>
    <row r="715" spans="1:26" x14ac:dyDescent="0.3">
      <c r="A715" s="5" t="s">
        <v>2134</v>
      </c>
      <c r="B715" s="5" t="s">
        <v>2135</v>
      </c>
      <c r="C715" s="5">
        <v>20</v>
      </c>
      <c r="D715" s="6">
        <v>3125</v>
      </c>
      <c r="E715" s="17">
        <f>VLOOKUP(A715,'forecast data dump'!$A$1:$H$3450,4,FALSE)</f>
        <v>44638</v>
      </c>
      <c r="F715" s="17">
        <f>VLOOKUP(A715,'forecast data dump'!$A$1:$H$3450,5,FALSE)</f>
        <v>44665</v>
      </c>
      <c r="G715" s="42">
        <f>VLOOKUP(A715,'forecast data dump'!$A$1:$H$3450,8,FALSE)</f>
        <v>0</v>
      </c>
      <c r="H715" s="5" t="s">
        <v>3744</v>
      </c>
      <c r="I715" s="39">
        <f t="shared" si="266"/>
        <v>20</v>
      </c>
      <c r="J715" s="5"/>
      <c r="K715" s="5"/>
      <c r="L715" s="33">
        <f t="shared" si="267"/>
        <v>3125</v>
      </c>
      <c r="M715" s="33">
        <f t="shared" si="268"/>
        <v>3125</v>
      </c>
      <c r="N715" s="33">
        <f t="shared" si="269"/>
        <v>0</v>
      </c>
      <c r="T715">
        <v>1</v>
      </c>
      <c r="U715" s="29">
        <f t="shared" si="260"/>
        <v>0</v>
      </c>
      <c r="V715" s="29">
        <f t="shared" si="261"/>
        <v>0</v>
      </c>
      <c r="W715" s="29">
        <f t="shared" si="262"/>
        <v>0</v>
      </c>
      <c r="X715" s="29">
        <f t="shared" si="263"/>
        <v>0</v>
      </c>
      <c r="Y715" s="29">
        <f t="shared" si="264"/>
        <v>0</v>
      </c>
      <c r="Z715" s="29">
        <f t="shared" si="265"/>
        <v>3125</v>
      </c>
    </row>
    <row r="716" spans="1:26" x14ac:dyDescent="0.3">
      <c r="A716" s="5" t="s">
        <v>2134</v>
      </c>
      <c r="B716" s="5" t="s">
        <v>2135</v>
      </c>
      <c r="C716" s="5">
        <v>20</v>
      </c>
      <c r="D716" s="6">
        <v>3125</v>
      </c>
      <c r="E716" s="17">
        <f>VLOOKUP(A716,'forecast data dump'!$A$1:$H$3450,4,FALSE)</f>
        <v>44638</v>
      </c>
      <c r="F716" s="17">
        <f>VLOOKUP(A716,'forecast data dump'!$A$1:$H$3450,5,FALSE)</f>
        <v>44665</v>
      </c>
      <c r="G716" s="42">
        <f>VLOOKUP(A716,'forecast data dump'!$A$1:$H$3450,8,FALSE)</f>
        <v>0</v>
      </c>
      <c r="H716" s="5" t="s">
        <v>3733</v>
      </c>
      <c r="I716" s="39">
        <f t="shared" si="266"/>
        <v>20</v>
      </c>
      <c r="J716" s="5"/>
      <c r="K716" s="5"/>
      <c r="L716" s="33">
        <f t="shared" si="267"/>
        <v>3125</v>
      </c>
      <c r="M716" s="33">
        <f t="shared" si="268"/>
        <v>3125</v>
      </c>
      <c r="N716" s="33">
        <f t="shared" si="269"/>
        <v>0</v>
      </c>
      <c r="T716">
        <v>1</v>
      </c>
      <c r="U716" s="29">
        <f t="shared" si="260"/>
        <v>0</v>
      </c>
      <c r="V716" s="29">
        <f t="shared" si="261"/>
        <v>0</v>
      </c>
      <c r="W716" s="29">
        <f t="shared" si="262"/>
        <v>0</v>
      </c>
      <c r="X716" s="29">
        <f t="shared" si="263"/>
        <v>0</v>
      </c>
      <c r="Y716" s="29">
        <f t="shared" si="264"/>
        <v>0</v>
      </c>
      <c r="Z716" s="29">
        <f t="shared" si="265"/>
        <v>3125</v>
      </c>
    </row>
    <row r="717" spans="1:26" x14ac:dyDescent="0.3">
      <c r="A717" s="5" t="s">
        <v>2136</v>
      </c>
      <c r="B717" s="5" t="s">
        <v>2137</v>
      </c>
      <c r="C717" s="5">
        <v>40</v>
      </c>
      <c r="D717" s="6">
        <v>4253</v>
      </c>
      <c r="E717" s="17">
        <f>VLOOKUP(A717,'forecast data dump'!$A$1:$H$3450,4,FALSE)</f>
        <v>44718</v>
      </c>
      <c r="F717" s="17">
        <f>VLOOKUP(A717,'forecast data dump'!$A$1:$H$3450,5,FALSE)</f>
        <v>44747</v>
      </c>
      <c r="G717" s="42">
        <f>VLOOKUP(A717,'forecast data dump'!$A$1:$H$3450,8,FALSE)</f>
        <v>0</v>
      </c>
      <c r="H717" s="5" t="s">
        <v>3757</v>
      </c>
      <c r="I717" s="39">
        <f t="shared" si="266"/>
        <v>40</v>
      </c>
      <c r="J717" s="5"/>
      <c r="K717" s="5"/>
      <c r="L717" s="33">
        <f t="shared" si="267"/>
        <v>4253</v>
      </c>
      <c r="M717" s="33">
        <f t="shared" si="268"/>
        <v>4253</v>
      </c>
      <c r="N717" s="33">
        <f t="shared" si="269"/>
        <v>0</v>
      </c>
      <c r="T717">
        <v>1</v>
      </c>
      <c r="U717" s="29">
        <f t="shared" si="260"/>
        <v>0</v>
      </c>
      <c r="V717" s="29">
        <f t="shared" si="261"/>
        <v>0</v>
      </c>
      <c r="W717" s="29">
        <f t="shared" si="262"/>
        <v>0</v>
      </c>
      <c r="X717" s="29">
        <f t="shared" si="263"/>
        <v>0</v>
      </c>
      <c r="Y717" s="29">
        <f t="shared" si="264"/>
        <v>0</v>
      </c>
      <c r="Z717" s="29">
        <f t="shared" si="265"/>
        <v>4253</v>
      </c>
    </row>
    <row r="718" spans="1:26" x14ac:dyDescent="0.3">
      <c r="A718" s="5" t="s">
        <v>2138</v>
      </c>
      <c r="B718" s="5" t="s">
        <v>2139</v>
      </c>
      <c r="C718" s="5">
        <v>120</v>
      </c>
      <c r="D718" s="6">
        <v>18748</v>
      </c>
      <c r="E718" s="17">
        <f>VLOOKUP(A718,'forecast data dump'!$A$1:$H$3450,4,FALSE)</f>
        <v>44617</v>
      </c>
      <c r="F718" s="17">
        <f>VLOOKUP(A718,'forecast data dump'!$A$1:$H$3450,5,FALSE)</f>
        <v>44700</v>
      </c>
      <c r="G718" s="42">
        <f>VLOOKUP(A718,'forecast data dump'!$A$1:$H$3450,8,FALSE)</f>
        <v>0</v>
      </c>
      <c r="H718" s="5" t="s">
        <v>3733</v>
      </c>
      <c r="I718" s="39">
        <f t="shared" si="266"/>
        <v>120</v>
      </c>
      <c r="J718" s="5"/>
      <c r="K718" s="5"/>
      <c r="L718" s="33">
        <f t="shared" si="267"/>
        <v>18748</v>
      </c>
      <c r="M718" s="33">
        <f t="shared" si="268"/>
        <v>18748</v>
      </c>
      <c r="N718" s="33">
        <f t="shared" si="269"/>
        <v>0</v>
      </c>
      <c r="T718">
        <v>1</v>
      </c>
      <c r="U718" s="29">
        <f t="shared" si="260"/>
        <v>0</v>
      </c>
      <c r="V718" s="29">
        <f t="shared" si="261"/>
        <v>0</v>
      </c>
      <c r="W718" s="29">
        <f t="shared" si="262"/>
        <v>0</v>
      </c>
      <c r="X718" s="29">
        <f t="shared" si="263"/>
        <v>0</v>
      </c>
      <c r="Y718" s="29">
        <f t="shared" si="264"/>
        <v>0</v>
      </c>
      <c r="Z718" s="29">
        <f t="shared" si="265"/>
        <v>18748</v>
      </c>
    </row>
    <row r="719" spans="1:26" x14ac:dyDescent="0.3">
      <c r="A719" s="5" t="s">
        <v>2138</v>
      </c>
      <c r="B719" s="5" t="s">
        <v>2139</v>
      </c>
      <c r="C719" s="5">
        <v>280</v>
      </c>
      <c r="D719" s="6">
        <v>33900</v>
      </c>
      <c r="E719" s="17">
        <f>VLOOKUP(A719,'forecast data dump'!$A$1:$H$3450,4,FALSE)</f>
        <v>44617</v>
      </c>
      <c r="F719" s="17">
        <f>VLOOKUP(A719,'forecast data dump'!$A$1:$H$3450,5,FALSE)</f>
        <v>44700</v>
      </c>
      <c r="G719" s="42">
        <f>VLOOKUP(A719,'forecast data dump'!$A$1:$H$3450,8,FALSE)</f>
        <v>0</v>
      </c>
      <c r="H719" s="5" t="s">
        <v>3742</v>
      </c>
      <c r="I719" s="39">
        <f t="shared" si="266"/>
        <v>280</v>
      </c>
      <c r="J719" s="5"/>
      <c r="K719" s="5"/>
      <c r="L719" s="33">
        <f t="shared" si="267"/>
        <v>33900</v>
      </c>
      <c r="M719" s="33">
        <f t="shared" si="268"/>
        <v>33900</v>
      </c>
      <c r="N719" s="33">
        <f t="shared" si="269"/>
        <v>0</v>
      </c>
      <c r="T719">
        <v>1</v>
      </c>
      <c r="U719" s="29">
        <f t="shared" si="260"/>
        <v>0</v>
      </c>
      <c r="V719" s="29">
        <f t="shared" si="261"/>
        <v>0</v>
      </c>
      <c r="W719" s="29">
        <f t="shared" si="262"/>
        <v>0</v>
      </c>
      <c r="X719" s="29">
        <f t="shared" si="263"/>
        <v>0</v>
      </c>
      <c r="Y719" s="29">
        <f t="shared" si="264"/>
        <v>0</v>
      </c>
      <c r="Z719" s="29">
        <f t="shared" si="265"/>
        <v>33900</v>
      </c>
    </row>
    <row r="720" spans="1:26" x14ac:dyDescent="0.3">
      <c r="A720" s="5" t="s">
        <v>2138</v>
      </c>
      <c r="B720" s="5" t="s">
        <v>2139</v>
      </c>
      <c r="C720" s="5">
        <v>280</v>
      </c>
      <c r="D720" s="6">
        <v>33900</v>
      </c>
      <c r="E720" s="17">
        <f>VLOOKUP(A720,'forecast data dump'!$A$1:$H$3450,4,FALSE)</f>
        <v>44617</v>
      </c>
      <c r="F720" s="17">
        <f>VLOOKUP(A720,'forecast data dump'!$A$1:$H$3450,5,FALSE)</f>
        <v>44700</v>
      </c>
      <c r="G720" s="42">
        <f>VLOOKUP(A720,'forecast data dump'!$A$1:$H$3450,8,FALSE)</f>
        <v>0</v>
      </c>
      <c r="H720" s="5" t="s">
        <v>3741</v>
      </c>
      <c r="I720" s="39">
        <f t="shared" si="266"/>
        <v>280</v>
      </c>
      <c r="J720" s="5"/>
      <c r="K720" s="5"/>
      <c r="L720" s="33">
        <f t="shared" si="267"/>
        <v>33900</v>
      </c>
      <c r="M720" s="33">
        <f t="shared" si="268"/>
        <v>33900</v>
      </c>
      <c r="N720" s="33">
        <f t="shared" si="269"/>
        <v>0</v>
      </c>
      <c r="T720">
        <v>1</v>
      </c>
      <c r="U720" s="29">
        <f t="shared" si="260"/>
        <v>0</v>
      </c>
      <c r="V720" s="29">
        <f t="shared" si="261"/>
        <v>0</v>
      </c>
      <c r="W720" s="29">
        <f t="shared" si="262"/>
        <v>0</v>
      </c>
      <c r="X720" s="29">
        <f t="shared" si="263"/>
        <v>0</v>
      </c>
      <c r="Y720" s="29">
        <f t="shared" si="264"/>
        <v>0</v>
      </c>
      <c r="Z720" s="29">
        <f t="shared" si="265"/>
        <v>33900</v>
      </c>
    </row>
    <row r="721" spans="1:26" x14ac:dyDescent="0.3">
      <c r="A721" s="5" t="s">
        <v>2138</v>
      </c>
      <c r="B721" s="5" t="s">
        <v>2139</v>
      </c>
      <c r="C721" s="5">
        <v>48</v>
      </c>
      <c r="D721" s="6">
        <v>5811</v>
      </c>
      <c r="E721" s="17">
        <f>VLOOKUP(A721,'forecast data dump'!$A$1:$H$3450,4,FALSE)</f>
        <v>44617</v>
      </c>
      <c r="F721" s="17">
        <f>VLOOKUP(A721,'forecast data dump'!$A$1:$H$3450,5,FALSE)</f>
        <v>44700</v>
      </c>
      <c r="G721" s="42">
        <f>VLOOKUP(A721,'forecast data dump'!$A$1:$H$3450,8,FALSE)</f>
        <v>0</v>
      </c>
      <c r="H721" s="5" t="s">
        <v>3745</v>
      </c>
      <c r="I721" s="39">
        <f t="shared" si="266"/>
        <v>48</v>
      </c>
      <c r="J721" s="5"/>
      <c r="K721" s="5"/>
      <c r="L721" s="33">
        <f t="shared" si="267"/>
        <v>5811</v>
      </c>
      <c r="M721" s="33">
        <f t="shared" si="268"/>
        <v>5811</v>
      </c>
      <c r="N721" s="33">
        <f t="shared" si="269"/>
        <v>0</v>
      </c>
      <c r="T721">
        <v>1</v>
      </c>
      <c r="U721" s="29">
        <f t="shared" si="260"/>
        <v>0</v>
      </c>
      <c r="V721" s="29">
        <f t="shared" si="261"/>
        <v>0</v>
      </c>
      <c r="W721" s="29">
        <f t="shared" si="262"/>
        <v>0</v>
      </c>
      <c r="X721" s="29">
        <f t="shared" si="263"/>
        <v>0</v>
      </c>
      <c r="Y721" s="29">
        <f t="shared" si="264"/>
        <v>0</v>
      </c>
      <c r="Z721" s="29">
        <f t="shared" si="265"/>
        <v>5811</v>
      </c>
    </row>
    <row r="722" spans="1:26" x14ac:dyDescent="0.3">
      <c r="A722" s="5" t="s">
        <v>2138</v>
      </c>
      <c r="B722" s="5" t="s">
        <v>2139</v>
      </c>
      <c r="C722" s="5">
        <v>120</v>
      </c>
      <c r="D722" s="6">
        <v>18748</v>
      </c>
      <c r="E722" s="17">
        <f>VLOOKUP(A722,'forecast data dump'!$A$1:$H$3450,4,FALSE)</f>
        <v>44617</v>
      </c>
      <c r="F722" s="17">
        <f>VLOOKUP(A722,'forecast data dump'!$A$1:$H$3450,5,FALSE)</f>
        <v>44700</v>
      </c>
      <c r="G722" s="42">
        <f>VLOOKUP(A722,'forecast data dump'!$A$1:$H$3450,8,FALSE)</f>
        <v>0</v>
      </c>
      <c r="H722" s="5" t="s">
        <v>3744</v>
      </c>
      <c r="I722" s="39">
        <f t="shared" si="266"/>
        <v>120</v>
      </c>
      <c r="J722" s="5"/>
      <c r="K722" s="5"/>
      <c r="L722" s="33">
        <f t="shared" si="267"/>
        <v>18748</v>
      </c>
      <c r="M722" s="33">
        <f t="shared" si="268"/>
        <v>18748</v>
      </c>
      <c r="N722" s="33">
        <f t="shared" si="269"/>
        <v>0</v>
      </c>
      <c r="T722">
        <v>1</v>
      </c>
      <c r="U722" s="29">
        <f t="shared" si="260"/>
        <v>0</v>
      </c>
      <c r="V722" s="29">
        <f t="shared" si="261"/>
        <v>0</v>
      </c>
      <c r="W722" s="29">
        <f t="shared" si="262"/>
        <v>0</v>
      </c>
      <c r="X722" s="29">
        <f t="shared" si="263"/>
        <v>0</v>
      </c>
      <c r="Y722" s="29">
        <f t="shared" si="264"/>
        <v>0</v>
      </c>
      <c r="Z722" s="29">
        <f t="shared" si="265"/>
        <v>18748</v>
      </c>
    </row>
    <row r="723" spans="1:26" x14ac:dyDescent="0.3">
      <c r="A723" s="5" t="s">
        <v>2140</v>
      </c>
      <c r="B723" s="5" t="s">
        <v>2141</v>
      </c>
      <c r="C723" s="5">
        <v>120</v>
      </c>
      <c r="D723" s="6">
        <v>18748</v>
      </c>
      <c r="E723" s="17">
        <f>VLOOKUP(A723,'forecast data dump'!$A$1:$H$3450,4,FALSE)</f>
        <v>44734</v>
      </c>
      <c r="F723" s="17">
        <f>VLOOKUP(A723,'forecast data dump'!$A$1:$H$3450,5,FALSE)</f>
        <v>44790</v>
      </c>
      <c r="G723" s="42">
        <f>VLOOKUP(A723,'forecast data dump'!$A$1:$H$3450,8,FALSE)</f>
        <v>0</v>
      </c>
      <c r="H723" s="5" t="s">
        <v>3733</v>
      </c>
      <c r="I723" s="39">
        <f t="shared" si="266"/>
        <v>120</v>
      </c>
      <c r="J723" s="5"/>
      <c r="K723" s="5"/>
      <c r="L723" s="33">
        <f t="shared" si="267"/>
        <v>18748</v>
      </c>
      <c r="M723" s="33">
        <f t="shared" si="268"/>
        <v>18748</v>
      </c>
      <c r="N723" s="33">
        <f t="shared" si="269"/>
        <v>0</v>
      </c>
      <c r="T723">
        <v>1</v>
      </c>
      <c r="U723" s="29">
        <f t="shared" si="260"/>
        <v>0</v>
      </c>
      <c r="V723" s="29">
        <f t="shared" si="261"/>
        <v>0</v>
      </c>
      <c r="W723" s="29">
        <f t="shared" si="262"/>
        <v>0</v>
      </c>
      <c r="X723" s="29">
        <f t="shared" si="263"/>
        <v>0</v>
      </c>
      <c r="Y723" s="29">
        <f t="shared" si="264"/>
        <v>0</v>
      </c>
      <c r="Z723" s="29">
        <f t="shared" si="265"/>
        <v>18748</v>
      </c>
    </row>
    <row r="724" spans="1:26" x14ac:dyDescent="0.3">
      <c r="A724" s="5" t="s">
        <v>2140</v>
      </c>
      <c r="B724" s="5" t="s">
        <v>2141</v>
      </c>
      <c r="C724" s="5">
        <v>720</v>
      </c>
      <c r="D724" s="6">
        <v>87172</v>
      </c>
      <c r="E724" s="17">
        <f>VLOOKUP(A724,'forecast data dump'!$A$1:$H$3450,4,FALSE)</f>
        <v>44734</v>
      </c>
      <c r="F724" s="17">
        <f>VLOOKUP(A724,'forecast data dump'!$A$1:$H$3450,5,FALSE)</f>
        <v>44790</v>
      </c>
      <c r="G724" s="42">
        <f>VLOOKUP(A724,'forecast data dump'!$A$1:$H$3450,8,FALSE)</f>
        <v>0</v>
      </c>
      <c r="H724" s="5" t="s">
        <v>3741</v>
      </c>
      <c r="I724" s="39">
        <f t="shared" si="266"/>
        <v>720</v>
      </c>
      <c r="J724" s="5"/>
      <c r="K724" s="5"/>
      <c r="L724" s="33">
        <f t="shared" si="267"/>
        <v>87172</v>
      </c>
      <c r="M724" s="33">
        <f t="shared" si="268"/>
        <v>87172</v>
      </c>
      <c r="N724" s="33">
        <f t="shared" si="269"/>
        <v>0</v>
      </c>
      <c r="T724">
        <v>1</v>
      </c>
      <c r="U724" s="29">
        <f t="shared" si="260"/>
        <v>0</v>
      </c>
      <c r="V724" s="29">
        <f t="shared" si="261"/>
        <v>0</v>
      </c>
      <c r="W724" s="29">
        <f t="shared" si="262"/>
        <v>0</v>
      </c>
      <c r="X724" s="29">
        <f t="shared" si="263"/>
        <v>0</v>
      </c>
      <c r="Y724" s="29">
        <f t="shared" si="264"/>
        <v>0</v>
      </c>
      <c r="Z724" s="29">
        <f t="shared" si="265"/>
        <v>87172</v>
      </c>
    </row>
    <row r="725" spans="1:26" x14ac:dyDescent="0.3">
      <c r="A725" s="5" t="s">
        <v>2140</v>
      </c>
      <c r="B725" s="5" t="s">
        <v>2141</v>
      </c>
      <c r="C725" s="5">
        <v>96</v>
      </c>
      <c r="D725" s="6">
        <v>11623</v>
      </c>
      <c r="E725" s="17">
        <f>VLOOKUP(A725,'forecast data dump'!$A$1:$H$3450,4,FALSE)</f>
        <v>44734</v>
      </c>
      <c r="F725" s="17">
        <f>VLOOKUP(A725,'forecast data dump'!$A$1:$H$3450,5,FALSE)</f>
        <v>44790</v>
      </c>
      <c r="G725" s="42">
        <f>VLOOKUP(A725,'forecast data dump'!$A$1:$H$3450,8,FALSE)</f>
        <v>0</v>
      </c>
      <c r="H725" s="5" t="s">
        <v>3745</v>
      </c>
      <c r="I725" s="39">
        <f t="shared" si="266"/>
        <v>96</v>
      </c>
      <c r="J725" s="5"/>
      <c r="K725" s="5"/>
      <c r="L725" s="33">
        <f t="shared" si="267"/>
        <v>11623</v>
      </c>
      <c r="M725" s="33">
        <f t="shared" si="268"/>
        <v>11623</v>
      </c>
      <c r="N725" s="33">
        <f t="shared" si="269"/>
        <v>0</v>
      </c>
      <c r="T725">
        <v>1</v>
      </c>
      <c r="U725" s="29">
        <f t="shared" si="260"/>
        <v>0</v>
      </c>
      <c r="V725" s="29">
        <f t="shared" si="261"/>
        <v>0</v>
      </c>
      <c r="W725" s="29">
        <f t="shared" si="262"/>
        <v>0</v>
      </c>
      <c r="X725" s="29">
        <f t="shared" si="263"/>
        <v>0</v>
      </c>
      <c r="Y725" s="29">
        <f t="shared" si="264"/>
        <v>0</v>
      </c>
      <c r="Z725" s="29">
        <f t="shared" si="265"/>
        <v>11623</v>
      </c>
    </row>
    <row r="726" spans="1:26" x14ac:dyDescent="0.3">
      <c r="A726" s="5" t="s">
        <v>2142</v>
      </c>
      <c r="B726" s="5" t="s">
        <v>2143</v>
      </c>
      <c r="C726" s="5">
        <v>80</v>
      </c>
      <c r="D726" s="6">
        <v>12499</v>
      </c>
      <c r="E726" s="17">
        <f>VLOOKUP(A726,'forecast data dump'!$A$1:$H$3450,4,FALSE)</f>
        <v>44705</v>
      </c>
      <c r="F726" s="17">
        <f>VLOOKUP(A726,'forecast data dump'!$A$1:$H$3450,5,FALSE)</f>
        <v>44755</v>
      </c>
      <c r="G726" s="42">
        <f>VLOOKUP(A726,'forecast data dump'!$A$1:$H$3450,8,FALSE)</f>
        <v>0</v>
      </c>
      <c r="H726" s="5" t="s">
        <v>3733</v>
      </c>
      <c r="I726" s="39">
        <f t="shared" si="266"/>
        <v>80</v>
      </c>
      <c r="J726" s="5"/>
      <c r="K726" s="5"/>
      <c r="L726" s="33">
        <f t="shared" si="267"/>
        <v>12499</v>
      </c>
      <c r="M726" s="33">
        <f t="shared" si="268"/>
        <v>12499</v>
      </c>
      <c r="N726" s="33">
        <f t="shared" si="269"/>
        <v>0</v>
      </c>
      <c r="T726">
        <v>1</v>
      </c>
      <c r="U726" s="29">
        <f t="shared" si="260"/>
        <v>0</v>
      </c>
      <c r="V726" s="29">
        <f t="shared" si="261"/>
        <v>0</v>
      </c>
      <c r="W726" s="29">
        <f t="shared" si="262"/>
        <v>0</v>
      </c>
      <c r="X726" s="29">
        <f t="shared" si="263"/>
        <v>0</v>
      </c>
      <c r="Y726" s="29">
        <f t="shared" si="264"/>
        <v>0</v>
      </c>
      <c r="Z726" s="29">
        <f t="shared" si="265"/>
        <v>12499</v>
      </c>
    </row>
    <row r="727" spans="1:26" x14ac:dyDescent="0.3">
      <c r="A727" s="5" t="s">
        <v>2142</v>
      </c>
      <c r="B727" s="5" t="s">
        <v>2143</v>
      </c>
      <c r="C727" s="5">
        <v>160</v>
      </c>
      <c r="D727" s="6">
        <v>19372</v>
      </c>
      <c r="E727" s="17">
        <f>VLOOKUP(A727,'forecast data dump'!$A$1:$H$3450,4,FALSE)</f>
        <v>44705</v>
      </c>
      <c r="F727" s="17">
        <f>VLOOKUP(A727,'forecast data dump'!$A$1:$H$3450,5,FALSE)</f>
        <v>44755</v>
      </c>
      <c r="G727" s="42">
        <f>VLOOKUP(A727,'forecast data dump'!$A$1:$H$3450,8,FALSE)</f>
        <v>0</v>
      </c>
      <c r="H727" s="5" t="s">
        <v>3742</v>
      </c>
      <c r="I727" s="39">
        <f t="shared" si="266"/>
        <v>160</v>
      </c>
      <c r="J727" s="5"/>
      <c r="K727" s="5"/>
      <c r="L727" s="33">
        <f t="shared" si="267"/>
        <v>19372</v>
      </c>
      <c r="M727" s="33">
        <f t="shared" si="268"/>
        <v>19372</v>
      </c>
      <c r="N727" s="33">
        <f t="shared" si="269"/>
        <v>0</v>
      </c>
      <c r="T727">
        <v>1</v>
      </c>
      <c r="U727" s="29">
        <f t="shared" si="260"/>
        <v>0</v>
      </c>
      <c r="V727" s="29">
        <f t="shared" si="261"/>
        <v>0</v>
      </c>
      <c r="W727" s="29">
        <f t="shared" si="262"/>
        <v>0</v>
      </c>
      <c r="X727" s="29">
        <f t="shared" si="263"/>
        <v>0</v>
      </c>
      <c r="Y727" s="29">
        <f t="shared" si="264"/>
        <v>0</v>
      </c>
      <c r="Z727" s="29">
        <f t="shared" si="265"/>
        <v>19372</v>
      </c>
    </row>
    <row r="728" spans="1:26" x14ac:dyDescent="0.3">
      <c r="A728" s="5" t="s">
        <v>2142</v>
      </c>
      <c r="B728" s="5" t="s">
        <v>2143</v>
      </c>
      <c r="C728" s="5">
        <v>160</v>
      </c>
      <c r="D728" s="6">
        <v>19372</v>
      </c>
      <c r="E728" s="17">
        <f>VLOOKUP(A728,'forecast data dump'!$A$1:$H$3450,4,FALSE)</f>
        <v>44705</v>
      </c>
      <c r="F728" s="17">
        <f>VLOOKUP(A728,'forecast data dump'!$A$1:$H$3450,5,FALSE)</f>
        <v>44755</v>
      </c>
      <c r="G728" s="42">
        <f>VLOOKUP(A728,'forecast data dump'!$A$1:$H$3450,8,FALSE)</f>
        <v>0</v>
      </c>
      <c r="H728" s="5" t="s">
        <v>3741</v>
      </c>
      <c r="I728" s="39">
        <f t="shared" si="266"/>
        <v>160</v>
      </c>
      <c r="J728" s="5"/>
      <c r="K728" s="5"/>
      <c r="L728" s="33">
        <f t="shared" si="267"/>
        <v>19372</v>
      </c>
      <c r="M728" s="33">
        <f t="shared" si="268"/>
        <v>19372</v>
      </c>
      <c r="N728" s="33">
        <f t="shared" si="269"/>
        <v>0</v>
      </c>
      <c r="T728">
        <v>1</v>
      </c>
      <c r="U728" s="29">
        <f t="shared" si="260"/>
        <v>0</v>
      </c>
      <c r="V728" s="29">
        <f t="shared" si="261"/>
        <v>0</v>
      </c>
      <c r="W728" s="29">
        <f t="shared" si="262"/>
        <v>0</v>
      </c>
      <c r="X728" s="29">
        <f t="shared" si="263"/>
        <v>0</v>
      </c>
      <c r="Y728" s="29">
        <f t="shared" si="264"/>
        <v>0</v>
      </c>
      <c r="Z728" s="29">
        <f t="shared" si="265"/>
        <v>19372</v>
      </c>
    </row>
    <row r="729" spans="1:26" x14ac:dyDescent="0.3">
      <c r="A729" s="5" t="s">
        <v>2142</v>
      </c>
      <c r="B729" s="5" t="s">
        <v>2143</v>
      </c>
      <c r="C729" s="5">
        <v>40</v>
      </c>
      <c r="D729" s="6">
        <v>4843</v>
      </c>
      <c r="E729" s="17">
        <f>VLOOKUP(A729,'forecast data dump'!$A$1:$H$3450,4,FALSE)</f>
        <v>44705</v>
      </c>
      <c r="F729" s="17">
        <f>VLOOKUP(A729,'forecast data dump'!$A$1:$H$3450,5,FALSE)</f>
        <v>44755</v>
      </c>
      <c r="G729" s="42">
        <f>VLOOKUP(A729,'forecast data dump'!$A$1:$H$3450,8,FALSE)</f>
        <v>0</v>
      </c>
      <c r="H729" s="5" t="s">
        <v>3745</v>
      </c>
      <c r="I729" s="39">
        <f t="shared" si="266"/>
        <v>40</v>
      </c>
      <c r="J729" s="5"/>
      <c r="K729" s="5"/>
      <c r="L729" s="33">
        <f t="shared" si="267"/>
        <v>4843</v>
      </c>
      <c r="M729" s="33">
        <f t="shared" si="268"/>
        <v>4843</v>
      </c>
      <c r="N729" s="33">
        <f t="shared" si="269"/>
        <v>0</v>
      </c>
      <c r="T729">
        <v>1</v>
      </c>
      <c r="U729" s="29">
        <f t="shared" si="260"/>
        <v>0</v>
      </c>
      <c r="V729" s="29">
        <f t="shared" si="261"/>
        <v>0</v>
      </c>
      <c r="W729" s="29">
        <f t="shared" si="262"/>
        <v>0</v>
      </c>
      <c r="X729" s="29">
        <f t="shared" si="263"/>
        <v>0</v>
      </c>
      <c r="Y729" s="29">
        <f t="shared" si="264"/>
        <v>0</v>
      </c>
      <c r="Z729" s="29">
        <f t="shared" si="265"/>
        <v>4843</v>
      </c>
    </row>
    <row r="730" spans="1:26" x14ac:dyDescent="0.3">
      <c r="A730" s="5" t="s">
        <v>2142</v>
      </c>
      <c r="B730" s="5" t="s">
        <v>2143</v>
      </c>
      <c r="C730" s="5">
        <v>80</v>
      </c>
      <c r="D730" s="6">
        <v>12499</v>
      </c>
      <c r="E730" s="17">
        <f>VLOOKUP(A730,'forecast data dump'!$A$1:$H$3450,4,FALSE)</f>
        <v>44705</v>
      </c>
      <c r="F730" s="17">
        <f>VLOOKUP(A730,'forecast data dump'!$A$1:$H$3450,5,FALSE)</f>
        <v>44755</v>
      </c>
      <c r="G730" s="42">
        <f>VLOOKUP(A730,'forecast data dump'!$A$1:$H$3450,8,FALSE)</f>
        <v>0</v>
      </c>
      <c r="H730" s="5" t="s">
        <v>3744</v>
      </c>
      <c r="I730" s="39">
        <f t="shared" si="266"/>
        <v>80</v>
      </c>
      <c r="J730" s="5"/>
      <c r="K730" s="5"/>
      <c r="L730" s="33">
        <f t="shared" si="267"/>
        <v>12499</v>
      </c>
      <c r="M730" s="33">
        <f t="shared" si="268"/>
        <v>12499</v>
      </c>
      <c r="N730" s="33">
        <f t="shared" si="269"/>
        <v>0</v>
      </c>
      <c r="T730">
        <v>1</v>
      </c>
      <c r="U730" s="29">
        <f t="shared" si="260"/>
        <v>0</v>
      </c>
      <c r="V730" s="29">
        <f t="shared" si="261"/>
        <v>0</v>
      </c>
      <c r="W730" s="29">
        <f t="shared" si="262"/>
        <v>0</v>
      </c>
      <c r="X730" s="29">
        <f t="shared" si="263"/>
        <v>0</v>
      </c>
      <c r="Y730" s="29">
        <f t="shared" si="264"/>
        <v>0</v>
      </c>
      <c r="Z730" s="29">
        <f t="shared" si="265"/>
        <v>12499</v>
      </c>
    </row>
    <row r="731" spans="1:26" x14ac:dyDescent="0.3">
      <c r="A731" s="5" t="s">
        <v>2144</v>
      </c>
      <c r="B731" s="5" t="s">
        <v>2145</v>
      </c>
      <c r="C731" s="5">
        <v>500</v>
      </c>
      <c r="D731" s="6">
        <v>589</v>
      </c>
      <c r="E731" s="17">
        <f>VLOOKUP(A731,'forecast data dump'!$A$1:$H$3450,4,FALSE)</f>
        <v>44615</v>
      </c>
      <c r="F731" s="17">
        <f>VLOOKUP(A731,'forecast data dump'!$A$1:$H$3450,5,FALSE)</f>
        <v>44642</v>
      </c>
      <c r="G731" s="42">
        <f>VLOOKUP(A731,'forecast data dump'!$A$1:$H$3450,8,FALSE)</f>
        <v>0</v>
      </c>
      <c r="H731" s="5" t="s">
        <v>3762</v>
      </c>
      <c r="I731" s="39">
        <f t="shared" si="266"/>
        <v>500</v>
      </c>
      <c r="J731" s="5"/>
      <c r="K731" s="5"/>
      <c r="L731" s="33">
        <f t="shared" si="267"/>
        <v>589</v>
      </c>
      <c r="M731" s="33">
        <f t="shared" si="268"/>
        <v>589</v>
      </c>
      <c r="N731" s="33">
        <f t="shared" si="269"/>
        <v>0</v>
      </c>
      <c r="Q731">
        <v>1</v>
      </c>
      <c r="U731" s="29">
        <f t="shared" si="260"/>
        <v>0</v>
      </c>
      <c r="V731" s="29">
        <f t="shared" si="261"/>
        <v>0</v>
      </c>
      <c r="W731" s="29">
        <f t="shared" si="262"/>
        <v>589</v>
      </c>
      <c r="X731" s="29">
        <f t="shared" si="263"/>
        <v>0</v>
      </c>
      <c r="Y731" s="29">
        <f t="shared" si="264"/>
        <v>0</v>
      </c>
      <c r="Z731" s="29">
        <f t="shared" si="265"/>
        <v>0</v>
      </c>
    </row>
    <row r="732" spans="1:26" x14ac:dyDescent="0.3">
      <c r="A732" s="5" t="s">
        <v>2148</v>
      </c>
      <c r="B732" s="5" t="s">
        <v>2149</v>
      </c>
      <c r="C732" s="5">
        <v>500</v>
      </c>
      <c r="D732" s="6">
        <v>592</v>
      </c>
      <c r="E732" s="17">
        <f>VLOOKUP(A732,'forecast data dump'!$A$1:$H$3450,4,FALSE)</f>
        <v>44774</v>
      </c>
      <c r="F732" s="17">
        <f>VLOOKUP(A732,'forecast data dump'!$A$1:$H$3450,5,FALSE)</f>
        <v>44782</v>
      </c>
      <c r="G732" s="42">
        <f>VLOOKUP(A732,'forecast data dump'!$A$1:$H$3450,8,FALSE)</f>
        <v>0</v>
      </c>
      <c r="H732" s="5" t="s">
        <v>3762</v>
      </c>
      <c r="I732" s="39">
        <f t="shared" si="266"/>
        <v>500</v>
      </c>
      <c r="J732" s="5"/>
      <c r="K732" s="5"/>
      <c r="L732" s="33">
        <f t="shared" si="267"/>
        <v>592</v>
      </c>
      <c r="M732" s="33">
        <f t="shared" si="268"/>
        <v>592</v>
      </c>
      <c r="N732" s="33">
        <f t="shared" si="269"/>
        <v>0</v>
      </c>
      <c r="Q732">
        <v>1</v>
      </c>
      <c r="U732" s="29">
        <f t="shared" si="260"/>
        <v>0</v>
      </c>
      <c r="V732" s="29">
        <f t="shared" si="261"/>
        <v>0</v>
      </c>
      <c r="W732" s="29">
        <f t="shared" si="262"/>
        <v>592</v>
      </c>
      <c r="X732" s="29">
        <f t="shared" si="263"/>
        <v>0</v>
      </c>
      <c r="Y732" s="29">
        <f t="shared" si="264"/>
        <v>0</v>
      </c>
      <c r="Z732" s="29">
        <f t="shared" si="265"/>
        <v>0</v>
      </c>
    </row>
    <row r="733" spans="1:26" x14ac:dyDescent="0.3">
      <c r="A733" s="5" t="s">
        <v>2150</v>
      </c>
      <c r="B733" s="5" t="s">
        <v>2151</v>
      </c>
      <c r="C733" s="5">
        <v>500</v>
      </c>
      <c r="D733" s="6">
        <v>580</v>
      </c>
      <c r="E733" s="17">
        <f>VLOOKUP(A733,'forecast data dump'!$A$1:$H$3450,4,FALSE)</f>
        <v>44582</v>
      </c>
      <c r="F733" s="17">
        <f>VLOOKUP(A733,'forecast data dump'!$A$1:$H$3450,5,FALSE)</f>
        <v>44595</v>
      </c>
      <c r="G733" s="42">
        <f>VLOOKUP(A733,'forecast data dump'!$A$1:$H$3450,8,FALSE)</f>
        <v>0</v>
      </c>
      <c r="H733" s="5" t="s">
        <v>3762</v>
      </c>
      <c r="I733" s="39">
        <f t="shared" si="266"/>
        <v>500</v>
      </c>
      <c r="J733" s="5"/>
      <c r="K733" s="5"/>
      <c r="L733" s="33">
        <f t="shared" si="267"/>
        <v>580</v>
      </c>
      <c r="M733" s="33">
        <f t="shared" si="268"/>
        <v>580</v>
      </c>
      <c r="N733" s="33">
        <f t="shared" si="269"/>
        <v>0</v>
      </c>
      <c r="Q733">
        <v>1</v>
      </c>
      <c r="U733" s="29">
        <f t="shared" si="260"/>
        <v>0</v>
      </c>
      <c r="V733" s="29">
        <f t="shared" si="261"/>
        <v>0</v>
      </c>
      <c r="W733" s="29">
        <f t="shared" si="262"/>
        <v>580</v>
      </c>
      <c r="X733" s="29">
        <f t="shared" si="263"/>
        <v>0</v>
      </c>
      <c r="Y733" s="29">
        <f t="shared" si="264"/>
        <v>0</v>
      </c>
      <c r="Z733" s="29">
        <f t="shared" si="265"/>
        <v>0</v>
      </c>
    </row>
    <row r="734" spans="1:26" x14ac:dyDescent="0.3">
      <c r="A734" s="5" t="s">
        <v>2152</v>
      </c>
      <c r="B734" s="5" t="s">
        <v>2153</v>
      </c>
      <c r="C734" s="5">
        <v>500</v>
      </c>
      <c r="D734" s="6">
        <v>592</v>
      </c>
      <c r="E734" s="17">
        <f>VLOOKUP(A734,'forecast data dump'!$A$1:$H$3450,4,FALSE)</f>
        <v>44582</v>
      </c>
      <c r="F734" s="17">
        <f>VLOOKUP(A734,'forecast data dump'!$A$1:$H$3450,5,FALSE)</f>
        <v>44609</v>
      </c>
      <c r="G734" s="42">
        <f>VLOOKUP(A734,'forecast data dump'!$A$1:$H$3450,8,FALSE)</f>
        <v>0</v>
      </c>
      <c r="H734" s="5" t="s">
        <v>3762</v>
      </c>
      <c r="I734" s="39">
        <f t="shared" si="266"/>
        <v>500</v>
      </c>
      <c r="J734" s="5"/>
      <c r="K734" s="5"/>
      <c r="L734" s="33">
        <f t="shared" si="267"/>
        <v>592</v>
      </c>
      <c r="M734" s="33">
        <f t="shared" si="268"/>
        <v>592</v>
      </c>
      <c r="N734" s="33">
        <f t="shared" si="269"/>
        <v>0</v>
      </c>
      <c r="Q734">
        <v>1</v>
      </c>
      <c r="U734" s="29">
        <f t="shared" si="260"/>
        <v>0</v>
      </c>
      <c r="V734" s="29">
        <f t="shared" si="261"/>
        <v>0</v>
      </c>
      <c r="W734" s="29">
        <f t="shared" si="262"/>
        <v>592</v>
      </c>
      <c r="X734" s="29">
        <f t="shared" si="263"/>
        <v>0</v>
      </c>
      <c r="Y734" s="29">
        <f t="shared" si="264"/>
        <v>0</v>
      </c>
      <c r="Z734" s="29">
        <f t="shared" si="265"/>
        <v>0</v>
      </c>
    </row>
    <row r="735" spans="1:26" x14ac:dyDescent="0.3">
      <c r="A735" s="5" t="s">
        <v>2154</v>
      </c>
      <c r="B735" s="5" t="s">
        <v>2155</v>
      </c>
      <c r="C735" s="5">
        <v>500</v>
      </c>
      <c r="D735" s="6">
        <v>592</v>
      </c>
      <c r="E735" s="17">
        <f>VLOOKUP(A735,'forecast data dump'!$A$1:$H$3450,4,FALSE)</f>
        <v>44638</v>
      </c>
      <c r="F735" s="17">
        <f>VLOOKUP(A735,'forecast data dump'!$A$1:$H$3450,5,FALSE)</f>
        <v>44665</v>
      </c>
      <c r="G735" s="42">
        <f>VLOOKUP(A735,'forecast data dump'!$A$1:$H$3450,8,FALSE)</f>
        <v>0</v>
      </c>
      <c r="H735" s="5" t="s">
        <v>3762</v>
      </c>
      <c r="I735" s="39">
        <f t="shared" si="266"/>
        <v>500</v>
      </c>
      <c r="J735" s="5"/>
      <c r="K735" s="5"/>
      <c r="L735" s="33">
        <f t="shared" si="267"/>
        <v>592</v>
      </c>
      <c r="M735" s="33">
        <f t="shared" si="268"/>
        <v>592</v>
      </c>
      <c r="N735" s="33">
        <f t="shared" si="269"/>
        <v>0</v>
      </c>
      <c r="Q735">
        <v>1</v>
      </c>
      <c r="U735" s="29">
        <f t="shared" si="260"/>
        <v>0</v>
      </c>
      <c r="V735" s="29">
        <f t="shared" si="261"/>
        <v>0</v>
      </c>
      <c r="W735" s="29">
        <f t="shared" si="262"/>
        <v>592</v>
      </c>
      <c r="X735" s="29">
        <f t="shared" si="263"/>
        <v>0</v>
      </c>
      <c r="Y735" s="29">
        <f t="shared" si="264"/>
        <v>0</v>
      </c>
      <c r="Z735" s="29">
        <f t="shared" si="265"/>
        <v>0</v>
      </c>
    </row>
    <row r="736" spans="1:26" x14ac:dyDescent="0.3">
      <c r="A736" s="5" t="s">
        <v>2156</v>
      </c>
      <c r="B736" s="5" t="s">
        <v>2157</v>
      </c>
      <c r="C736" s="5">
        <v>500</v>
      </c>
      <c r="D736" s="6">
        <v>592</v>
      </c>
      <c r="E736" s="17">
        <f>VLOOKUP(A736,'forecast data dump'!$A$1:$H$3450,4,FALSE)</f>
        <v>44718</v>
      </c>
      <c r="F736" s="17">
        <f>VLOOKUP(A736,'forecast data dump'!$A$1:$H$3450,5,FALSE)</f>
        <v>44747</v>
      </c>
      <c r="G736" s="42">
        <f>VLOOKUP(A736,'forecast data dump'!$A$1:$H$3450,8,FALSE)</f>
        <v>0</v>
      </c>
      <c r="H736" s="5" t="s">
        <v>3762</v>
      </c>
      <c r="I736" s="39">
        <f t="shared" si="266"/>
        <v>500</v>
      </c>
      <c r="J736" s="5"/>
      <c r="K736" s="5"/>
      <c r="L736" s="33">
        <f t="shared" si="267"/>
        <v>592</v>
      </c>
      <c r="M736" s="33">
        <f t="shared" si="268"/>
        <v>592</v>
      </c>
      <c r="N736" s="33">
        <f t="shared" si="269"/>
        <v>0</v>
      </c>
      <c r="Q736">
        <v>1</v>
      </c>
      <c r="U736" s="29">
        <f t="shared" si="260"/>
        <v>0</v>
      </c>
      <c r="V736" s="29">
        <f t="shared" si="261"/>
        <v>0</v>
      </c>
      <c r="W736" s="29">
        <f t="shared" si="262"/>
        <v>592</v>
      </c>
      <c r="X736" s="29">
        <f t="shared" si="263"/>
        <v>0</v>
      </c>
      <c r="Y736" s="29">
        <f t="shared" si="264"/>
        <v>0</v>
      </c>
      <c r="Z736" s="29">
        <f t="shared" si="265"/>
        <v>0</v>
      </c>
    </row>
    <row r="737" spans="1:26" x14ac:dyDescent="0.3">
      <c r="A737" s="5" t="s">
        <v>2158</v>
      </c>
      <c r="B737" s="5" t="s">
        <v>2159</v>
      </c>
      <c r="C737" s="5">
        <v>500</v>
      </c>
      <c r="D737" s="6">
        <v>592</v>
      </c>
      <c r="E737" s="17">
        <f>VLOOKUP(A737,'forecast data dump'!$A$1:$H$3450,4,FALSE)</f>
        <v>44617</v>
      </c>
      <c r="F737" s="17">
        <f>VLOOKUP(A737,'forecast data dump'!$A$1:$H$3450,5,FALSE)</f>
        <v>44700</v>
      </c>
      <c r="G737" s="42">
        <f>VLOOKUP(A737,'forecast data dump'!$A$1:$H$3450,8,FALSE)</f>
        <v>0</v>
      </c>
      <c r="H737" s="5" t="s">
        <v>3762</v>
      </c>
      <c r="I737" s="39">
        <f t="shared" si="266"/>
        <v>500</v>
      </c>
      <c r="J737" s="5"/>
      <c r="K737" s="5"/>
      <c r="L737" s="33">
        <f t="shared" si="267"/>
        <v>592</v>
      </c>
      <c r="M737" s="33">
        <f t="shared" si="268"/>
        <v>592</v>
      </c>
      <c r="N737" s="33">
        <f t="shared" si="269"/>
        <v>0</v>
      </c>
      <c r="Q737">
        <v>1</v>
      </c>
      <c r="U737" s="29">
        <f t="shared" si="260"/>
        <v>0</v>
      </c>
      <c r="V737" s="29">
        <f t="shared" si="261"/>
        <v>0</v>
      </c>
      <c r="W737" s="29">
        <f t="shared" si="262"/>
        <v>592</v>
      </c>
      <c r="X737" s="29">
        <f t="shared" si="263"/>
        <v>0</v>
      </c>
      <c r="Y737" s="29">
        <f t="shared" si="264"/>
        <v>0</v>
      </c>
      <c r="Z737" s="29">
        <f t="shared" si="265"/>
        <v>0</v>
      </c>
    </row>
    <row r="738" spans="1:26" x14ac:dyDescent="0.3">
      <c r="A738" s="5" t="s">
        <v>2160</v>
      </c>
      <c r="B738" s="5" t="s">
        <v>2161</v>
      </c>
      <c r="C738" s="5">
        <v>500</v>
      </c>
      <c r="D738" s="6">
        <v>592</v>
      </c>
      <c r="E738" s="17">
        <f>VLOOKUP(A738,'forecast data dump'!$A$1:$H$3450,4,FALSE)</f>
        <v>44734</v>
      </c>
      <c r="F738" s="17">
        <f>VLOOKUP(A738,'forecast data dump'!$A$1:$H$3450,5,FALSE)</f>
        <v>44790</v>
      </c>
      <c r="G738" s="42">
        <f>VLOOKUP(A738,'forecast data dump'!$A$1:$H$3450,8,FALSE)</f>
        <v>0</v>
      </c>
      <c r="H738" s="5" t="s">
        <v>3762</v>
      </c>
      <c r="I738" s="39">
        <f t="shared" si="266"/>
        <v>500</v>
      </c>
      <c r="J738" s="5"/>
      <c r="K738" s="5"/>
      <c r="L738" s="33">
        <f t="shared" si="267"/>
        <v>592</v>
      </c>
      <c r="M738" s="33">
        <f t="shared" si="268"/>
        <v>592</v>
      </c>
      <c r="N738" s="33">
        <f t="shared" si="269"/>
        <v>0</v>
      </c>
      <c r="Q738">
        <v>1</v>
      </c>
      <c r="U738" s="29">
        <f t="shared" si="260"/>
        <v>0</v>
      </c>
      <c r="V738" s="29">
        <f t="shared" si="261"/>
        <v>0</v>
      </c>
      <c r="W738" s="29">
        <f t="shared" si="262"/>
        <v>592</v>
      </c>
      <c r="X738" s="29">
        <f t="shared" si="263"/>
        <v>0</v>
      </c>
      <c r="Y738" s="29">
        <f t="shared" si="264"/>
        <v>0</v>
      </c>
      <c r="Z738" s="29">
        <f t="shared" si="265"/>
        <v>0</v>
      </c>
    </row>
    <row r="739" spans="1:26" x14ac:dyDescent="0.3">
      <c r="A739" s="5" t="s">
        <v>2162</v>
      </c>
      <c r="B739" s="5" t="s">
        <v>2163</v>
      </c>
      <c r="C739" s="5">
        <v>500</v>
      </c>
      <c r="D739" s="6">
        <v>592</v>
      </c>
      <c r="E739" s="17">
        <f>VLOOKUP(A739,'forecast data dump'!$A$1:$H$3450,4,FALSE)</f>
        <v>44705</v>
      </c>
      <c r="F739" s="17">
        <f>VLOOKUP(A739,'forecast data dump'!$A$1:$H$3450,5,FALSE)</f>
        <v>44755</v>
      </c>
      <c r="G739" s="42">
        <f>VLOOKUP(A739,'forecast data dump'!$A$1:$H$3450,8,FALSE)</f>
        <v>0</v>
      </c>
      <c r="H739" s="5" t="s">
        <v>3762</v>
      </c>
      <c r="I739" s="39">
        <f t="shared" si="266"/>
        <v>500</v>
      </c>
      <c r="J739" s="5"/>
      <c r="K739" s="5"/>
      <c r="L739" s="33">
        <f t="shared" si="267"/>
        <v>592</v>
      </c>
      <c r="M739" s="33">
        <f t="shared" si="268"/>
        <v>592</v>
      </c>
      <c r="N739" s="33">
        <f t="shared" si="269"/>
        <v>0</v>
      </c>
      <c r="Q739">
        <v>1</v>
      </c>
      <c r="U739" s="29">
        <f t="shared" si="260"/>
        <v>0</v>
      </c>
      <c r="V739" s="29">
        <f t="shared" si="261"/>
        <v>0</v>
      </c>
      <c r="W739" s="29">
        <f t="shared" si="262"/>
        <v>592</v>
      </c>
      <c r="X739" s="29">
        <f t="shared" si="263"/>
        <v>0</v>
      </c>
      <c r="Y739" s="29">
        <f t="shared" si="264"/>
        <v>0</v>
      </c>
      <c r="Z739" s="29">
        <f t="shared" si="265"/>
        <v>0</v>
      </c>
    </row>
    <row r="740" spans="1:26" x14ac:dyDescent="0.3">
      <c r="A740" s="5" t="s">
        <v>2164</v>
      </c>
      <c r="B740" s="5" t="s">
        <v>2165</v>
      </c>
      <c r="C740" s="5">
        <v>80</v>
      </c>
      <c r="D740" s="6">
        <v>9404</v>
      </c>
      <c r="E740" s="17">
        <f>VLOOKUP(A740,'forecast data dump'!$A$1:$H$3450,4,FALSE)</f>
        <v>44645</v>
      </c>
      <c r="F740" s="17">
        <f>VLOOKUP(A740,'forecast data dump'!$A$1:$H$3450,5,FALSE)</f>
        <v>44672</v>
      </c>
      <c r="G740" s="42">
        <f>VLOOKUP(A740,'forecast data dump'!$A$1:$H$3450,8,FALSE)</f>
        <v>0</v>
      </c>
      <c r="H740" s="5" t="s">
        <v>3759</v>
      </c>
      <c r="I740" s="39">
        <f t="shared" si="266"/>
        <v>80</v>
      </c>
      <c r="J740" s="5"/>
      <c r="K740" s="5"/>
      <c r="L740" s="33">
        <f t="shared" si="267"/>
        <v>9404</v>
      </c>
      <c r="M740" s="33">
        <f t="shared" si="268"/>
        <v>9404</v>
      </c>
      <c r="N740" s="33">
        <f t="shared" si="269"/>
        <v>0</v>
      </c>
      <c r="T740">
        <v>1</v>
      </c>
      <c r="U740" s="29">
        <f t="shared" si="260"/>
        <v>0</v>
      </c>
      <c r="V740" s="29">
        <f t="shared" si="261"/>
        <v>0</v>
      </c>
      <c r="W740" s="29">
        <f t="shared" si="262"/>
        <v>0</v>
      </c>
      <c r="X740" s="29">
        <f t="shared" si="263"/>
        <v>0</v>
      </c>
      <c r="Y740" s="29">
        <f t="shared" si="264"/>
        <v>0</v>
      </c>
      <c r="Z740" s="29">
        <f t="shared" si="265"/>
        <v>9404</v>
      </c>
    </row>
    <row r="741" spans="1:26" x14ac:dyDescent="0.3">
      <c r="A741" s="5" t="s">
        <v>2164</v>
      </c>
      <c r="B741" s="5" t="s">
        <v>2165</v>
      </c>
      <c r="C741" s="5">
        <v>16</v>
      </c>
      <c r="D741" s="6">
        <v>2427</v>
      </c>
      <c r="E741" s="17">
        <f>VLOOKUP(A741,'forecast data dump'!$A$1:$H$3450,4,FALSE)</f>
        <v>44645</v>
      </c>
      <c r="F741" s="17">
        <f>VLOOKUP(A741,'forecast data dump'!$A$1:$H$3450,5,FALSE)</f>
        <v>44672</v>
      </c>
      <c r="G741" s="42">
        <f>VLOOKUP(A741,'forecast data dump'!$A$1:$H$3450,8,FALSE)</f>
        <v>0</v>
      </c>
      <c r="H741" s="5" t="s">
        <v>3763</v>
      </c>
      <c r="I741" s="39">
        <f t="shared" si="266"/>
        <v>16</v>
      </c>
      <c r="J741" s="5"/>
      <c r="K741" s="5"/>
      <c r="L741" s="33">
        <f t="shared" si="267"/>
        <v>2427</v>
      </c>
      <c r="M741" s="33">
        <f t="shared" si="268"/>
        <v>2427</v>
      </c>
      <c r="N741" s="33">
        <f t="shared" si="269"/>
        <v>0</v>
      </c>
      <c r="T741">
        <v>1</v>
      </c>
      <c r="U741" s="29">
        <f t="shared" ref="U741:U804" si="270">O741*M741</f>
        <v>0</v>
      </c>
      <c r="V741" s="29">
        <f t="shared" ref="V741:V804" si="271">P741*M741</f>
        <v>0</v>
      </c>
      <c r="W741" s="29">
        <f t="shared" ref="W741:W804" si="272">Q741*M741</f>
        <v>0</v>
      </c>
      <c r="X741" s="29">
        <f t="shared" ref="X741:X804" si="273">R741*M741</f>
        <v>0</v>
      </c>
      <c r="Y741" s="29">
        <f t="shared" ref="Y741:Y804" si="274">S741*M741</f>
        <v>0</v>
      </c>
      <c r="Z741" s="29">
        <f t="shared" ref="Z741:Z804" si="275">T741*M741</f>
        <v>2427</v>
      </c>
    </row>
    <row r="742" spans="1:26" x14ac:dyDescent="0.3">
      <c r="A742" s="5" t="s">
        <v>2164</v>
      </c>
      <c r="B742" s="5" t="s">
        <v>2165</v>
      </c>
      <c r="C742" s="5">
        <v>40</v>
      </c>
      <c r="D742" s="6">
        <v>4129</v>
      </c>
      <c r="E742" s="17">
        <f>VLOOKUP(A742,'forecast data dump'!$A$1:$H$3450,4,FALSE)</f>
        <v>44645</v>
      </c>
      <c r="F742" s="17">
        <f>VLOOKUP(A742,'forecast data dump'!$A$1:$H$3450,5,FALSE)</f>
        <v>44672</v>
      </c>
      <c r="G742" s="42">
        <f>VLOOKUP(A742,'forecast data dump'!$A$1:$H$3450,8,FALSE)</f>
        <v>0</v>
      </c>
      <c r="H742" s="5" t="s">
        <v>3757</v>
      </c>
      <c r="I742" s="39">
        <f t="shared" si="266"/>
        <v>40</v>
      </c>
      <c r="J742" s="5"/>
      <c r="K742" s="5"/>
      <c r="L742" s="33">
        <f t="shared" si="267"/>
        <v>4129</v>
      </c>
      <c r="M742" s="33">
        <f t="shared" si="268"/>
        <v>4129</v>
      </c>
      <c r="N742" s="33">
        <f t="shared" si="269"/>
        <v>0</v>
      </c>
      <c r="T742">
        <v>1</v>
      </c>
      <c r="U742" s="29">
        <f t="shared" si="270"/>
        <v>0</v>
      </c>
      <c r="V742" s="29">
        <f t="shared" si="271"/>
        <v>0</v>
      </c>
      <c r="W742" s="29">
        <f t="shared" si="272"/>
        <v>0</v>
      </c>
      <c r="X742" s="29">
        <f t="shared" si="273"/>
        <v>0</v>
      </c>
      <c r="Y742" s="29">
        <f t="shared" si="274"/>
        <v>0</v>
      </c>
      <c r="Z742" s="29">
        <f t="shared" si="275"/>
        <v>4129</v>
      </c>
    </row>
    <row r="743" spans="1:26" x14ac:dyDescent="0.3">
      <c r="A743" s="5" t="s">
        <v>2164</v>
      </c>
      <c r="B743" s="5" t="s">
        <v>2165</v>
      </c>
      <c r="C743" s="5">
        <v>24</v>
      </c>
      <c r="D743" s="6">
        <v>3092</v>
      </c>
      <c r="E743" s="17">
        <f>VLOOKUP(A743,'forecast data dump'!$A$1:$H$3450,4,FALSE)</f>
        <v>44645</v>
      </c>
      <c r="F743" s="17">
        <f>VLOOKUP(A743,'forecast data dump'!$A$1:$H$3450,5,FALSE)</f>
        <v>44672</v>
      </c>
      <c r="G743" s="42">
        <f>VLOOKUP(A743,'forecast data dump'!$A$1:$H$3450,8,FALSE)</f>
        <v>0</v>
      </c>
      <c r="H743" s="5" t="s">
        <v>3752</v>
      </c>
      <c r="I743" s="39">
        <f t="shared" si="266"/>
        <v>24</v>
      </c>
      <c r="J743" s="5"/>
      <c r="K743" s="5"/>
      <c r="L743" s="33">
        <f t="shared" si="267"/>
        <v>3092</v>
      </c>
      <c r="M743" s="33">
        <f t="shared" si="268"/>
        <v>3092</v>
      </c>
      <c r="N743" s="33">
        <f t="shared" si="269"/>
        <v>0</v>
      </c>
      <c r="T743">
        <v>1</v>
      </c>
      <c r="U743" s="29">
        <f t="shared" si="270"/>
        <v>0</v>
      </c>
      <c r="V743" s="29">
        <f t="shared" si="271"/>
        <v>0</v>
      </c>
      <c r="W743" s="29">
        <f t="shared" si="272"/>
        <v>0</v>
      </c>
      <c r="X743" s="29">
        <f t="shared" si="273"/>
        <v>0</v>
      </c>
      <c r="Y743" s="29">
        <f t="shared" si="274"/>
        <v>0</v>
      </c>
      <c r="Z743" s="29">
        <f t="shared" si="275"/>
        <v>3092</v>
      </c>
    </row>
    <row r="744" spans="1:26" x14ac:dyDescent="0.3">
      <c r="A744" s="5" t="s">
        <v>2166</v>
      </c>
      <c r="B744" s="5" t="s">
        <v>2167</v>
      </c>
      <c r="C744" s="5">
        <v>32</v>
      </c>
      <c r="D744" s="6">
        <v>4999</v>
      </c>
      <c r="E744" s="17">
        <f>VLOOKUP(A744,'forecast data dump'!$A$1:$H$3450,4,FALSE)</f>
        <v>44643</v>
      </c>
      <c r="F744" s="17">
        <f>VLOOKUP(A744,'forecast data dump'!$A$1:$H$3450,5,FALSE)</f>
        <v>44670</v>
      </c>
      <c r="G744" s="42">
        <f>VLOOKUP(A744,'forecast data dump'!$A$1:$H$3450,8,FALSE)</f>
        <v>0</v>
      </c>
      <c r="H744" s="5" t="s">
        <v>3763</v>
      </c>
      <c r="I744" s="39">
        <f t="shared" si="266"/>
        <v>32</v>
      </c>
      <c r="J744" s="5"/>
      <c r="K744" s="5"/>
      <c r="L744" s="33">
        <f t="shared" si="267"/>
        <v>4999</v>
      </c>
      <c r="M744" s="33">
        <f t="shared" si="268"/>
        <v>4999</v>
      </c>
      <c r="N744" s="33">
        <f t="shared" si="269"/>
        <v>0</v>
      </c>
      <c r="T744">
        <v>1</v>
      </c>
      <c r="U744" s="29">
        <f t="shared" si="270"/>
        <v>0</v>
      </c>
      <c r="V744" s="29">
        <f t="shared" si="271"/>
        <v>0</v>
      </c>
      <c r="W744" s="29">
        <f t="shared" si="272"/>
        <v>0</v>
      </c>
      <c r="X744" s="29">
        <f t="shared" si="273"/>
        <v>0</v>
      </c>
      <c r="Y744" s="29">
        <f t="shared" si="274"/>
        <v>0</v>
      </c>
      <c r="Z744" s="29">
        <f t="shared" si="275"/>
        <v>4999</v>
      </c>
    </row>
    <row r="745" spans="1:26" x14ac:dyDescent="0.3">
      <c r="A745" s="5" t="s">
        <v>2166</v>
      </c>
      <c r="B745" s="5" t="s">
        <v>2167</v>
      </c>
      <c r="C745" s="5">
        <v>4</v>
      </c>
      <c r="D745" s="6">
        <v>819</v>
      </c>
      <c r="E745" s="17">
        <f>VLOOKUP(A745,'forecast data dump'!$A$1:$H$3450,4,FALSE)</f>
        <v>44643</v>
      </c>
      <c r="F745" s="17">
        <f>VLOOKUP(A745,'forecast data dump'!$A$1:$H$3450,5,FALSE)</f>
        <v>44670</v>
      </c>
      <c r="G745" s="42">
        <f>VLOOKUP(A745,'forecast data dump'!$A$1:$H$3450,8,FALSE)</f>
        <v>0</v>
      </c>
      <c r="H745" s="5" t="s">
        <v>3755</v>
      </c>
      <c r="I745" s="39">
        <f t="shared" si="266"/>
        <v>4</v>
      </c>
      <c r="J745" s="5"/>
      <c r="K745" s="5"/>
      <c r="L745" s="33">
        <f t="shared" si="267"/>
        <v>819</v>
      </c>
      <c r="M745" s="33">
        <f t="shared" si="268"/>
        <v>819</v>
      </c>
      <c r="N745" s="33">
        <f t="shared" si="269"/>
        <v>0</v>
      </c>
      <c r="T745">
        <v>1</v>
      </c>
      <c r="U745" s="29">
        <f t="shared" si="270"/>
        <v>0</v>
      </c>
      <c r="V745" s="29">
        <f t="shared" si="271"/>
        <v>0</v>
      </c>
      <c r="W745" s="29">
        <f t="shared" si="272"/>
        <v>0</v>
      </c>
      <c r="X745" s="29">
        <f t="shared" si="273"/>
        <v>0</v>
      </c>
      <c r="Y745" s="29">
        <f t="shared" si="274"/>
        <v>0</v>
      </c>
      <c r="Z745" s="29">
        <f t="shared" si="275"/>
        <v>819</v>
      </c>
    </row>
    <row r="746" spans="1:26" x14ac:dyDescent="0.3">
      <c r="A746" s="5" t="s">
        <v>2168</v>
      </c>
      <c r="B746" s="5" t="s">
        <v>2169</v>
      </c>
      <c r="C746" s="5">
        <v>120</v>
      </c>
      <c r="D746" s="6">
        <v>18748</v>
      </c>
      <c r="E746" s="17">
        <f>VLOOKUP(A746,'forecast data dump'!$A$1:$H$3450,4,FALSE)</f>
        <v>44701</v>
      </c>
      <c r="F746" s="17">
        <f>VLOOKUP(A746,'forecast data dump'!$A$1:$H$3450,5,FALSE)</f>
        <v>44788</v>
      </c>
      <c r="G746" s="42">
        <f>VLOOKUP(A746,'forecast data dump'!$A$1:$H$3450,8,FALSE)</f>
        <v>0</v>
      </c>
      <c r="H746" s="5" t="s">
        <v>3733</v>
      </c>
      <c r="I746" s="39">
        <f t="shared" si="266"/>
        <v>120</v>
      </c>
      <c r="J746" s="5"/>
      <c r="K746" s="5"/>
      <c r="L746" s="33">
        <f t="shared" si="267"/>
        <v>18748</v>
      </c>
      <c r="M746" s="33">
        <f t="shared" si="268"/>
        <v>18748</v>
      </c>
      <c r="N746" s="33">
        <f t="shared" si="269"/>
        <v>0</v>
      </c>
      <c r="T746">
        <v>1</v>
      </c>
      <c r="U746" s="29">
        <f t="shared" si="270"/>
        <v>0</v>
      </c>
      <c r="V746" s="29">
        <f t="shared" si="271"/>
        <v>0</v>
      </c>
      <c r="W746" s="29">
        <f t="shared" si="272"/>
        <v>0</v>
      </c>
      <c r="X746" s="29">
        <f t="shared" si="273"/>
        <v>0</v>
      </c>
      <c r="Y746" s="29">
        <f t="shared" si="274"/>
        <v>0</v>
      </c>
      <c r="Z746" s="29">
        <f t="shared" si="275"/>
        <v>18748</v>
      </c>
    </row>
    <row r="747" spans="1:26" x14ac:dyDescent="0.3">
      <c r="A747" s="5" t="s">
        <v>2168</v>
      </c>
      <c r="B747" s="5" t="s">
        <v>2169</v>
      </c>
      <c r="C747" s="5">
        <v>280</v>
      </c>
      <c r="D747" s="6">
        <v>33900</v>
      </c>
      <c r="E747" s="17">
        <f>VLOOKUP(A747,'forecast data dump'!$A$1:$H$3450,4,FALSE)</f>
        <v>44701</v>
      </c>
      <c r="F747" s="17">
        <f>VLOOKUP(A747,'forecast data dump'!$A$1:$H$3450,5,FALSE)</f>
        <v>44788</v>
      </c>
      <c r="G747" s="42">
        <f>VLOOKUP(A747,'forecast data dump'!$A$1:$H$3450,8,FALSE)</f>
        <v>0</v>
      </c>
      <c r="H747" s="5" t="s">
        <v>3742</v>
      </c>
      <c r="I747" s="39">
        <f t="shared" si="266"/>
        <v>280</v>
      </c>
      <c r="J747" s="5"/>
      <c r="K747" s="5"/>
      <c r="L747" s="33">
        <f t="shared" si="267"/>
        <v>33900</v>
      </c>
      <c r="M747" s="33">
        <f t="shared" si="268"/>
        <v>33900</v>
      </c>
      <c r="N747" s="33">
        <f t="shared" si="269"/>
        <v>0</v>
      </c>
      <c r="T747">
        <v>1</v>
      </c>
      <c r="U747" s="29">
        <f t="shared" si="270"/>
        <v>0</v>
      </c>
      <c r="V747" s="29">
        <f t="shared" si="271"/>
        <v>0</v>
      </c>
      <c r="W747" s="29">
        <f t="shared" si="272"/>
        <v>0</v>
      </c>
      <c r="X747" s="29">
        <f t="shared" si="273"/>
        <v>0</v>
      </c>
      <c r="Y747" s="29">
        <f t="shared" si="274"/>
        <v>0</v>
      </c>
      <c r="Z747" s="29">
        <f t="shared" si="275"/>
        <v>33900</v>
      </c>
    </row>
    <row r="748" spans="1:26" x14ac:dyDescent="0.3">
      <c r="A748" s="5" t="s">
        <v>2168</v>
      </c>
      <c r="B748" s="5" t="s">
        <v>2169</v>
      </c>
      <c r="C748" s="5">
        <v>280</v>
      </c>
      <c r="D748" s="6">
        <v>33900</v>
      </c>
      <c r="E748" s="17">
        <f>VLOOKUP(A748,'forecast data dump'!$A$1:$H$3450,4,FALSE)</f>
        <v>44701</v>
      </c>
      <c r="F748" s="17">
        <f>VLOOKUP(A748,'forecast data dump'!$A$1:$H$3450,5,FALSE)</f>
        <v>44788</v>
      </c>
      <c r="G748" s="42">
        <f>VLOOKUP(A748,'forecast data dump'!$A$1:$H$3450,8,FALSE)</f>
        <v>0</v>
      </c>
      <c r="H748" s="5" t="s">
        <v>3741</v>
      </c>
      <c r="I748" s="39">
        <f t="shared" si="266"/>
        <v>280</v>
      </c>
      <c r="J748" s="5"/>
      <c r="K748" s="5"/>
      <c r="L748" s="33">
        <f t="shared" si="267"/>
        <v>33900</v>
      </c>
      <c r="M748" s="33">
        <f t="shared" si="268"/>
        <v>33900</v>
      </c>
      <c r="N748" s="33">
        <f t="shared" si="269"/>
        <v>0</v>
      </c>
      <c r="T748">
        <v>1</v>
      </c>
      <c r="U748" s="29">
        <f t="shared" si="270"/>
        <v>0</v>
      </c>
      <c r="V748" s="29">
        <f t="shared" si="271"/>
        <v>0</v>
      </c>
      <c r="W748" s="29">
        <f t="shared" si="272"/>
        <v>0</v>
      </c>
      <c r="X748" s="29">
        <f t="shared" si="273"/>
        <v>0</v>
      </c>
      <c r="Y748" s="29">
        <f t="shared" si="274"/>
        <v>0</v>
      </c>
      <c r="Z748" s="29">
        <f t="shared" si="275"/>
        <v>33900</v>
      </c>
    </row>
    <row r="749" spans="1:26" x14ac:dyDescent="0.3">
      <c r="A749" s="5" t="s">
        <v>2168</v>
      </c>
      <c r="B749" s="5" t="s">
        <v>2169</v>
      </c>
      <c r="C749" s="5">
        <v>48</v>
      </c>
      <c r="D749" s="6">
        <v>5811</v>
      </c>
      <c r="E749" s="17">
        <f>VLOOKUP(A749,'forecast data dump'!$A$1:$H$3450,4,FALSE)</f>
        <v>44701</v>
      </c>
      <c r="F749" s="17">
        <f>VLOOKUP(A749,'forecast data dump'!$A$1:$H$3450,5,FALSE)</f>
        <v>44788</v>
      </c>
      <c r="G749" s="42">
        <f>VLOOKUP(A749,'forecast data dump'!$A$1:$H$3450,8,FALSE)</f>
        <v>0</v>
      </c>
      <c r="H749" s="5" t="s">
        <v>3745</v>
      </c>
      <c r="I749" s="39">
        <f t="shared" si="266"/>
        <v>48</v>
      </c>
      <c r="J749" s="5"/>
      <c r="K749" s="5"/>
      <c r="L749" s="33">
        <f t="shared" si="267"/>
        <v>5811</v>
      </c>
      <c r="M749" s="33">
        <f t="shared" si="268"/>
        <v>5811</v>
      </c>
      <c r="N749" s="33">
        <f t="shared" si="269"/>
        <v>0</v>
      </c>
      <c r="T749">
        <v>1</v>
      </c>
      <c r="U749" s="29">
        <f t="shared" si="270"/>
        <v>0</v>
      </c>
      <c r="V749" s="29">
        <f t="shared" si="271"/>
        <v>0</v>
      </c>
      <c r="W749" s="29">
        <f t="shared" si="272"/>
        <v>0</v>
      </c>
      <c r="X749" s="29">
        <f t="shared" si="273"/>
        <v>0</v>
      </c>
      <c r="Y749" s="29">
        <f t="shared" si="274"/>
        <v>0</v>
      </c>
      <c r="Z749" s="29">
        <f t="shared" si="275"/>
        <v>5811</v>
      </c>
    </row>
    <row r="750" spans="1:26" x14ac:dyDescent="0.3">
      <c r="A750" s="5" t="s">
        <v>2168</v>
      </c>
      <c r="B750" s="5" t="s">
        <v>2169</v>
      </c>
      <c r="C750" s="5">
        <v>120</v>
      </c>
      <c r="D750" s="6">
        <v>18748</v>
      </c>
      <c r="E750" s="17">
        <f>VLOOKUP(A750,'forecast data dump'!$A$1:$H$3450,4,FALSE)</f>
        <v>44701</v>
      </c>
      <c r="F750" s="17">
        <f>VLOOKUP(A750,'forecast data dump'!$A$1:$H$3450,5,FALSE)</f>
        <v>44788</v>
      </c>
      <c r="G750" s="42">
        <f>VLOOKUP(A750,'forecast data dump'!$A$1:$H$3450,8,FALSE)</f>
        <v>0</v>
      </c>
      <c r="H750" s="5" t="s">
        <v>3744</v>
      </c>
      <c r="I750" s="39">
        <f t="shared" si="266"/>
        <v>120</v>
      </c>
      <c r="J750" s="5"/>
      <c r="K750" s="5"/>
      <c r="L750" s="33">
        <f t="shared" si="267"/>
        <v>18748</v>
      </c>
      <c r="M750" s="33">
        <f t="shared" si="268"/>
        <v>18748</v>
      </c>
      <c r="N750" s="33">
        <f t="shared" si="269"/>
        <v>0</v>
      </c>
      <c r="T750">
        <v>1</v>
      </c>
      <c r="U750" s="29">
        <f t="shared" si="270"/>
        <v>0</v>
      </c>
      <c r="V750" s="29">
        <f t="shared" si="271"/>
        <v>0</v>
      </c>
      <c r="W750" s="29">
        <f t="shared" si="272"/>
        <v>0</v>
      </c>
      <c r="X750" s="29">
        <f t="shared" si="273"/>
        <v>0</v>
      </c>
      <c r="Y750" s="29">
        <f t="shared" si="274"/>
        <v>0</v>
      </c>
      <c r="Z750" s="29">
        <f t="shared" si="275"/>
        <v>18748</v>
      </c>
    </row>
    <row r="751" spans="1:26" x14ac:dyDescent="0.3">
      <c r="A751" s="5" t="s">
        <v>2170</v>
      </c>
      <c r="B751" s="5" t="s">
        <v>2171</v>
      </c>
      <c r="C751" s="5">
        <v>80</v>
      </c>
      <c r="D751" s="6">
        <v>9686</v>
      </c>
      <c r="E751" s="17">
        <f>VLOOKUP(A751,'forecast data dump'!$A$1:$H$3450,4,FALSE)</f>
        <v>44565</v>
      </c>
      <c r="F751" s="17">
        <f>VLOOKUP(A751,'forecast data dump'!$A$1:$H$3450,5,FALSE)</f>
        <v>44593</v>
      </c>
      <c r="G751" s="42">
        <f>VLOOKUP(A751,'forecast data dump'!$A$1:$H$3450,8,FALSE)</f>
        <v>0</v>
      </c>
      <c r="H751" s="5" t="s">
        <v>3741</v>
      </c>
      <c r="I751" s="39">
        <f t="shared" si="266"/>
        <v>80</v>
      </c>
      <c r="J751" s="5"/>
      <c r="K751" s="5"/>
      <c r="L751" s="33">
        <f t="shared" si="267"/>
        <v>9686</v>
      </c>
      <c r="M751" s="33">
        <f t="shared" si="268"/>
        <v>9686</v>
      </c>
      <c r="N751" s="33">
        <f t="shared" si="269"/>
        <v>0</v>
      </c>
      <c r="T751">
        <v>1</v>
      </c>
      <c r="U751" s="29">
        <f t="shared" si="270"/>
        <v>0</v>
      </c>
      <c r="V751" s="29">
        <f t="shared" si="271"/>
        <v>0</v>
      </c>
      <c r="W751" s="29">
        <f t="shared" si="272"/>
        <v>0</v>
      </c>
      <c r="X751" s="29">
        <f t="shared" si="273"/>
        <v>0</v>
      </c>
      <c r="Y751" s="29">
        <f t="shared" si="274"/>
        <v>0</v>
      </c>
      <c r="Z751" s="29">
        <f t="shared" si="275"/>
        <v>9686</v>
      </c>
    </row>
    <row r="752" spans="1:26" x14ac:dyDescent="0.3">
      <c r="A752" s="5" t="s">
        <v>2170</v>
      </c>
      <c r="B752" s="5" t="s">
        <v>2171</v>
      </c>
      <c r="C752" s="5">
        <v>16</v>
      </c>
      <c r="D752" s="6">
        <v>1937</v>
      </c>
      <c r="E752" s="17">
        <f>VLOOKUP(A752,'forecast data dump'!$A$1:$H$3450,4,FALSE)</f>
        <v>44565</v>
      </c>
      <c r="F752" s="17">
        <f>VLOOKUP(A752,'forecast data dump'!$A$1:$H$3450,5,FALSE)</f>
        <v>44593</v>
      </c>
      <c r="G752" s="42">
        <f>VLOOKUP(A752,'forecast data dump'!$A$1:$H$3450,8,FALSE)</f>
        <v>0</v>
      </c>
      <c r="H752" s="5" t="s">
        <v>3745</v>
      </c>
      <c r="I752" s="39">
        <f t="shared" si="266"/>
        <v>16</v>
      </c>
      <c r="J752" s="5"/>
      <c r="K752" s="5"/>
      <c r="L752" s="33">
        <f t="shared" si="267"/>
        <v>1937</v>
      </c>
      <c r="M752" s="33">
        <f t="shared" si="268"/>
        <v>1937</v>
      </c>
      <c r="N752" s="33">
        <f t="shared" si="269"/>
        <v>0</v>
      </c>
      <c r="T752">
        <v>1</v>
      </c>
      <c r="U752" s="29">
        <f t="shared" si="270"/>
        <v>0</v>
      </c>
      <c r="V752" s="29">
        <f t="shared" si="271"/>
        <v>0</v>
      </c>
      <c r="W752" s="29">
        <f t="shared" si="272"/>
        <v>0</v>
      </c>
      <c r="X752" s="29">
        <f t="shared" si="273"/>
        <v>0</v>
      </c>
      <c r="Y752" s="29">
        <f t="shared" si="274"/>
        <v>0</v>
      </c>
      <c r="Z752" s="29">
        <f t="shared" si="275"/>
        <v>1937</v>
      </c>
    </row>
    <row r="753" spans="1:26" x14ac:dyDescent="0.3">
      <c r="A753" s="5" t="s">
        <v>2170</v>
      </c>
      <c r="B753" s="5" t="s">
        <v>2171</v>
      </c>
      <c r="C753" s="5">
        <v>32</v>
      </c>
      <c r="D753" s="6">
        <v>4246</v>
      </c>
      <c r="E753" s="17">
        <f>VLOOKUP(A753,'forecast data dump'!$A$1:$H$3450,4,FALSE)</f>
        <v>44565</v>
      </c>
      <c r="F753" s="17">
        <f>VLOOKUP(A753,'forecast data dump'!$A$1:$H$3450,5,FALSE)</f>
        <v>44593</v>
      </c>
      <c r="G753" s="42">
        <f>VLOOKUP(A753,'forecast data dump'!$A$1:$H$3450,8,FALSE)</f>
        <v>0</v>
      </c>
      <c r="H753" s="5" t="s">
        <v>3752</v>
      </c>
      <c r="I753" s="39">
        <f t="shared" si="266"/>
        <v>32</v>
      </c>
      <c r="J753" s="5"/>
      <c r="K753" s="5"/>
      <c r="L753" s="33">
        <f t="shared" si="267"/>
        <v>4246</v>
      </c>
      <c r="M753" s="33">
        <f t="shared" si="268"/>
        <v>4246</v>
      </c>
      <c r="N753" s="33">
        <f t="shared" si="269"/>
        <v>0</v>
      </c>
      <c r="T753">
        <v>1</v>
      </c>
      <c r="U753" s="29">
        <f t="shared" si="270"/>
        <v>0</v>
      </c>
      <c r="V753" s="29">
        <f t="shared" si="271"/>
        <v>0</v>
      </c>
      <c r="W753" s="29">
        <f t="shared" si="272"/>
        <v>0</v>
      </c>
      <c r="X753" s="29">
        <f t="shared" si="273"/>
        <v>0</v>
      </c>
      <c r="Y753" s="29">
        <f t="shared" si="274"/>
        <v>0</v>
      </c>
      <c r="Z753" s="29">
        <f t="shared" si="275"/>
        <v>4246</v>
      </c>
    </row>
    <row r="754" spans="1:26" x14ac:dyDescent="0.3">
      <c r="A754" s="5" t="s">
        <v>2170</v>
      </c>
      <c r="B754" s="5" t="s">
        <v>2171</v>
      </c>
      <c r="C754" s="5">
        <v>20</v>
      </c>
      <c r="D754" s="6">
        <v>3125</v>
      </c>
      <c r="E754" s="17">
        <f>VLOOKUP(A754,'forecast data dump'!$A$1:$H$3450,4,FALSE)</f>
        <v>44565</v>
      </c>
      <c r="F754" s="17">
        <f>VLOOKUP(A754,'forecast data dump'!$A$1:$H$3450,5,FALSE)</f>
        <v>44593</v>
      </c>
      <c r="G754" s="42">
        <f>VLOOKUP(A754,'forecast data dump'!$A$1:$H$3450,8,FALSE)</f>
        <v>0</v>
      </c>
      <c r="H754" s="5" t="s">
        <v>3744</v>
      </c>
      <c r="I754" s="39">
        <f t="shared" si="266"/>
        <v>20</v>
      </c>
      <c r="J754" s="5"/>
      <c r="K754" s="5"/>
      <c r="L754" s="33">
        <f t="shared" si="267"/>
        <v>3125</v>
      </c>
      <c r="M754" s="33">
        <f t="shared" si="268"/>
        <v>3125</v>
      </c>
      <c r="N754" s="33">
        <f t="shared" si="269"/>
        <v>0</v>
      </c>
      <c r="T754">
        <v>1</v>
      </c>
      <c r="U754" s="29">
        <f t="shared" si="270"/>
        <v>0</v>
      </c>
      <c r="V754" s="29">
        <f t="shared" si="271"/>
        <v>0</v>
      </c>
      <c r="W754" s="29">
        <f t="shared" si="272"/>
        <v>0</v>
      </c>
      <c r="X754" s="29">
        <f t="shared" si="273"/>
        <v>0</v>
      </c>
      <c r="Y754" s="29">
        <f t="shared" si="274"/>
        <v>0</v>
      </c>
      <c r="Z754" s="29">
        <f t="shared" si="275"/>
        <v>3125</v>
      </c>
    </row>
    <row r="755" spans="1:26" x14ac:dyDescent="0.3">
      <c r="A755" s="5" t="s">
        <v>2172</v>
      </c>
      <c r="B755" s="5" t="s">
        <v>2173</v>
      </c>
      <c r="C755" s="5">
        <v>500</v>
      </c>
      <c r="D755" s="6">
        <v>580</v>
      </c>
      <c r="E755" s="17">
        <f>VLOOKUP(A755,'forecast data dump'!$A$1:$H$3450,4,FALSE)</f>
        <v>44645</v>
      </c>
      <c r="F755" s="17">
        <f>VLOOKUP(A755,'forecast data dump'!$A$1:$H$3450,5,FALSE)</f>
        <v>44672</v>
      </c>
      <c r="G755" s="42">
        <f>VLOOKUP(A755,'forecast data dump'!$A$1:$H$3450,8,FALSE)</f>
        <v>0</v>
      </c>
      <c r="H755" s="5" t="s">
        <v>3762</v>
      </c>
      <c r="I755" s="39">
        <f t="shared" si="266"/>
        <v>500</v>
      </c>
      <c r="J755" s="5"/>
      <c r="K755" s="5"/>
      <c r="L755" s="33">
        <f t="shared" si="267"/>
        <v>580</v>
      </c>
      <c r="M755" s="33">
        <f t="shared" si="268"/>
        <v>580</v>
      </c>
      <c r="N755" s="33">
        <f t="shared" si="269"/>
        <v>0</v>
      </c>
      <c r="Q755">
        <v>1</v>
      </c>
      <c r="U755" s="29">
        <f t="shared" si="270"/>
        <v>0</v>
      </c>
      <c r="V755" s="29">
        <f t="shared" si="271"/>
        <v>0</v>
      </c>
      <c r="W755" s="29">
        <f t="shared" si="272"/>
        <v>580</v>
      </c>
      <c r="X755" s="29">
        <f t="shared" si="273"/>
        <v>0</v>
      </c>
      <c r="Y755" s="29">
        <f t="shared" si="274"/>
        <v>0</v>
      </c>
      <c r="Z755" s="29">
        <f t="shared" si="275"/>
        <v>0</v>
      </c>
    </row>
    <row r="756" spans="1:26" x14ac:dyDescent="0.3">
      <c r="A756" s="5" t="s">
        <v>2174</v>
      </c>
      <c r="B756" s="5" t="s">
        <v>2175</v>
      </c>
      <c r="C756" s="5">
        <v>500</v>
      </c>
      <c r="D756" s="6">
        <v>592</v>
      </c>
      <c r="E756" s="17">
        <f>VLOOKUP(A756,'forecast data dump'!$A$1:$H$3450,4,FALSE)</f>
        <v>44643</v>
      </c>
      <c r="F756" s="17">
        <f>VLOOKUP(A756,'forecast data dump'!$A$1:$H$3450,5,FALSE)</f>
        <v>44670</v>
      </c>
      <c r="G756" s="42">
        <f>VLOOKUP(A756,'forecast data dump'!$A$1:$H$3450,8,FALSE)</f>
        <v>0</v>
      </c>
      <c r="H756" s="5" t="s">
        <v>3762</v>
      </c>
      <c r="I756" s="39">
        <f t="shared" si="266"/>
        <v>500</v>
      </c>
      <c r="J756" s="5"/>
      <c r="K756" s="5"/>
      <c r="L756" s="33">
        <f t="shared" si="267"/>
        <v>592</v>
      </c>
      <c r="M756" s="33">
        <f t="shared" si="268"/>
        <v>592</v>
      </c>
      <c r="N756" s="33">
        <f t="shared" si="269"/>
        <v>0</v>
      </c>
      <c r="Q756">
        <v>1</v>
      </c>
      <c r="U756" s="29">
        <f t="shared" si="270"/>
        <v>0</v>
      </c>
      <c r="V756" s="29">
        <f t="shared" si="271"/>
        <v>0</v>
      </c>
      <c r="W756" s="29">
        <f t="shared" si="272"/>
        <v>592</v>
      </c>
      <c r="X756" s="29">
        <f t="shared" si="273"/>
        <v>0</v>
      </c>
      <c r="Y756" s="29">
        <f t="shared" si="274"/>
        <v>0</v>
      </c>
      <c r="Z756" s="29">
        <f t="shared" si="275"/>
        <v>0</v>
      </c>
    </row>
    <row r="757" spans="1:26" x14ac:dyDescent="0.3">
      <c r="A757" s="5" t="s">
        <v>2176</v>
      </c>
      <c r="B757" s="5" t="s">
        <v>2177</v>
      </c>
      <c r="C757" s="5">
        <v>500</v>
      </c>
      <c r="D757" s="6">
        <v>592</v>
      </c>
      <c r="E757" s="17">
        <f>VLOOKUP(A757,'forecast data dump'!$A$1:$H$3450,4,FALSE)</f>
        <v>44565</v>
      </c>
      <c r="F757" s="17">
        <f>VLOOKUP(A757,'forecast data dump'!$A$1:$H$3450,5,FALSE)</f>
        <v>44593</v>
      </c>
      <c r="G757" s="42">
        <f>VLOOKUP(A757,'forecast data dump'!$A$1:$H$3450,8,FALSE)</f>
        <v>0</v>
      </c>
      <c r="H757" s="5" t="s">
        <v>3762</v>
      </c>
      <c r="I757" s="39">
        <f t="shared" si="266"/>
        <v>500</v>
      </c>
      <c r="J757" s="5"/>
      <c r="K757" s="5"/>
      <c r="L757" s="33">
        <f t="shared" si="267"/>
        <v>592</v>
      </c>
      <c r="M757" s="33">
        <f t="shared" si="268"/>
        <v>592</v>
      </c>
      <c r="N757" s="33">
        <f t="shared" si="269"/>
        <v>0</v>
      </c>
      <c r="Q757">
        <v>1</v>
      </c>
      <c r="U757" s="29">
        <f t="shared" si="270"/>
        <v>0</v>
      </c>
      <c r="V757" s="29">
        <f t="shared" si="271"/>
        <v>0</v>
      </c>
      <c r="W757" s="29">
        <f t="shared" si="272"/>
        <v>592</v>
      </c>
      <c r="X757" s="29">
        <f t="shared" si="273"/>
        <v>0</v>
      </c>
      <c r="Y757" s="29">
        <f t="shared" si="274"/>
        <v>0</v>
      </c>
      <c r="Z757" s="29">
        <f t="shared" si="275"/>
        <v>0</v>
      </c>
    </row>
    <row r="758" spans="1:26" x14ac:dyDescent="0.3">
      <c r="A758" s="5" t="s">
        <v>2178</v>
      </c>
      <c r="B758" s="5" t="s">
        <v>2179</v>
      </c>
      <c r="C758" s="5">
        <v>500</v>
      </c>
      <c r="D758" s="6">
        <v>592</v>
      </c>
      <c r="E758" s="17">
        <f>VLOOKUP(A758,'forecast data dump'!$A$1:$H$3450,4,FALSE)</f>
        <v>44701</v>
      </c>
      <c r="F758" s="17">
        <f>VLOOKUP(A758,'forecast data dump'!$A$1:$H$3450,5,FALSE)</f>
        <v>44788</v>
      </c>
      <c r="G758" s="42">
        <f>VLOOKUP(A758,'forecast data dump'!$A$1:$H$3450,8,FALSE)</f>
        <v>0</v>
      </c>
      <c r="H758" s="5" t="s">
        <v>3762</v>
      </c>
      <c r="I758" s="39">
        <f t="shared" si="266"/>
        <v>500</v>
      </c>
      <c r="J758" s="5"/>
      <c r="K758" s="5"/>
      <c r="L758" s="33">
        <f t="shared" si="267"/>
        <v>592</v>
      </c>
      <c r="M758" s="33">
        <f t="shared" si="268"/>
        <v>592</v>
      </c>
      <c r="N758" s="33">
        <f t="shared" si="269"/>
        <v>0</v>
      </c>
      <c r="Q758">
        <v>1</v>
      </c>
      <c r="U758" s="29">
        <f t="shared" si="270"/>
        <v>0</v>
      </c>
      <c r="V758" s="29">
        <f t="shared" si="271"/>
        <v>0</v>
      </c>
      <c r="W758" s="29">
        <f t="shared" si="272"/>
        <v>592</v>
      </c>
      <c r="X758" s="29">
        <f t="shared" si="273"/>
        <v>0</v>
      </c>
      <c r="Y758" s="29">
        <f t="shared" si="274"/>
        <v>0</v>
      </c>
      <c r="Z758" s="29">
        <f t="shared" si="275"/>
        <v>0</v>
      </c>
    </row>
    <row r="759" spans="1:26" x14ac:dyDescent="0.3">
      <c r="A759" s="5" t="s">
        <v>2182</v>
      </c>
      <c r="B759" s="5" t="s">
        <v>2183</v>
      </c>
      <c r="C759" s="5">
        <v>80</v>
      </c>
      <c r="D759" s="6">
        <v>9686</v>
      </c>
      <c r="E759" s="17">
        <f>VLOOKUP(A759,'forecast data dump'!$A$1:$H$3450,4,FALSE)</f>
        <v>44774</v>
      </c>
      <c r="F759" s="17">
        <f>VLOOKUP(A759,'forecast data dump'!$A$1:$H$3450,5,FALSE)</f>
        <v>44782</v>
      </c>
      <c r="G759" s="42">
        <f>VLOOKUP(A759,'forecast data dump'!$A$1:$H$3450,8,FALSE)</f>
        <v>0</v>
      </c>
      <c r="H759" s="5" t="s">
        <v>3759</v>
      </c>
      <c r="I759" s="39">
        <f t="shared" si="266"/>
        <v>80</v>
      </c>
      <c r="J759" s="5"/>
      <c r="K759" s="5"/>
      <c r="L759" s="33">
        <f t="shared" si="267"/>
        <v>9686</v>
      </c>
      <c r="M759" s="33">
        <f t="shared" si="268"/>
        <v>9686</v>
      </c>
      <c r="N759" s="33">
        <f t="shared" si="269"/>
        <v>0</v>
      </c>
      <c r="T759">
        <v>1</v>
      </c>
      <c r="U759" s="29">
        <f t="shared" si="270"/>
        <v>0</v>
      </c>
      <c r="V759" s="29">
        <f t="shared" si="271"/>
        <v>0</v>
      </c>
      <c r="W759" s="29">
        <f t="shared" si="272"/>
        <v>0</v>
      </c>
      <c r="X759" s="29">
        <f t="shared" si="273"/>
        <v>0</v>
      </c>
      <c r="Y759" s="29">
        <f t="shared" si="274"/>
        <v>0</v>
      </c>
      <c r="Z759" s="29">
        <f t="shared" si="275"/>
        <v>9686</v>
      </c>
    </row>
    <row r="760" spans="1:26" x14ac:dyDescent="0.3">
      <c r="A760" s="5" t="s">
        <v>2182</v>
      </c>
      <c r="B760" s="5" t="s">
        <v>2183</v>
      </c>
      <c r="C760" s="5">
        <v>80</v>
      </c>
      <c r="D760" s="6">
        <v>8506</v>
      </c>
      <c r="E760" s="17">
        <f>VLOOKUP(A760,'forecast data dump'!$A$1:$H$3450,4,FALSE)</f>
        <v>44774</v>
      </c>
      <c r="F760" s="17">
        <f>VLOOKUP(A760,'forecast data dump'!$A$1:$H$3450,5,FALSE)</f>
        <v>44782</v>
      </c>
      <c r="G760" s="42">
        <f>VLOOKUP(A760,'forecast data dump'!$A$1:$H$3450,8,FALSE)</f>
        <v>0</v>
      </c>
      <c r="H760" s="5" t="s">
        <v>3757</v>
      </c>
      <c r="I760" s="39">
        <f t="shared" si="266"/>
        <v>80</v>
      </c>
      <c r="J760" s="5"/>
      <c r="K760" s="5"/>
      <c r="L760" s="33">
        <f t="shared" si="267"/>
        <v>8506</v>
      </c>
      <c r="M760" s="33">
        <f t="shared" si="268"/>
        <v>8506</v>
      </c>
      <c r="N760" s="33">
        <f t="shared" si="269"/>
        <v>0</v>
      </c>
      <c r="T760">
        <v>1</v>
      </c>
      <c r="U760" s="29">
        <f t="shared" si="270"/>
        <v>0</v>
      </c>
      <c r="V760" s="29">
        <f t="shared" si="271"/>
        <v>0</v>
      </c>
      <c r="W760" s="29">
        <f t="shared" si="272"/>
        <v>0</v>
      </c>
      <c r="X760" s="29">
        <f t="shared" si="273"/>
        <v>0</v>
      </c>
      <c r="Y760" s="29">
        <f t="shared" si="274"/>
        <v>0</v>
      </c>
      <c r="Z760" s="29">
        <f t="shared" si="275"/>
        <v>8506</v>
      </c>
    </row>
    <row r="761" spans="1:26" x14ac:dyDescent="0.3">
      <c r="A761" s="5" t="s">
        <v>2182</v>
      </c>
      <c r="B761" s="5" t="s">
        <v>2183</v>
      </c>
      <c r="C761" s="5">
        <v>24</v>
      </c>
      <c r="D761" s="6">
        <v>2906</v>
      </c>
      <c r="E761" s="17">
        <f>VLOOKUP(A761,'forecast data dump'!$A$1:$H$3450,4,FALSE)</f>
        <v>44774</v>
      </c>
      <c r="F761" s="17">
        <f>VLOOKUP(A761,'forecast data dump'!$A$1:$H$3450,5,FALSE)</f>
        <v>44782</v>
      </c>
      <c r="G761" s="42">
        <f>VLOOKUP(A761,'forecast data dump'!$A$1:$H$3450,8,FALSE)</f>
        <v>0</v>
      </c>
      <c r="H761" s="5" t="s">
        <v>3759</v>
      </c>
      <c r="I761" s="39">
        <f t="shared" si="266"/>
        <v>24</v>
      </c>
      <c r="J761" s="5"/>
      <c r="K761" s="5"/>
      <c r="L761" s="33">
        <f t="shared" si="267"/>
        <v>2906</v>
      </c>
      <c r="M761" s="33">
        <f t="shared" si="268"/>
        <v>2906</v>
      </c>
      <c r="N761" s="33">
        <f t="shared" si="269"/>
        <v>0</v>
      </c>
      <c r="T761">
        <v>1</v>
      </c>
      <c r="U761" s="29">
        <f t="shared" si="270"/>
        <v>0</v>
      </c>
      <c r="V761" s="29">
        <f t="shared" si="271"/>
        <v>0</v>
      </c>
      <c r="W761" s="29">
        <f t="shared" si="272"/>
        <v>0</v>
      </c>
      <c r="X761" s="29">
        <f t="shared" si="273"/>
        <v>0</v>
      </c>
      <c r="Y761" s="29">
        <f t="shared" si="274"/>
        <v>0</v>
      </c>
      <c r="Z761" s="29">
        <f t="shared" si="275"/>
        <v>2906</v>
      </c>
    </row>
    <row r="762" spans="1:26" x14ac:dyDescent="0.3">
      <c r="A762" s="5" t="s">
        <v>2182</v>
      </c>
      <c r="B762" s="5" t="s">
        <v>2183</v>
      </c>
      <c r="C762" s="5">
        <v>40</v>
      </c>
      <c r="D762" s="6">
        <v>6249</v>
      </c>
      <c r="E762" s="17">
        <f>VLOOKUP(A762,'forecast data dump'!$A$1:$H$3450,4,FALSE)</f>
        <v>44774</v>
      </c>
      <c r="F762" s="17">
        <f>VLOOKUP(A762,'forecast data dump'!$A$1:$H$3450,5,FALSE)</f>
        <v>44782</v>
      </c>
      <c r="G762" s="42">
        <f>VLOOKUP(A762,'forecast data dump'!$A$1:$H$3450,8,FALSE)</f>
        <v>0</v>
      </c>
      <c r="H762" s="5" t="s">
        <v>3763</v>
      </c>
      <c r="I762" s="39">
        <f t="shared" si="266"/>
        <v>40</v>
      </c>
      <c r="J762" s="5"/>
      <c r="K762" s="5"/>
      <c r="L762" s="33">
        <f t="shared" si="267"/>
        <v>6249</v>
      </c>
      <c r="M762" s="33">
        <f t="shared" si="268"/>
        <v>6249</v>
      </c>
      <c r="N762" s="33">
        <f t="shared" si="269"/>
        <v>0</v>
      </c>
      <c r="T762">
        <v>1</v>
      </c>
      <c r="U762" s="29">
        <f t="shared" si="270"/>
        <v>0</v>
      </c>
      <c r="V762" s="29">
        <f t="shared" si="271"/>
        <v>0</v>
      </c>
      <c r="W762" s="29">
        <f t="shared" si="272"/>
        <v>0</v>
      </c>
      <c r="X762" s="29">
        <f t="shared" si="273"/>
        <v>0</v>
      </c>
      <c r="Y762" s="29">
        <f t="shared" si="274"/>
        <v>0</v>
      </c>
      <c r="Z762" s="29">
        <f t="shared" si="275"/>
        <v>6249</v>
      </c>
    </row>
    <row r="763" spans="1:26" x14ac:dyDescent="0.3">
      <c r="A763" s="5" t="s">
        <v>2184</v>
      </c>
      <c r="B763" s="5" t="s">
        <v>2185</v>
      </c>
      <c r="C763" s="5">
        <v>160</v>
      </c>
      <c r="D763" s="6">
        <v>19372</v>
      </c>
      <c r="E763" s="17">
        <f>VLOOKUP(A763,'forecast data dump'!$A$1:$H$3450,4,FALSE)</f>
        <v>44705</v>
      </c>
      <c r="F763" s="17">
        <f>VLOOKUP(A763,'forecast data dump'!$A$1:$H$3450,5,FALSE)</f>
        <v>44755</v>
      </c>
      <c r="G763" s="42">
        <f>VLOOKUP(A763,'forecast data dump'!$A$1:$H$3450,8,FALSE)</f>
        <v>0</v>
      </c>
      <c r="H763" s="5" t="s">
        <v>3759</v>
      </c>
      <c r="I763" s="39">
        <f t="shared" si="266"/>
        <v>160</v>
      </c>
      <c r="J763" s="5"/>
      <c r="K763" s="5"/>
      <c r="L763" s="33">
        <f t="shared" si="267"/>
        <v>19372</v>
      </c>
      <c r="M763" s="33">
        <f t="shared" si="268"/>
        <v>19372</v>
      </c>
      <c r="N763" s="33">
        <f t="shared" si="269"/>
        <v>0</v>
      </c>
      <c r="T763">
        <v>1</v>
      </c>
      <c r="U763" s="29">
        <f t="shared" si="270"/>
        <v>0</v>
      </c>
      <c r="V763" s="29">
        <f t="shared" si="271"/>
        <v>0</v>
      </c>
      <c r="W763" s="29">
        <f t="shared" si="272"/>
        <v>0</v>
      </c>
      <c r="X763" s="29">
        <f t="shared" si="273"/>
        <v>0</v>
      </c>
      <c r="Y763" s="29">
        <f t="shared" si="274"/>
        <v>0</v>
      </c>
      <c r="Z763" s="29">
        <f t="shared" si="275"/>
        <v>19372</v>
      </c>
    </row>
    <row r="764" spans="1:26" x14ac:dyDescent="0.3">
      <c r="A764" s="5" t="s">
        <v>2184</v>
      </c>
      <c r="B764" s="5" t="s">
        <v>2185</v>
      </c>
      <c r="C764" s="5">
        <v>160</v>
      </c>
      <c r="D764" s="6">
        <v>21230</v>
      </c>
      <c r="E764" s="17">
        <f>VLOOKUP(A764,'forecast data dump'!$A$1:$H$3450,4,FALSE)</f>
        <v>44705</v>
      </c>
      <c r="F764" s="17">
        <f>VLOOKUP(A764,'forecast data dump'!$A$1:$H$3450,5,FALSE)</f>
        <v>44755</v>
      </c>
      <c r="G764" s="42">
        <f>VLOOKUP(A764,'forecast data dump'!$A$1:$H$3450,8,FALSE)</f>
        <v>0</v>
      </c>
      <c r="H764" s="5" t="s">
        <v>3752</v>
      </c>
      <c r="I764" s="39">
        <f t="shared" si="266"/>
        <v>160</v>
      </c>
      <c r="J764" s="5"/>
      <c r="K764" s="5"/>
      <c r="L764" s="33">
        <f t="shared" si="267"/>
        <v>21230</v>
      </c>
      <c r="M764" s="33">
        <f t="shared" si="268"/>
        <v>21230</v>
      </c>
      <c r="N764" s="33">
        <f t="shared" si="269"/>
        <v>0</v>
      </c>
      <c r="T764">
        <v>1</v>
      </c>
      <c r="U764" s="29">
        <f t="shared" si="270"/>
        <v>0</v>
      </c>
      <c r="V764" s="29">
        <f t="shared" si="271"/>
        <v>0</v>
      </c>
      <c r="W764" s="29">
        <f t="shared" si="272"/>
        <v>0</v>
      </c>
      <c r="X764" s="29">
        <f t="shared" si="273"/>
        <v>0</v>
      </c>
      <c r="Y764" s="29">
        <f t="shared" si="274"/>
        <v>0</v>
      </c>
      <c r="Z764" s="29">
        <f t="shared" si="275"/>
        <v>21230</v>
      </c>
    </row>
    <row r="765" spans="1:26" x14ac:dyDescent="0.3">
      <c r="A765" s="5" t="s">
        <v>2184</v>
      </c>
      <c r="B765" s="5" t="s">
        <v>2185</v>
      </c>
      <c r="C765" s="5">
        <v>20</v>
      </c>
      <c r="D765" s="6">
        <v>2126</v>
      </c>
      <c r="E765" s="17">
        <f>VLOOKUP(A765,'forecast data dump'!$A$1:$H$3450,4,FALSE)</f>
        <v>44705</v>
      </c>
      <c r="F765" s="17">
        <f>VLOOKUP(A765,'forecast data dump'!$A$1:$H$3450,5,FALSE)</f>
        <v>44755</v>
      </c>
      <c r="G765" s="42">
        <f>VLOOKUP(A765,'forecast data dump'!$A$1:$H$3450,8,FALSE)</f>
        <v>0</v>
      </c>
      <c r="H765" s="5" t="s">
        <v>3757</v>
      </c>
      <c r="I765" s="39">
        <f t="shared" ref="I765:I776" si="276">C765*(1-G765)</f>
        <v>20</v>
      </c>
      <c r="J765" s="5"/>
      <c r="K765" s="5"/>
      <c r="L765" s="33">
        <f t="shared" ref="L765:L776" si="277">D765*(1-G765)</f>
        <v>2126</v>
      </c>
      <c r="M765" s="33">
        <f t="shared" ref="M765:M776" si="278">IF(J765="",L765,(D765/C765)*J765)</f>
        <v>2126</v>
      </c>
      <c r="N765" s="33">
        <f t="shared" ref="N765:N776" si="279">L765-M765</f>
        <v>0</v>
      </c>
      <c r="T765">
        <v>1</v>
      </c>
      <c r="U765" s="29">
        <f t="shared" si="270"/>
        <v>0</v>
      </c>
      <c r="V765" s="29">
        <f t="shared" si="271"/>
        <v>0</v>
      </c>
      <c r="W765" s="29">
        <f t="shared" si="272"/>
        <v>0</v>
      </c>
      <c r="X765" s="29">
        <f t="shared" si="273"/>
        <v>0</v>
      </c>
      <c r="Y765" s="29">
        <f t="shared" si="274"/>
        <v>0</v>
      </c>
      <c r="Z765" s="29">
        <f t="shared" si="275"/>
        <v>2126</v>
      </c>
    </row>
    <row r="766" spans="1:26" x14ac:dyDescent="0.3">
      <c r="A766" s="5" t="s">
        <v>2184</v>
      </c>
      <c r="B766" s="5" t="s">
        <v>2185</v>
      </c>
      <c r="C766" s="5">
        <v>8</v>
      </c>
      <c r="D766" s="6">
        <v>1250</v>
      </c>
      <c r="E766" s="17">
        <f>VLOOKUP(A766,'forecast data dump'!$A$1:$H$3450,4,FALSE)</f>
        <v>44705</v>
      </c>
      <c r="F766" s="17">
        <f>VLOOKUP(A766,'forecast data dump'!$A$1:$H$3450,5,FALSE)</f>
        <v>44755</v>
      </c>
      <c r="G766" s="42">
        <f>VLOOKUP(A766,'forecast data dump'!$A$1:$H$3450,8,FALSE)</f>
        <v>0</v>
      </c>
      <c r="H766" s="5" t="s">
        <v>3763</v>
      </c>
      <c r="I766" s="39">
        <f t="shared" si="276"/>
        <v>8</v>
      </c>
      <c r="J766" s="5"/>
      <c r="K766" s="5"/>
      <c r="L766" s="33">
        <f t="shared" si="277"/>
        <v>1250</v>
      </c>
      <c r="M766" s="33">
        <f t="shared" si="278"/>
        <v>1250</v>
      </c>
      <c r="N766" s="33">
        <f t="shared" si="279"/>
        <v>0</v>
      </c>
      <c r="T766">
        <v>1</v>
      </c>
      <c r="U766" s="29">
        <f t="shared" si="270"/>
        <v>0</v>
      </c>
      <c r="V766" s="29">
        <f t="shared" si="271"/>
        <v>0</v>
      </c>
      <c r="W766" s="29">
        <f t="shared" si="272"/>
        <v>0</v>
      </c>
      <c r="X766" s="29">
        <f t="shared" si="273"/>
        <v>0</v>
      </c>
      <c r="Y766" s="29">
        <f t="shared" si="274"/>
        <v>0</v>
      </c>
      <c r="Z766" s="29">
        <f t="shared" si="275"/>
        <v>1250</v>
      </c>
    </row>
    <row r="767" spans="1:26" x14ac:dyDescent="0.3">
      <c r="A767" s="5" t="s">
        <v>2186</v>
      </c>
      <c r="B767" s="5" t="s">
        <v>2187</v>
      </c>
      <c r="C767" s="5">
        <v>32</v>
      </c>
      <c r="D767" s="6">
        <v>3874</v>
      </c>
      <c r="E767" s="17">
        <f>VLOOKUP(A767,'forecast data dump'!$A$1:$H$3450,4,FALSE)</f>
        <v>44718</v>
      </c>
      <c r="F767" s="17">
        <f>VLOOKUP(A767,'forecast data dump'!$A$1:$H$3450,5,FALSE)</f>
        <v>44747</v>
      </c>
      <c r="G767" s="42">
        <f>VLOOKUP(A767,'forecast data dump'!$A$1:$H$3450,8,FALSE)</f>
        <v>0</v>
      </c>
      <c r="H767" s="5" t="s">
        <v>3745</v>
      </c>
      <c r="I767" s="39">
        <f t="shared" si="276"/>
        <v>32</v>
      </c>
      <c r="J767" s="5"/>
      <c r="K767" s="5"/>
      <c r="L767" s="33">
        <f t="shared" si="277"/>
        <v>3874</v>
      </c>
      <c r="M767" s="33">
        <f t="shared" si="278"/>
        <v>3874</v>
      </c>
      <c r="N767" s="33">
        <f t="shared" si="279"/>
        <v>0</v>
      </c>
      <c r="T767">
        <v>1</v>
      </c>
      <c r="U767" s="29">
        <f t="shared" si="270"/>
        <v>0</v>
      </c>
      <c r="V767" s="29">
        <f t="shared" si="271"/>
        <v>0</v>
      </c>
      <c r="W767" s="29">
        <f t="shared" si="272"/>
        <v>0</v>
      </c>
      <c r="X767" s="29">
        <f t="shared" si="273"/>
        <v>0</v>
      </c>
      <c r="Y767" s="29">
        <f t="shared" si="274"/>
        <v>0</v>
      </c>
      <c r="Z767" s="29">
        <f t="shared" si="275"/>
        <v>3874</v>
      </c>
    </row>
    <row r="768" spans="1:26" x14ac:dyDescent="0.3">
      <c r="A768" s="5" t="s">
        <v>2186</v>
      </c>
      <c r="B768" s="5" t="s">
        <v>2187</v>
      </c>
      <c r="C768" s="5">
        <v>200</v>
      </c>
      <c r="D768" s="6">
        <v>26538</v>
      </c>
      <c r="E768" s="17">
        <f>VLOOKUP(A768,'forecast data dump'!$A$1:$H$3450,4,FALSE)</f>
        <v>44718</v>
      </c>
      <c r="F768" s="17">
        <f>VLOOKUP(A768,'forecast data dump'!$A$1:$H$3450,5,FALSE)</f>
        <v>44747</v>
      </c>
      <c r="G768" s="42">
        <f>VLOOKUP(A768,'forecast data dump'!$A$1:$H$3450,8,FALSE)</f>
        <v>0</v>
      </c>
      <c r="H768" s="5" t="s">
        <v>3752</v>
      </c>
      <c r="I768" s="39">
        <f t="shared" si="276"/>
        <v>200</v>
      </c>
      <c r="J768" s="5"/>
      <c r="K768" s="5"/>
      <c r="L768" s="33">
        <f t="shared" si="277"/>
        <v>26538</v>
      </c>
      <c r="M768" s="33">
        <f t="shared" si="278"/>
        <v>26538</v>
      </c>
      <c r="N768" s="33">
        <f t="shared" si="279"/>
        <v>0</v>
      </c>
      <c r="T768">
        <v>1</v>
      </c>
      <c r="U768" s="29">
        <f t="shared" si="270"/>
        <v>0</v>
      </c>
      <c r="V768" s="29">
        <f t="shared" si="271"/>
        <v>0</v>
      </c>
      <c r="W768" s="29">
        <f t="shared" si="272"/>
        <v>0</v>
      </c>
      <c r="X768" s="29">
        <f t="shared" si="273"/>
        <v>0</v>
      </c>
      <c r="Y768" s="29">
        <f t="shared" si="274"/>
        <v>0</v>
      </c>
      <c r="Z768" s="29">
        <f t="shared" si="275"/>
        <v>26538</v>
      </c>
    </row>
    <row r="769" spans="1:26" x14ac:dyDescent="0.3">
      <c r="A769" s="5" t="s">
        <v>2186</v>
      </c>
      <c r="B769" s="5" t="s">
        <v>2187</v>
      </c>
      <c r="C769" s="5">
        <v>80</v>
      </c>
      <c r="D769" s="6">
        <v>12499</v>
      </c>
      <c r="E769" s="17">
        <f>VLOOKUP(A769,'forecast data dump'!$A$1:$H$3450,4,FALSE)</f>
        <v>44718</v>
      </c>
      <c r="F769" s="17">
        <f>VLOOKUP(A769,'forecast data dump'!$A$1:$H$3450,5,FALSE)</f>
        <v>44747</v>
      </c>
      <c r="G769" s="42">
        <f>VLOOKUP(A769,'forecast data dump'!$A$1:$H$3450,8,FALSE)</f>
        <v>0</v>
      </c>
      <c r="H769" s="5" t="s">
        <v>3744</v>
      </c>
      <c r="I769" s="39">
        <f t="shared" si="276"/>
        <v>80</v>
      </c>
      <c r="J769" s="5"/>
      <c r="K769" s="5"/>
      <c r="L769" s="33">
        <f t="shared" si="277"/>
        <v>12499</v>
      </c>
      <c r="M769" s="33">
        <f t="shared" si="278"/>
        <v>12499</v>
      </c>
      <c r="N769" s="33">
        <f t="shared" si="279"/>
        <v>0</v>
      </c>
      <c r="T769">
        <v>1</v>
      </c>
      <c r="U769" s="29">
        <f t="shared" si="270"/>
        <v>0</v>
      </c>
      <c r="V769" s="29">
        <f t="shared" si="271"/>
        <v>0</v>
      </c>
      <c r="W769" s="29">
        <f t="shared" si="272"/>
        <v>0</v>
      </c>
      <c r="X769" s="29">
        <f t="shared" si="273"/>
        <v>0</v>
      </c>
      <c r="Y769" s="29">
        <f t="shared" si="274"/>
        <v>0</v>
      </c>
      <c r="Z769" s="29">
        <f t="shared" si="275"/>
        <v>12499</v>
      </c>
    </row>
    <row r="770" spans="1:26" x14ac:dyDescent="0.3">
      <c r="A770" s="5" t="s">
        <v>2186</v>
      </c>
      <c r="B770" s="5" t="s">
        <v>2187</v>
      </c>
      <c r="C770" s="5">
        <v>200</v>
      </c>
      <c r="D770" s="6">
        <v>24214</v>
      </c>
      <c r="E770" s="17">
        <f>VLOOKUP(A770,'forecast data dump'!$A$1:$H$3450,4,FALSE)</f>
        <v>44718</v>
      </c>
      <c r="F770" s="17">
        <f>VLOOKUP(A770,'forecast data dump'!$A$1:$H$3450,5,FALSE)</f>
        <v>44747</v>
      </c>
      <c r="G770" s="42">
        <f>VLOOKUP(A770,'forecast data dump'!$A$1:$H$3450,8,FALSE)</f>
        <v>0</v>
      </c>
      <c r="H770" s="5" t="s">
        <v>3742</v>
      </c>
      <c r="I770" s="39">
        <f t="shared" si="276"/>
        <v>200</v>
      </c>
      <c r="J770" s="5"/>
      <c r="K770" s="5"/>
      <c r="L770" s="33">
        <f t="shared" si="277"/>
        <v>24214</v>
      </c>
      <c r="M770" s="33">
        <f t="shared" si="278"/>
        <v>24214</v>
      </c>
      <c r="N770" s="33">
        <f t="shared" si="279"/>
        <v>0</v>
      </c>
      <c r="T770">
        <v>1</v>
      </c>
      <c r="U770" s="29">
        <f t="shared" si="270"/>
        <v>0</v>
      </c>
      <c r="V770" s="29">
        <f t="shared" si="271"/>
        <v>0</v>
      </c>
      <c r="W770" s="29">
        <f t="shared" si="272"/>
        <v>0</v>
      </c>
      <c r="X770" s="29">
        <f t="shared" si="273"/>
        <v>0</v>
      </c>
      <c r="Y770" s="29">
        <f t="shared" si="274"/>
        <v>0</v>
      </c>
      <c r="Z770" s="29">
        <f t="shared" si="275"/>
        <v>24214</v>
      </c>
    </row>
    <row r="771" spans="1:26" x14ac:dyDescent="0.3">
      <c r="A771" s="5" t="s">
        <v>2186</v>
      </c>
      <c r="B771" s="5" t="s">
        <v>2187</v>
      </c>
      <c r="C771" s="5">
        <v>200</v>
      </c>
      <c r="D771" s="6">
        <v>24214</v>
      </c>
      <c r="E771" s="17">
        <f>VLOOKUP(A771,'forecast data dump'!$A$1:$H$3450,4,FALSE)</f>
        <v>44718</v>
      </c>
      <c r="F771" s="17">
        <f>VLOOKUP(A771,'forecast data dump'!$A$1:$H$3450,5,FALSE)</f>
        <v>44747</v>
      </c>
      <c r="G771" s="42">
        <f>VLOOKUP(A771,'forecast data dump'!$A$1:$H$3450,8,FALSE)</f>
        <v>0</v>
      </c>
      <c r="H771" s="5" t="s">
        <v>3741</v>
      </c>
      <c r="I771" s="39">
        <f t="shared" si="276"/>
        <v>200</v>
      </c>
      <c r="J771" s="5"/>
      <c r="K771" s="5"/>
      <c r="L771" s="33">
        <f t="shared" si="277"/>
        <v>24214</v>
      </c>
      <c r="M771" s="33">
        <f t="shared" si="278"/>
        <v>24214</v>
      </c>
      <c r="N771" s="33">
        <f t="shared" si="279"/>
        <v>0</v>
      </c>
      <c r="T771">
        <v>1</v>
      </c>
      <c r="U771" s="29">
        <f t="shared" si="270"/>
        <v>0</v>
      </c>
      <c r="V771" s="29">
        <f t="shared" si="271"/>
        <v>0</v>
      </c>
      <c r="W771" s="29">
        <f t="shared" si="272"/>
        <v>0</v>
      </c>
      <c r="X771" s="29">
        <f t="shared" si="273"/>
        <v>0</v>
      </c>
      <c r="Y771" s="29">
        <f t="shared" si="274"/>
        <v>0</v>
      </c>
      <c r="Z771" s="29">
        <f t="shared" si="275"/>
        <v>24214</v>
      </c>
    </row>
    <row r="772" spans="1:26" x14ac:dyDescent="0.3">
      <c r="A772" s="5" t="s">
        <v>2188</v>
      </c>
      <c r="B772" s="5" t="s">
        <v>2189</v>
      </c>
      <c r="C772" s="5">
        <v>160</v>
      </c>
      <c r="D772" s="6">
        <v>21065</v>
      </c>
      <c r="E772" s="17">
        <f>VLOOKUP(A772,'forecast data dump'!$A$1:$H$3450,4,FALSE)</f>
        <v>44615</v>
      </c>
      <c r="F772" s="17">
        <f>VLOOKUP(A772,'forecast data dump'!$A$1:$H$3450,5,FALSE)</f>
        <v>44642</v>
      </c>
      <c r="G772" s="42">
        <f>VLOOKUP(A772,'forecast data dump'!$A$1:$H$3450,8,FALSE)</f>
        <v>0</v>
      </c>
      <c r="H772" s="5" t="s">
        <v>3752</v>
      </c>
      <c r="I772" s="39">
        <f t="shared" si="276"/>
        <v>160</v>
      </c>
      <c r="J772" s="5"/>
      <c r="K772" s="5"/>
      <c r="L772" s="33">
        <f t="shared" si="277"/>
        <v>21065</v>
      </c>
      <c r="M772" s="33">
        <f t="shared" si="278"/>
        <v>21065</v>
      </c>
      <c r="N772" s="33">
        <f t="shared" si="279"/>
        <v>0</v>
      </c>
      <c r="T772">
        <v>1</v>
      </c>
      <c r="U772" s="29">
        <f t="shared" si="270"/>
        <v>0</v>
      </c>
      <c r="V772" s="29">
        <f t="shared" si="271"/>
        <v>0</v>
      </c>
      <c r="W772" s="29">
        <f t="shared" si="272"/>
        <v>0</v>
      </c>
      <c r="X772" s="29">
        <f t="shared" si="273"/>
        <v>0</v>
      </c>
      <c r="Y772" s="29">
        <f t="shared" si="274"/>
        <v>0</v>
      </c>
      <c r="Z772" s="29">
        <f t="shared" si="275"/>
        <v>21065</v>
      </c>
    </row>
    <row r="773" spans="1:26" x14ac:dyDescent="0.3">
      <c r="A773" s="5" t="s">
        <v>2188</v>
      </c>
      <c r="B773" s="5" t="s">
        <v>2189</v>
      </c>
      <c r="C773" s="5">
        <v>40</v>
      </c>
      <c r="D773" s="6">
        <v>6201</v>
      </c>
      <c r="E773" s="17">
        <f>VLOOKUP(A773,'forecast data dump'!$A$1:$H$3450,4,FALSE)</f>
        <v>44615</v>
      </c>
      <c r="F773" s="17">
        <f>VLOOKUP(A773,'forecast data dump'!$A$1:$H$3450,5,FALSE)</f>
        <v>44642</v>
      </c>
      <c r="G773" s="42">
        <f>VLOOKUP(A773,'forecast data dump'!$A$1:$H$3450,8,FALSE)</f>
        <v>0</v>
      </c>
      <c r="H773" s="5" t="s">
        <v>3744</v>
      </c>
      <c r="I773" s="39">
        <f t="shared" si="276"/>
        <v>40</v>
      </c>
      <c r="J773" s="5"/>
      <c r="K773" s="5"/>
      <c r="L773" s="33">
        <f t="shared" si="277"/>
        <v>6201</v>
      </c>
      <c r="M773" s="33">
        <f t="shared" si="278"/>
        <v>6201</v>
      </c>
      <c r="N773" s="33">
        <f t="shared" si="279"/>
        <v>0</v>
      </c>
      <c r="T773">
        <v>1</v>
      </c>
      <c r="U773" s="29">
        <f t="shared" si="270"/>
        <v>0</v>
      </c>
      <c r="V773" s="29">
        <f t="shared" si="271"/>
        <v>0</v>
      </c>
      <c r="W773" s="29">
        <f t="shared" si="272"/>
        <v>0</v>
      </c>
      <c r="X773" s="29">
        <f t="shared" si="273"/>
        <v>0</v>
      </c>
      <c r="Y773" s="29">
        <f t="shared" si="274"/>
        <v>0</v>
      </c>
      <c r="Z773" s="29">
        <f t="shared" si="275"/>
        <v>6201</v>
      </c>
    </row>
    <row r="774" spans="1:26" x14ac:dyDescent="0.3">
      <c r="A774" s="5" t="s">
        <v>2188</v>
      </c>
      <c r="B774" s="5" t="s">
        <v>2189</v>
      </c>
      <c r="C774" s="5">
        <v>4</v>
      </c>
      <c r="D774" s="6">
        <v>813</v>
      </c>
      <c r="E774" s="17">
        <f>VLOOKUP(A774,'forecast data dump'!$A$1:$H$3450,4,FALSE)</f>
        <v>44615</v>
      </c>
      <c r="F774" s="17">
        <f>VLOOKUP(A774,'forecast data dump'!$A$1:$H$3450,5,FALSE)</f>
        <v>44642</v>
      </c>
      <c r="G774" s="42">
        <f>VLOOKUP(A774,'forecast data dump'!$A$1:$H$3450,8,FALSE)</f>
        <v>0</v>
      </c>
      <c r="H774" s="5" t="s">
        <v>3755</v>
      </c>
      <c r="I774" s="39">
        <f t="shared" si="276"/>
        <v>4</v>
      </c>
      <c r="J774" s="5"/>
      <c r="K774" s="5"/>
      <c r="L774" s="33">
        <f t="shared" si="277"/>
        <v>813</v>
      </c>
      <c r="M774" s="33">
        <f t="shared" si="278"/>
        <v>813</v>
      </c>
      <c r="N774" s="33">
        <f t="shared" si="279"/>
        <v>0</v>
      </c>
      <c r="T774">
        <v>1</v>
      </c>
      <c r="U774" s="29">
        <f t="shared" si="270"/>
        <v>0</v>
      </c>
      <c r="V774" s="29">
        <f t="shared" si="271"/>
        <v>0</v>
      </c>
      <c r="W774" s="29">
        <f t="shared" si="272"/>
        <v>0</v>
      </c>
      <c r="X774" s="29">
        <f t="shared" si="273"/>
        <v>0</v>
      </c>
      <c r="Y774" s="29">
        <f t="shared" si="274"/>
        <v>0</v>
      </c>
      <c r="Z774" s="29">
        <f t="shared" si="275"/>
        <v>813</v>
      </c>
    </row>
    <row r="775" spans="1:26" x14ac:dyDescent="0.3">
      <c r="A775" s="5" t="s">
        <v>2190</v>
      </c>
      <c r="B775" s="5" t="s">
        <v>2191</v>
      </c>
      <c r="C775" s="5">
        <v>80</v>
      </c>
      <c r="D775" s="6">
        <v>10615</v>
      </c>
      <c r="E775" s="17">
        <f>VLOOKUP(A775,'forecast data dump'!$A$1:$H$3450,4,FALSE)</f>
        <v>44643</v>
      </c>
      <c r="F775" s="17">
        <f>VLOOKUP(A775,'forecast data dump'!$A$1:$H$3450,5,FALSE)</f>
        <v>44670</v>
      </c>
      <c r="G775" s="42">
        <f>VLOOKUP(A775,'forecast data dump'!$A$1:$H$3450,8,FALSE)</f>
        <v>0</v>
      </c>
      <c r="H775" s="5" t="s">
        <v>3752</v>
      </c>
      <c r="I775" s="39">
        <f t="shared" si="276"/>
        <v>80</v>
      </c>
      <c r="J775" s="5"/>
      <c r="K775" s="5"/>
      <c r="L775" s="33">
        <f t="shared" si="277"/>
        <v>10615</v>
      </c>
      <c r="M775" s="33">
        <f t="shared" si="278"/>
        <v>10615</v>
      </c>
      <c r="N775" s="33">
        <f t="shared" si="279"/>
        <v>0</v>
      </c>
      <c r="T775">
        <v>1</v>
      </c>
      <c r="U775" s="29">
        <f t="shared" si="270"/>
        <v>0</v>
      </c>
      <c r="V775" s="29">
        <f t="shared" si="271"/>
        <v>0</v>
      </c>
      <c r="W775" s="29">
        <f t="shared" si="272"/>
        <v>0</v>
      </c>
      <c r="X775" s="29">
        <f t="shared" si="273"/>
        <v>0</v>
      </c>
      <c r="Y775" s="29">
        <f t="shared" si="274"/>
        <v>0</v>
      </c>
      <c r="Z775" s="29">
        <f t="shared" si="275"/>
        <v>10615</v>
      </c>
    </row>
    <row r="776" spans="1:26" x14ac:dyDescent="0.3">
      <c r="A776" s="5" t="s">
        <v>2190</v>
      </c>
      <c r="B776" s="5" t="s">
        <v>2191</v>
      </c>
      <c r="C776" s="5">
        <v>40</v>
      </c>
      <c r="D776" s="6">
        <v>6249</v>
      </c>
      <c r="E776" s="17">
        <f>VLOOKUP(A776,'forecast data dump'!$A$1:$H$3450,4,FALSE)</f>
        <v>44643</v>
      </c>
      <c r="F776" s="17">
        <f>VLOOKUP(A776,'forecast data dump'!$A$1:$H$3450,5,FALSE)</f>
        <v>44670</v>
      </c>
      <c r="G776" s="42">
        <f>VLOOKUP(A776,'forecast data dump'!$A$1:$H$3450,8,FALSE)</f>
        <v>0</v>
      </c>
      <c r="H776" s="5" t="s">
        <v>3744</v>
      </c>
      <c r="I776" s="39">
        <f t="shared" si="276"/>
        <v>40</v>
      </c>
      <c r="J776" s="5"/>
      <c r="K776" s="5"/>
      <c r="L776" s="33">
        <f t="shared" si="277"/>
        <v>6249</v>
      </c>
      <c r="M776" s="33">
        <f t="shared" si="278"/>
        <v>6249</v>
      </c>
      <c r="N776" s="33">
        <f t="shared" si="279"/>
        <v>0</v>
      </c>
      <c r="T776">
        <v>1</v>
      </c>
      <c r="U776" s="29">
        <f t="shared" si="270"/>
        <v>0</v>
      </c>
      <c r="V776" s="29">
        <f t="shared" si="271"/>
        <v>0</v>
      </c>
      <c r="W776" s="29">
        <f t="shared" si="272"/>
        <v>0</v>
      </c>
      <c r="X776" s="29">
        <f t="shared" si="273"/>
        <v>0</v>
      </c>
      <c r="Y776" s="29">
        <f t="shared" si="274"/>
        <v>0</v>
      </c>
      <c r="Z776" s="29">
        <f t="shared" si="275"/>
        <v>6249</v>
      </c>
    </row>
    <row r="777" spans="1:26" x14ac:dyDescent="0.3">
      <c r="A777" s="3" t="s">
        <v>7892</v>
      </c>
      <c r="B777" s="3"/>
      <c r="C777" s="3"/>
      <c r="D777" s="4"/>
      <c r="E777" s="15"/>
      <c r="F777" s="15"/>
      <c r="G777" s="41"/>
      <c r="H777" s="3"/>
      <c r="I777" s="38"/>
      <c r="J777" s="3"/>
      <c r="K777" s="3"/>
      <c r="L777" s="32"/>
      <c r="M777" s="32"/>
      <c r="N777" s="32"/>
      <c r="U777" s="29"/>
      <c r="V777" s="29"/>
      <c r="W777" s="29"/>
      <c r="X777" s="29"/>
      <c r="Y777" s="29"/>
      <c r="Z777" s="29"/>
    </row>
    <row r="778" spans="1:26" x14ac:dyDescent="0.3">
      <c r="A778" s="5" t="s">
        <v>2307</v>
      </c>
      <c r="B778" s="5" t="s">
        <v>2308</v>
      </c>
      <c r="C778" s="5">
        <v>4</v>
      </c>
      <c r="D778" s="6">
        <v>607</v>
      </c>
      <c r="E778" s="17">
        <f>VLOOKUP(A778,'forecast data dump'!$A$1:$H$3450,4,FALSE)</f>
        <v>44446</v>
      </c>
      <c r="F778" s="17">
        <f>VLOOKUP(A778,'forecast data dump'!$A$1:$H$3450,5,FALSE)</f>
        <v>44459</v>
      </c>
      <c r="G778" s="42">
        <f>VLOOKUP(A778,'forecast data dump'!$A$1:$H$3450,8,FALSE)</f>
        <v>0</v>
      </c>
      <c r="H778" s="5" t="s">
        <v>3763</v>
      </c>
      <c r="I778" s="39">
        <f t="shared" ref="I778:I796" si="280">C778*(1-G778)</f>
        <v>4</v>
      </c>
      <c r="J778" s="5"/>
      <c r="K778" s="5"/>
      <c r="L778" s="33">
        <f t="shared" ref="L778:L796" si="281">D778*(1-G778)</f>
        <v>607</v>
      </c>
      <c r="M778" s="33">
        <f t="shared" ref="M778:M796" si="282">IF(J778="",L778,(D778/C778)*J778)</f>
        <v>607</v>
      </c>
      <c r="N778" s="33">
        <f t="shared" ref="N778:N796" si="283">L778-M778</f>
        <v>0</v>
      </c>
      <c r="T778">
        <v>1</v>
      </c>
      <c r="U778" s="29">
        <f t="shared" si="270"/>
        <v>0</v>
      </c>
      <c r="V778" s="29">
        <f t="shared" si="271"/>
        <v>0</v>
      </c>
      <c r="W778" s="29">
        <f t="shared" si="272"/>
        <v>0</v>
      </c>
      <c r="X778" s="29">
        <f t="shared" si="273"/>
        <v>0</v>
      </c>
      <c r="Y778" s="29">
        <f t="shared" si="274"/>
        <v>0</v>
      </c>
      <c r="Z778" s="29">
        <f t="shared" si="275"/>
        <v>607</v>
      </c>
    </row>
    <row r="779" spans="1:26" x14ac:dyDescent="0.3">
      <c r="A779" s="5" t="s">
        <v>2309</v>
      </c>
      <c r="B779" s="5" t="s">
        <v>2310</v>
      </c>
      <c r="C779" s="5">
        <v>16</v>
      </c>
      <c r="D779" s="6">
        <v>2500</v>
      </c>
      <c r="E779" s="17">
        <f>VLOOKUP(A779,'forecast data dump'!$A$1:$H$3450,4,FALSE)</f>
        <v>44545</v>
      </c>
      <c r="F779" s="17">
        <f>VLOOKUP(A779,'forecast data dump'!$A$1:$H$3450,5,FALSE)</f>
        <v>44564</v>
      </c>
      <c r="G779" s="42">
        <f>VLOOKUP(A779,'forecast data dump'!$A$1:$H$3450,8,FALSE)</f>
        <v>0</v>
      </c>
      <c r="H779" s="5" t="s">
        <v>3733</v>
      </c>
      <c r="I779" s="39">
        <f t="shared" si="280"/>
        <v>16</v>
      </c>
      <c r="J779" s="5"/>
      <c r="K779" s="5"/>
      <c r="L779" s="33">
        <f t="shared" si="281"/>
        <v>2500</v>
      </c>
      <c r="M779" s="33">
        <f t="shared" si="282"/>
        <v>2500</v>
      </c>
      <c r="N779" s="33">
        <f t="shared" si="283"/>
        <v>0</v>
      </c>
      <c r="T779">
        <v>1</v>
      </c>
      <c r="U779" s="29">
        <f t="shared" si="270"/>
        <v>0</v>
      </c>
      <c r="V779" s="29">
        <f t="shared" si="271"/>
        <v>0</v>
      </c>
      <c r="W779" s="29">
        <f t="shared" si="272"/>
        <v>0</v>
      </c>
      <c r="X779" s="29">
        <f t="shared" si="273"/>
        <v>0</v>
      </c>
      <c r="Y779" s="29">
        <f t="shared" si="274"/>
        <v>0</v>
      </c>
      <c r="Z779" s="29">
        <f t="shared" si="275"/>
        <v>2500</v>
      </c>
    </row>
    <row r="780" spans="1:26" x14ac:dyDescent="0.3">
      <c r="A780" s="5" t="s">
        <v>2309</v>
      </c>
      <c r="B780" s="5" t="s">
        <v>2310</v>
      </c>
      <c r="C780" s="5">
        <v>240</v>
      </c>
      <c r="D780" s="6">
        <v>29057</v>
      </c>
      <c r="E780" s="17">
        <f>VLOOKUP(A780,'forecast data dump'!$A$1:$H$3450,4,FALSE)</f>
        <v>44545</v>
      </c>
      <c r="F780" s="17">
        <f>VLOOKUP(A780,'forecast data dump'!$A$1:$H$3450,5,FALSE)</f>
        <v>44564</v>
      </c>
      <c r="G780" s="42">
        <f>VLOOKUP(A780,'forecast data dump'!$A$1:$H$3450,8,FALSE)</f>
        <v>0</v>
      </c>
      <c r="H780" s="5" t="s">
        <v>3741</v>
      </c>
      <c r="I780" s="39">
        <f t="shared" si="280"/>
        <v>240</v>
      </c>
      <c r="J780" s="5"/>
      <c r="K780" s="5"/>
      <c r="L780" s="33">
        <f t="shared" si="281"/>
        <v>29057</v>
      </c>
      <c r="M780" s="33">
        <f t="shared" si="282"/>
        <v>29057</v>
      </c>
      <c r="N780" s="33">
        <f t="shared" si="283"/>
        <v>0</v>
      </c>
      <c r="T780">
        <v>1</v>
      </c>
      <c r="U780" s="29">
        <f t="shared" si="270"/>
        <v>0</v>
      </c>
      <c r="V780" s="29">
        <f t="shared" si="271"/>
        <v>0</v>
      </c>
      <c r="W780" s="29">
        <f t="shared" si="272"/>
        <v>0</v>
      </c>
      <c r="X780" s="29">
        <f t="shared" si="273"/>
        <v>0</v>
      </c>
      <c r="Y780" s="29">
        <f t="shared" si="274"/>
        <v>0</v>
      </c>
      <c r="Z780" s="29">
        <f t="shared" si="275"/>
        <v>29057</v>
      </c>
    </row>
    <row r="781" spans="1:26" x14ac:dyDescent="0.3">
      <c r="A781" s="5" t="s">
        <v>2309</v>
      </c>
      <c r="B781" s="5" t="s">
        <v>2310</v>
      </c>
      <c r="C781" s="5">
        <v>16</v>
      </c>
      <c r="D781" s="6">
        <v>1937</v>
      </c>
      <c r="E781" s="17">
        <f>VLOOKUP(A781,'forecast data dump'!$A$1:$H$3450,4,FALSE)</f>
        <v>44545</v>
      </c>
      <c r="F781" s="17">
        <f>VLOOKUP(A781,'forecast data dump'!$A$1:$H$3450,5,FALSE)</f>
        <v>44564</v>
      </c>
      <c r="G781" s="42">
        <f>VLOOKUP(A781,'forecast data dump'!$A$1:$H$3450,8,FALSE)</f>
        <v>0</v>
      </c>
      <c r="H781" s="5" t="s">
        <v>3745</v>
      </c>
      <c r="I781" s="39">
        <f t="shared" si="280"/>
        <v>16</v>
      </c>
      <c r="J781" s="5"/>
      <c r="K781" s="5"/>
      <c r="L781" s="33">
        <f t="shared" si="281"/>
        <v>1937</v>
      </c>
      <c r="M781" s="33">
        <f t="shared" si="282"/>
        <v>1937</v>
      </c>
      <c r="N781" s="33">
        <f t="shared" si="283"/>
        <v>0</v>
      </c>
      <c r="T781">
        <v>1</v>
      </c>
      <c r="U781" s="29">
        <f t="shared" si="270"/>
        <v>0</v>
      </c>
      <c r="V781" s="29">
        <f t="shared" si="271"/>
        <v>0</v>
      </c>
      <c r="W781" s="29">
        <f t="shared" si="272"/>
        <v>0</v>
      </c>
      <c r="X781" s="29">
        <f t="shared" si="273"/>
        <v>0</v>
      </c>
      <c r="Y781" s="29">
        <f t="shared" si="274"/>
        <v>0</v>
      </c>
      <c r="Z781" s="29">
        <f t="shared" si="275"/>
        <v>1937</v>
      </c>
    </row>
    <row r="782" spans="1:26" x14ac:dyDescent="0.3">
      <c r="A782" s="5" t="s">
        <v>2311</v>
      </c>
      <c r="B782" s="5" t="s">
        <v>2312</v>
      </c>
      <c r="C782" s="5">
        <v>8</v>
      </c>
      <c r="D782" s="6">
        <v>1250</v>
      </c>
      <c r="E782" s="17">
        <f>VLOOKUP(A782,'forecast data dump'!$A$1:$H$3450,4,FALSE)</f>
        <v>44629</v>
      </c>
      <c r="F782" s="17">
        <f>VLOOKUP(A782,'forecast data dump'!$A$1:$H$3450,5,FALSE)</f>
        <v>44642</v>
      </c>
      <c r="G782" s="42">
        <f>VLOOKUP(A782,'forecast data dump'!$A$1:$H$3450,8,FALSE)</f>
        <v>0</v>
      </c>
      <c r="H782" s="5" t="s">
        <v>3733</v>
      </c>
      <c r="I782" s="39">
        <f t="shared" si="280"/>
        <v>8</v>
      </c>
      <c r="J782" s="5"/>
      <c r="K782" s="5"/>
      <c r="L782" s="33">
        <f t="shared" si="281"/>
        <v>1250</v>
      </c>
      <c r="M782" s="33">
        <f t="shared" si="282"/>
        <v>1250</v>
      </c>
      <c r="N782" s="33">
        <f t="shared" si="283"/>
        <v>0</v>
      </c>
      <c r="T782">
        <v>1</v>
      </c>
      <c r="U782" s="29">
        <f t="shared" si="270"/>
        <v>0</v>
      </c>
      <c r="V782" s="29">
        <f t="shared" si="271"/>
        <v>0</v>
      </c>
      <c r="W782" s="29">
        <f t="shared" si="272"/>
        <v>0</v>
      </c>
      <c r="X782" s="29">
        <f t="shared" si="273"/>
        <v>0</v>
      </c>
      <c r="Y782" s="29">
        <f t="shared" si="274"/>
        <v>0</v>
      </c>
      <c r="Z782" s="29">
        <f t="shared" si="275"/>
        <v>1250</v>
      </c>
    </row>
    <row r="783" spans="1:26" x14ac:dyDescent="0.3">
      <c r="A783" s="5" t="s">
        <v>2311</v>
      </c>
      <c r="B783" s="5" t="s">
        <v>2312</v>
      </c>
      <c r="C783" s="5">
        <v>64</v>
      </c>
      <c r="D783" s="6">
        <v>7749</v>
      </c>
      <c r="E783" s="17">
        <f>VLOOKUP(A783,'forecast data dump'!$A$1:$H$3450,4,FALSE)</f>
        <v>44629</v>
      </c>
      <c r="F783" s="17">
        <f>VLOOKUP(A783,'forecast data dump'!$A$1:$H$3450,5,FALSE)</f>
        <v>44642</v>
      </c>
      <c r="G783" s="42">
        <f>VLOOKUP(A783,'forecast data dump'!$A$1:$H$3450,8,FALSE)</f>
        <v>0</v>
      </c>
      <c r="H783" s="5" t="s">
        <v>3741</v>
      </c>
      <c r="I783" s="39">
        <f t="shared" si="280"/>
        <v>64</v>
      </c>
      <c r="J783" s="5"/>
      <c r="K783" s="5"/>
      <c r="L783" s="33">
        <f t="shared" si="281"/>
        <v>7749</v>
      </c>
      <c r="M783" s="33">
        <f t="shared" si="282"/>
        <v>7749</v>
      </c>
      <c r="N783" s="33">
        <f t="shared" si="283"/>
        <v>0</v>
      </c>
      <c r="T783">
        <v>1</v>
      </c>
      <c r="U783" s="29">
        <f t="shared" si="270"/>
        <v>0</v>
      </c>
      <c r="V783" s="29">
        <f t="shared" si="271"/>
        <v>0</v>
      </c>
      <c r="W783" s="29">
        <f t="shared" si="272"/>
        <v>0</v>
      </c>
      <c r="X783" s="29">
        <f t="shared" si="273"/>
        <v>0</v>
      </c>
      <c r="Y783" s="29">
        <f t="shared" si="274"/>
        <v>0</v>
      </c>
      <c r="Z783" s="29">
        <f t="shared" si="275"/>
        <v>7749</v>
      </c>
    </row>
    <row r="784" spans="1:26" x14ac:dyDescent="0.3">
      <c r="A784" s="5" t="s">
        <v>2311</v>
      </c>
      <c r="B784" s="5" t="s">
        <v>2312</v>
      </c>
      <c r="C784" s="5">
        <v>8</v>
      </c>
      <c r="D784" s="6">
        <v>969</v>
      </c>
      <c r="E784" s="17">
        <f>VLOOKUP(A784,'forecast data dump'!$A$1:$H$3450,4,FALSE)</f>
        <v>44629</v>
      </c>
      <c r="F784" s="17">
        <f>VLOOKUP(A784,'forecast data dump'!$A$1:$H$3450,5,FALSE)</f>
        <v>44642</v>
      </c>
      <c r="G784" s="42">
        <f>VLOOKUP(A784,'forecast data dump'!$A$1:$H$3450,8,FALSE)</f>
        <v>0</v>
      </c>
      <c r="H784" s="5" t="s">
        <v>3745</v>
      </c>
      <c r="I784" s="39">
        <f t="shared" si="280"/>
        <v>8</v>
      </c>
      <c r="J784" s="5"/>
      <c r="K784" s="5"/>
      <c r="L784" s="33">
        <f t="shared" si="281"/>
        <v>969</v>
      </c>
      <c r="M784" s="33">
        <f t="shared" si="282"/>
        <v>969</v>
      </c>
      <c r="N784" s="33">
        <f t="shared" si="283"/>
        <v>0</v>
      </c>
      <c r="T784">
        <v>1</v>
      </c>
      <c r="U784" s="29">
        <f t="shared" si="270"/>
        <v>0</v>
      </c>
      <c r="V784" s="29">
        <f t="shared" si="271"/>
        <v>0</v>
      </c>
      <c r="W784" s="29">
        <f t="shared" si="272"/>
        <v>0</v>
      </c>
      <c r="X784" s="29">
        <f t="shared" si="273"/>
        <v>0</v>
      </c>
      <c r="Y784" s="29">
        <f t="shared" si="274"/>
        <v>0</v>
      </c>
      <c r="Z784" s="29">
        <f t="shared" si="275"/>
        <v>969</v>
      </c>
    </row>
    <row r="785" spans="1:26" x14ac:dyDescent="0.3">
      <c r="A785" s="5" t="s">
        <v>2319</v>
      </c>
      <c r="B785" s="5" t="s">
        <v>2320</v>
      </c>
      <c r="C785" s="5">
        <v>3000</v>
      </c>
      <c r="D785" s="6">
        <v>3482</v>
      </c>
      <c r="E785" s="17">
        <f>VLOOKUP(A785,'forecast data dump'!$A$1:$H$3450,4,FALSE)</f>
        <v>44446</v>
      </c>
      <c r="F785" s="17">
        <f>VLOOKUP(A785,'forecast data dump'!$A$1:$H$3450,5,FALSE)</f>
        <v>44459</v>
      </c>
      <c r="G785" s="42">
        <f>VLOOKUP(A785,'forecast data dump'!$A$1:$H$3450,8,FALSE)</f>
        <v>0</v>
      </c>
      <c r="H785" s="5" t="s">
        <v>3762</v>
      </c>
      <c r="I785" s="39">
        <f t="shared" si="280"/>
        <v>3000</v>
      </c>
      <c r="J785" s="5"/>
      <c r="K785" s="5"/>
      <c r="L785" s="33">
        <f t="shared" si="281"/>
        <v>3482</v>
      </c>
      <c r="M785" s="33">
        <f t="shared" si="282"/>
        <v>3482</v>
      </c>
      <c r="N785" s="33">
        <f t="shared" si="283"/>
        <v>0</v>
      </c>
      <c r="Q785">
        <v>1</v>
      </c>
      <c r="U785" s="29">
        <f t="shared" si="270"/>
        <v>0</v>
      </c>
      <c r="V785" s="29">
        <f t="shared" si="271"/>
        <v>0</v>
      </c>
      <c r="W785" s="29">
        <f t="shared" si="272"/>
        <v>3482</v>
      </c>
      <c r="X785" s="29">
        <f t="shared" si="273"/>
        <v>0</v>
      </c>
      <c r="Y785" s="29">
        <f t="shared" si="274"/>
        <v>0</v>
      </c>
      <c r="Z785" s="29">
        <f t="shared" si="275"/>
        <v>0</v>
      </c>
    </row>
    <row r="786" spans="1:26" x14ac:dyDescent="0.3">
      <c r="A786" s="5" t="s">
        <v>2321</v>
      </c>
      <c r="B786" s="5" t="s">
        <v>2322</v>
      </c>
      <c r="C786" s="5">
        <v>1000</v>
      </c>
      <c r="D786" s="6">
        <v>1184</v>
      </c>
      <c r="E786" s="17">
        <f>VLOOKUP(A786,'forecast data dump'!$A$1:$H$3450,4,FALSE)</f>
        <v>44545</v>
      </c>
      <c r="F786" s="17">
        <f>VLOOKUP(A786,'forecast data dump'!$A$1:$H$3450,5,FALSE)</f>
        <v>44564</v>
      </c>
      <c r="G786" s="42">
        <f>VLOOKUP(A786,'forecast data dump'!$A$1:$H$3450,8,FALSE)</f>
        <v>0</v>
      </c>
      <c r="H786" s="5" t="s">
        <v>3762</v>
      </c>
      <c r="I786" s="39">
        <f t="shared" si="280"/>
        <v>1000</v>
      </c>
      <c r="J786" s="5"/>
      <c r="K786" s="5"/>
      <c r="L786" s="33">
        <f t="shared" si="281"/>
        <v>1184</v>
      </c>
      <c r="M786" s="33">
        <f t="shared" si="282"/>
        <v>1184</v>
      </c>
      <c r="N786" s="33">
        <f t="shared" si="283"/>
        <v>0</v>
      </c>
      <c r="Q786">
        <v>1</v>
      </c>
      <c r="U786" s="29">
        <f t="shared" si="270"/>
        <v>0</v>
      </c>
      <c r="V786" s="29">
        <f t="shared" si="271"/>
        <v>0</v>
      </c>
      <c r="W786" s="29">
        <f t="shared" si="272"/>
        <v>1184</v>
      </c>
      <c r="X786" s="29">
        <f t="shared" si="273"/>
        <v>0</v>
      </c>
      <c r="Y786" s="29">
        <f t="shared" si="274"/>
        <v>0</v>
      </c>
      <c r="Z786" s="29">
        <f t="shared" si="275"/>
        <v>0</v>
      </c>
    </row>
    <row r="787" spans="1:26" x14ac:dyDescent="0.3">
      <c r="A787" s="5" t="s">
        <v>2323</v>
      </c>
      <c r="B787" s="5" t="s">
        <v>2324</v>
      </c>
      <c r="C787" s="5">
        <v>3000</v>
      </c>
      <c r="D787" s="6">
        <v>3552</v>
      </c>
      <c r="E787" s="17">
        <f>VLOOKUP(A787,'forecast data dump'!$A$1:$H$3450,4,FALSE)</f>
        <v>44629</v>
      </c>
      <c r="F787" s="17">
        <f>VLOOKUP(A787,'forecast data dump'!$A$1:$H$3450,5,FALSE)</f>
        <v>44642</v>
      </c>
      <c r="G787" s="42">
        <f>VLOOKUP(A787,'forecast data dump'!$A$1:$H$3450,8,FALSE)</f>
        <v>0</v>
      </c>
      <c r="H787" s="5" t="s">
        <v>3762</v>
      </c>
      <c r="I787" s="39">
        <f t="shared" si="280"/>
        <v>3000</v>
      </c>
      <c r="J787" s="5"/>
      <c r="K787" s="5"/>
      <c r="L787" s="33">
        <f t="shared" si="281"/>
        <v>3552</v>
      </c>
      <c r="M787" s="33">
        <f t="shared" si="282"/>
        <v>3552</v>
      </c>
      <c r="N787" s="33">
        <f t="shared" si="283"/>
        <v>0</v>
      </c>
      <c r="Q787">
        <v>1</v>
      </c>
      <c r="U787" s="29">
        <f t="shared" si="270"/>
        <v>0</v>
      </c>
      <c r="V787" s="29">
        <f t="shared" si="271"/>
        <v>0</v>
      </c>
      <c r="W787" s="29">
        <f t="shared" si="272"/>
        <v>3552</v>
      </c>
      <c r="X787" s="29">
        <f t="shared" si="273"/>
        <v>0</v>
      </c>
      <c r="Y787" s="29">
        <f t="shared" si="274"/>
        <v>0</v>
      </c>
      <c r="Z787" s="29">
        <f t="shared" si="275"/>
        <v>0</v>
      </c>
    </row>
    <row r="788" spans="1:26" x14ac:dyDescent="0.3">
      <c r="A788" s="5" t="s">
        <v>2339</v>
      </c>
      <c r="B788" s="5" t="s">
        <v>2340</v>
      </c>
      <c r="C788" s="5">
        <v>176</v>
      </c>
      <c r="D788" s="6">
        <v>27497</v>
      </c>
      <c r="E788" s="17">
        <f>VLOOKUP(A788,'forecast data dump'!$A$1:$H$3450,4,FALSE)</f>
        <v>44545</v>
      </c>
      <c r="F788" s="17">
        <f>VLOOKUP(A788,'forecast data dump'!$A$1:$H$3450,5,FALSE)</f>
        <v>44564</v>
      </c>
      <c r="G788" s="42">
        <f>VLOOKUP(A788,'forecast data dump'!$A$1:$H$3450,8,FALSE)</f>
        <v>0</v>
      </c>
      <c r="H788" s="5" t="s">
        <v>3763</v>
      </c>
      <c r="I788" s="39">
        <f t="shared" si="280"/>
        <v>176</v>
      </c>
      <c r="J788" s="5"/>
      <c r="K788" s="5"/>
      <c r="L788" s="33">
        <f t="shared" si="281"/>
        <v>27497</v>
      </c>
      <c r="M788" s="33">
        <f t="shared" si="282"/>
        <v>27497</v>
      </c>
      <c r="N788" s="33">
        <f t="shared" si="283"/>
        <v>0</v>
      </c>
      <c r="T788">
        <v>1</v>
      </c>
      <c r="U788" s="29">
        <f t="shared" si="270"/>
        <v>0</v>
      </c>
      <c r="V788" s="29">
        <f t="shared" si="271"/>
        <v>0</v>
      </c>
      <c r="W788" s="29">
        <f t="shared" si="272"/>
        <v>0</v>
      </c>
      <c r="X788" s="29">
        <f t="shared" si="273"/>
        <v>0</v>
      </c>
      <c r="Y788" s="29">
        <f t="shared" si="274"/>
        <v>0</v>
      </c>
      <c r="Z788" s="29">
        <f t="shared" si="275"/>
        <v>27497</v>
      </c>
    </row>
    <row r="789" spans="1:26" x14ac:dyDescent="0.3">
      <c r="A789" s="5" t="s">
        <v>2339</v>
      </c>
      <c r="B789" s="5" t="s">
        <v>2340</v>
      </c>
      <c r="C789" s="5">
        <v>72</v>
      </c>
      <c r="D789" s="6">
        <v>8717</v>
      </c>
      <c r="E789" s="17">
        <f>VLOOKUP(A789,'forecast data dump'!$A$1:$H$3450,4,FALSE)</f>
        <v>44545</v>
      </c>
      <c r="F789" s="17">
        <f>VLOOKUP(A789,'forecast data dump'!$A$1:$H$3450,5,FALSE)</f>
        <v>44564</v>
      </c>
      <c r="G789" s="42">
        <f>VLOOKUP(A789,'forecast data dump'!$A$1:$H$3450,8,FALSE)</f>
        <v>0</v>
      </c>
      <c r="H789" s="5" t="s">
        <v>3759</v>
      </c>
      <c r="I789" s="39">
        <f t="shared" si="280"/>
        <v>72</v>
      </c>
      <c r="J789" s="5"/>
      <c r="K789" s="5"/>
      <c r="L789" s="33">
        <f t="shared" si="281"/>
        <v>8717</v>
      </c>
      <c r="M789" s="33">
        <f t="shared" si="282"/>
        <v>8717</v>
      </c>
      <c r="N789" s="33">
        <f t="shared" si="283"/>
        <v>0</v>
      </c>
      <c r="T789">
        <v>1</v>
      </c>
      <c r="U789" s="29">
        <f t="shared" si="270"/>
        <v>0</v>
      </c>
      <c r="V789" s="29">
        <f t="shared" si="271"/>
        <v>0</v>
      </c>
      <c r="W789" s="29">
        <f t="shared" si="272"/>
        <v>0</v>
      </c>
      <c r="X789" s="29">
        <f t="shared" si="273"/>
        <v>0</v>
      </c>
      <c r="Y789" s="29">
        <f t="shared" si="274"/>
        <v>0</v>
      </c>
      <c r="Z789" s="29">
        <f t="shared" si="275"/>
        <v>8717</v>
      </c>
    </row>
    <row r="790" spans="1:26" x14ac:dyDescent="0.3">
      <c r="A790" s="5" t="s">
        <v>2339</v>
      </c>
      <c r="B790" s="5" t="s">
        <v>2340</v>
      </c>
      <c r="C790" s="5">
        <v>80</v>
      </c>
      <c r="D790" s="6">
        <v>11084</v>
      </c>
      <c r="E790" s="17">
        <f>VLOOKUP(A790,'forecast data dump'!$A$1:$H$3450,4,FALSE)</f>
        <v>44545</v>
      </c>
      <c r="F790" s="17">
        <f>VLOOKUP(A790,'forecast data dump'!$A$1:$H$3450,5,FALSE)</f>
        <v>44564</v>
      </c>
      <c r="G790" s="42">
        <f>VLOOKUP(A790,'forecast data dump'!$A$1:$H$3450,8,FALSE)</f>
        <v>0</v>
      </c>
      <c r="H790" s="5" t="s">
        <v>3765</v>
      </c>
      <c r="I790" s="39">
        <f t="shared" si="280"/>
        <v>80</v>
      </c>
      <c r="J790" s="5"/>
      <c r="K790" s="5"/>
      <c r="L790" s="33">
        <f t="shared" si="281"/>
        <v>11084</v>
      </c>
      <c r="M790" s="33">
        <f t="shared" si="282"/>
        <v>11084</v>
      </c>
      <c r="N790" s="33">
        <f t="shared" si="283"/>
        <v>0</v>
      </c>
      <c r="T790">
        <v>1</v>
      </c>
      <c r="U790" s="29">
        <f t="shared" si="270"/>
        <v>0</v>
      </c>
      <c r="V790" s="29">
        <f t="shared" si="271"/>
        <v>0</v>
      </c>
      <c r="W790" s="29">
        <f t="shared" si="272"/>
        <v>0</v>
      </c>
      <c r="X790" s="29">
        <f t="shared" si="273"/>
        <v>0</v>
      </c>
      <c r="Y790" s="29">
        <f t="shared" si="274"/>
        <v>0</v>
      </c>
      <c r="Z790" s="29">
        <f t="shared" si="275"/>
        <v>11084</v>
      </c>
    </row>
    <row r="791" spans="1:26" x14ac:dyDescent="0.3">
      <c r="A791" s="5" t="s">
        <v>2341</v>
      </c>
      <c r="B791" s="5" t="s">
        <v>2342</v>
      </c>
      <c r="C791" s="5">
        <v>136</v>
      </c>
      <c r="D791" s="6">
        <v>21248</v>
      </c>
      <c r="E791" s="17">
        <f>VLOOKUP(A791,'forecast data dump'!$A$1:$H$3450,4,FALSE)</f>
        <v>44629</v>
      </c>
      <c r="F791" s="17">
        <f>VLOOKUP(A791,'forecast data dump'!$A$1:$H$3450,5,FALSE)</f>
        <v>44642</v>
      </c>
      <c r="G791" s="42">
        <f>VLOOKUP(A791,'forecast data dump'!$A$1:$H$3450,8,FALSE)</f>
        <v>0</v>
      </c>
      <c r="H791" s="5" t="s">
        <v>3763</v>
      </c>
      <c r="I791" s="39">
        <f t="shared" si="280"/>
        <v>136</v>
      </c>
      <c r="J791" s="5"/>
      <c r="K791" s="5"/>
      <c r="L791" s="33">
        <f t="shared" si="281"/>
        <v>21248</v>
      </c>
      <c r="M791" s="33">
        <f t="shared" si="282"/>
        <v>21248</v>
      </c>
      <c r="N791" s="33">
        <f t="shared" si="283"/>
        <v>0</v>
      </c>
      <c r="T791">
        <v>1</v>
      </c>
      <c r="U791" s="29">
        <f t="shared" si="270"/>
        <v>0</v>
      </c>
      <c r="V791" s="29">
        <f t="shared" si="271"/>
        <v>0</v>
      </c>
      <c r="W791" s="29">
        <f t="shared" si="272"/>
        <v>0</v>
      </c>
      <c r="X791" s="29">
        <f t="shared" si="273"/>
        <v>0</v>
      </c>
      <c r="Y791" s="29">
        <f t="shared" si="274"/>
        <v>0</v>
      </c>
      <c r="Z791" s="29">
        <f t="shared" si="275"/>
        <v>21248</v>
      </c>
    </row>
    <row r="792" spans="1:26" x14ac:dyDescent="0.3">
      <c r="A792" s="5" t="s">
        <v>2341</v>
      </c>
      <c r="B792" s="5" t="s">
        <v>2342</v>
      </c>
      <c r="C792" s="5">
        <v>120</v>
      </c>
      <c r="D792" s="6">
        <v>15923</v>
      </c>
      <c r="E792" s="17">
        <f>VLOOKUP(A792,'forecast data dump'!$A$1:$H$3450,4,FALSE)</f>
        <v>44629</v>
      </c>
      <c r="F792" s="17">
        <f>VLOOKUP(A792,'forecast data dump'!$A$1:$H$3450,5,FALSE)</f>
        <v>44642</v>
      </c>
      <c r="G792" s="42">
        <f>VLOOKUP(A792,'forecast data dump'!$A$1:$H$3450,8,FALSE)</f>
        <v>0</v>
      </c>
      <c r="H792" s="5" t="s">
        <v>3752</v>
      </c>
      <c r="I792" s="39">
        <f t="shared" si="280"/>
        <v>120</v>
      </c>
      <c r="J792" s="5"/>
      <c r="K792" s="5"/>
      <c r="L792" s="33">
        <f t="shared" si="281"/>
        <v>15923</v>
      </c>
      <c r="M792" s="33">
        <f t="shared" si="282"/>
        <v>15923</v>
      </c>
      <c r="N792" s="33">
        <f t="shared" si="283"/>
        <v>0</v>
      </c>
      <c r="T792">
        <v>1</v>
      </c>
      <c r="U792" s="29">
        <f t="shared" si="270"/>
        <v>0</v>
      </c>
      <c r="V792" s="29">
        <f t="shared" si="271"/>
        <v>0</v>
      </c>
      <c r="W792" s="29">
        <f t="shared" si="272"/>
        <v>0</v>
      </c>
      <c r="X792" s="29">
        <f t="shared" si="273"/>
        <v>0</v>
      </c>
      <c r="Y792" s="29">
        <f t="shared" si="274"/>
        <v>0</v>
      </c>
      <c r="Z792" s="29">
        <f t="shared" si="275"/>
        <v>15923</v>
      </c>
    </row>
    <row r="793" spans="1:26" x14ac:dyDescent="0.3">
      <c r="A793" s="5" t="s">
        <v>2341</v>
      </c>
      <c r="B793" s="5" t="s">
        <v>2342</v>
      </c>
      <c r="C793" s="5">
        <v>80</v>
      </c>
      <c r="D793" s="6">
        <v>11084</v>
      </c>
      <c r="E793" s="17">
        <f>VLOOKUP(A793,'forecast data dump'!$A$1:$H$3450,4,FALSE)</f>
        <v>44629</v>
      </c>
      <c r="F793" s="17">
        <f>VLOOKUP(A793,'forecast data dump'!$A$1:$H$3450,5,FALSE)</f>
        <v>44642</v>
      </c>
      <c r="G793" s="42">
        <f>VLOOKUP(A793,'forecast data dump'!$A$1:$H$3450,8,FALSE)</f>
        <v>0</v>
      </c>
      <c r="H793" s="5" t="s">
        <v>3765</v>
      </c>
      <c r="I793" s="39">
        <f t="shared" si="280"/>
        <v>80</v>
      </c>
      <c r="J793" s="5"/>
      <c r="K793" s="5"/>
      <c r="L793" s="33">
        <f t="shared" si="281"/>
        <v>11084</v>
      </c>
      <c r="M793" s="33">
        <f t="shared" si="282"/>
        <v>11084</v>
      </c>
      <c r="N793" s="33">
        <f t="shared" si="283"/>
        <v>0</v>
      </c>
      <c r="T793">
        <v>1</v>
      </c>
      <c r="U793" s="29">
        <f t="shared" si="270"/>
        <v>0</v>
      </c>
      <c r="V793" s="29">
        <f t="shared" si="271"/>
        <v>0</v>
      </c>
      <c r="W793" s="29">
        <f t="shared" si="272"/>
        <v>0</v>
      </c>
      <c r="X793" s="29">
        <f t="shared" si="273"/>
        <v>0</v>
      </c>
      <c r="Y793" s="29">
        <f t="shared" si="274"/>
        <v>0</v>
      </c>
      <c r="Z793" s="29">
        <f t="shared" si="275"/>
        <v>11084</v>
      </c>
    </row>
    <row r="794" spans="1:26" x14ac:dyDescent="0.3">
      <c r="A794" s="5" t="s">
        <v>2343</v>
      </c>
      <c r="B794" s="5" t="s">
        <v>2344</v>
      </c>
      <c r="C794" s="5">
        <v>10</v>
      </c>
      <c r="D794" s="6">
        <v>1517</v>
      </c>
      <c r="E794" s="17">
        <f>VLOOKUP(A794,'forecast data dump'!$A$1:$H$3450,4,FALSE)</f>
        <v>44446</v>
      </c>
      <c r="F794" s="17">
        <f>VLOOKUP(A794,'forecast data dump'!$A$1:$H$3450,5,FALSE)</f>
        <v>44459</v>
      </c>
      <c r="G794" s="42">
        <f>VLOOKUP(A794,'forecast data dump'!$A$1:$H$3450,8,FALSE)</f>
        <v>0</v>
      </c>
      <c r="H794" s="5" t="s">
        <v>3733</v>
      </c>
      <c r="I794" s="39">
        <f t="shared" si="280"/>
        <v>10</v>
      </c>
      <c r="J794" s="5"/>
      <c r="K794" s="5"/>
      <c r="L794" s="33">
        <f t="shared" si="281"/>
        <v>1517</v>
      </c>
      <c r="M794" s="33">
        <f t="shared" si="282"/>
        <v>1517</v>
      </c>
      <c r="N794" s="33">
        <f t="shared" si="283"/>
        <v>0</v>
      </c>
      <c r="T794">
        <v>1</v>
      </c>
      <c r="U794" s="29">
        <f t="shared" si="270"/>
        <v>0</v>
      </c>
      <c r="V794" s="29">
        <f t="shared" si="271"/>
        <v>0</v>
      </c>
      <c r="W794" s="29">
        <f t="shared" si="272"/>
        <v>0</v>
      </c>
      <c r="X794" s="29">
        <f t="shared" si="273"/>
        <v>0</v>
      </c>
      <c r="Y794" s="29">
        <f t="shared" si="274"/>
        <v>0</v>
      </c>
      <c r="Z794" s="29">
        <f t="shared" si="275"/>
        <v>1517</v>
      </c>
    </row>
    <row r="795" spans="1:26" x14ac:dyDescent="0.3">
      <c r="A795" s="5" t="s">
        <v>2343</v>
      </c>
      <c r="B795" s="5" t="s">
        <v>2344</v>
      </c>
      <c r="C795" s="5">
        <v>160</v>
      </c>
      <c r="D795" s="6">
        <v>18807</v>
      </c>
      <c r="E795" s="17">
        <f>VLOOKUP(A795,'forecast data dump'!$A$1:$H$3450,4,FALSE)</f>
        <v>44446</v>
      </c>
      <c r="F795" s="17">
        <f>VLOOKUP(A795,'forecast data dump'!$A$1:$H$3450,5,FALSE)</f>
        <v>44459</v>
      </c>
      <c r="G795" s="42">
        <f>VLOOKUP(A795,'forecast data dump'!$A$1:$H$3450,8,FALSE)</f>
        <v>0</v>
      </c>
      <c r="H795" s="5" t="s">
        <v>3741</v>
      </c>
      <c r="I795" s="39">
        <f t="shared" si="280"/>
        <v>160</v>
      </c>
      <c r="J795" s="5"/>
      <c r="K795" s="5"/>
      <c r="L795" s="33">
        <f t="shared" si="281"/>
        <v>18807</v>
      </c>
      <c r="M795" s="33">
        <f t="shared" si="282"/>
        <v>18807</v>
      </c>
      <c r="N795" s="33">
        <f t="shared" si="283"/>
        <v>0</v>
      </c>
      <c r="T795">
        <v>1</v>
      </c>
      <c r="U795" s="29">
        <f t="shared" si="270"/>
        <v>0</v>
      </c>
      <c r="V795" s="29">
        <f t="shared" si="271"/>
        <v>0</v>
      </c>
      <c r="W795" s="29">
        <f t="shared" si="272"/>
        <v>0</v>
      </c>
      <c r="X795" s="29">
        <f t="shared" si="273"/>
        <v>0</v>
      </c>
      <c r="Y795" s="29">
        <f t="shared" si="274"/>
        <v>0</v>
      </c>
      <c r="Z795" s="29">
        <f t="shared" si="275"/>
        <v>18807</v>
      </c>
    </row>
    <row r="796" spans="1:26" x14ac:dyDescent="0.3">
      <c r="A796" s="5" t="s">
        <v>2343</v>
      </c>
      <c r="B796" s="5" t="s">
        <v>2344</v>
      </c>
      <c r="C796" s="5">
        <v>8</v>
      </c>
      <c r="D796" s="6">
        <v>940</v>
      </c>
      <c r="E796" s="17">
        <f>VLOOKUP(A796,'forecast data dump'!$A$1:$H$3450,4,FALSE)</f>
        <v>44446</v>
      </c>
      <c r="F796" s="17">
        <f>VLOOKUP(A796,'forecast data dump'!$A$1:$H$3450,5,FALSE)</f>
        <v>44459</v>
      </c>
      <c r="G796" s="42">
        <f>VLOOKUP(A796,'forecast data dump'!$A$1:$H$3450,8,FALSE)</f>
        <v>0</v>
      </c>
      <c r="H796" s="5" t="s">
        <v>3745</v>
      </c>
      <c r="I796" s="39">
        <f t="shared" si="280"/>
        <v>8</v>
      </c>
      <c r="J796" s="5"/>
      <c r="K796" s="5"/>
      <c r="L796" s="33">
        <f t="shared" si="281"/>
        <v>940</v>
      </c>
      <c r="M796" s="33">
        <f t="shared" si="282"/>
        <v>940</v>
      </c>
      <c r="N796" s="33">
        <f t="shared" si="283"/>
        <v>0</v>
      </c>
      <c r="T796">
        <v>1</v>
      </c>
      <c r="U796" s="29">
        <f t="shared" si="270"/>
        <v>0</v>
      </c>
      <c r="V796" s="29">
        <f t="shared" si="271"/>
        <v>0</v>
      </c>
      <c r="W796" s="29">
        <f t="shared" si="272"/>
        <v>0</v>
      </c>
      <c r="X796" s="29">
        <f t="shared" si="273"/>
        <v>0</v>
      </c>
      <c r="Y796" s="29">
        <f t="shared" si="274"/>
        <v>0</v>
      </c>
      <c r="Z796" s="29">
        <f t="shared" si="275"/>
        <v>940</v>
      </c>
    </row>
    <row r="797" spans="1:26" x14ac:dyDescent="0.3">
      <c r="A797" s="3" t="s">
        <v>7893</v>
      </c>
      <c r="B797" s="3"/>
      <c r="C797" s="3"/>
      <c r="D797" s="4"/>
      <c r="E797" s="15"/>
      <c r="F797" s="15"/>
      <c r="G797" s="41"/>
      <c r="H797" s="3"/>
      <c r="I797" s="38"/>
      <c r="J797" s="3"/>
      <c r="K797" s="3"/>
      <c r="L797" s="32"/>
      <c r="M797" s="32"/>
      <c r="N797" s="32"/>
      <c r="U797" s="29"/>
      <c r="V797" s="29"/>
      <c r="W797" s="29"/>
      <c r="X797" s="29"/>
      <c r="Y797" s="29"/>
      <c r="Z797" s="29"/>
    </row>
    <row r="798" spans="1:26" x14ac:dyDescent="0.3">
      <c r="A798" s="5" t="s">
        <v>2355</v>
      </c>
      <c r="B798" s="5" t="s">
        <v>2356</v>
      </c>
      <c r="C798" s="5">
        <v>600</v>
      </c>
      <c r="D798" s="6">
        <v>80708</v>
      </c>
      <c r="E798" s="17" t="str">
        <f>VLOOKUP(A798,'forecast data dump'!$A$1:$H$3450,4,FALSE)</f>
        <v>21-Jun-21 A</v>
      </c>
      <c r="F798" s="17">
        <f>VLOOKUP(A798,'forecast data dump'!$A$1:$H$3450,5,FALSE)</f>
        <v>44442</v>
      </c>
      <c r="G798" s="42">
        <v>0.3</v>
      </c>
      <c r="H798" s="5" t="s">
        <v>3765</v>
      </c>
      <c r="I798" s="39">
        <f t="shared" ref="I798:I846" si="284">C798*(1-G798)</f>
        <v>420</v>
      </c>
      <c r="J798" s="5"/>
      <c r="K798" s="5"/>
      <c r="L798" s="33">
        <f t="shared" ref="L798:L846" si="285">D798*(1-G798)</f>
        <v>56495.6</v>
      </c>
      <c r="M798" s="33">
        <f t="shared" ref="M798:M846" si="286">IF(J798="",L798,(D798/C798)*J798)</f>
        <v>56495.6</v>
      </c>
      <c r="N798" s="33">
        <f t="shared" ref="N798:N846" si="287">L798-M798</f>
        <v>0</v>
      </c>
      <c r="R798">
        <v>1</v>
      </c>
      <c r="U798" s="29">
        <f t="shared" si="270"/>
        <v>0</v>
      </c>
      <c r="V798" s="29">
        <f t="shared" si="271"/>
        <v>0</v>
      </c>
      <c r="W798" s="29">
        <f t="shared" si="272"/>
        <v>0</v>
      </c>
      <c r="X798" s="29">
        <f t="shared" si="273"/>
        <v>56495.6</v>
      </c>
      <c r="Y798" s="29">
        <f t="shared" si="274"/>
        <v>0</v>
      </c>
      <c r="Z798" s="29">
        <f t="shared" si="275"/>
        <v>0</v>
      </c>
    </row>
    <row r="799" spans="1:26" x14ac:dyDescent="0.3">
      <c r="A799" s="5" t="s">
        <v>2355</v>
      </c>
      <c r="B799" s="5" t="s">
        <v>2356</v>
      </c>
      <c r="C799" s="5">
        <v>20</v>
      </c>
      <c r="D799" s="6">
        <v>2065</v>
      </c>
      <c r="E799" s="17" t="str">
        <f>VLOOKUP(A799,'forecast data dump'!$A$1:$H$3450,4,FALSE)</f>
        <v>21-Jun-21 A</v>
      </c>
      <c r="F799" s="17">
        <f>VLOOKUP(A799,'forecast data dump'!$A$1:$H$3450,5,FALSE)</f>
        <v>44442</v>
      </c>
      <c r="G799" s="42">
        <v>0.3</v>
      </c>
      <c r="H799" s="5" t="s">
        <v>3757</v>
      </c>
      <c r="I799" s="39">
        <f t="shared" si="284"/>
        <v>14</v>
      </c>
      <c r="J799" s="5"/>
      <c r="K799" s="5"/>
      <c r="L799" s="33">
        <f t="shared" si="285"/>
        <v>1445.5</v>
      </c>
      <c r="M799" s="33">
        <f t="shared" si="286"/>
        <v>1445.5</v>
      </c>
      <c r="N799" s="33">
        <f t="shared" si="287"/>
        <v>0</v>
      </c>
      <c r="R799">
        <v>1</v>
      </c>
      <c r="U799" s="29">
        <f t="shared" si="270"/>
        <v>0</v>
      </c>
      <c r="V799" s="29">
        <f t="shared" si="271"/>
        <v>0</v>
      </c>
      <c r="W799" s="29">
        <f t="shared" si="272"/>
        <v>0</v>
      </c>
      <c r="X799" s="29">
        <f t="shared" si="273"/>
        <v>1445.5</v>
      </c>
      <c r="Y799" s="29">
        <f t="shared" si="274"/>
        <v>0</v>
      </c>
      <c r="Z799" s="29">
        <f t="shared" si="275"/>
        <v>0</v>
      </c>
    </row>
    <row r="800" spans="1:26" x14ac:dyDescent="0.3">
      <c r="A800" s="5" t="s">
        <v>2355</v>
      </c>
      <c r="B800" s="5" t="s">
        <v>2356</v>
      </c>
      <c r="C800" s="5">
        <v>8</v>
      </c>
      <c r="D800" s="6">
        <v>1213</v>
      </c>
      <c r="E800" s="17" t="str">
        <f>VLOOKUP(A800,'forecast data dump'!$A$1:$H$3450,4,FALSE)</f>
        <v>21-Jun-21 A</v>
      </c>
      <c r="F800" s="17">
        <f>VLOOKUP(A800,'forecast data dump'!$A$1:$H$3450,5,FALSE)</f>
        <v>44442</v>
      </c>
      <c r="G800" s="42">
        <v>0.3</v>
      </c>
      <c r="H800" s="5" t="s">
        <v>3763</v>
      </c>
      <c r="I800" s="39">
        <f t="shared" si="284"/>
        <v>5.6</v>
      </c>
      <c r="J800" s="5"/>
      <c r="K800" s="5"/>
      <c r="L800" s="33">
        <f t="shared" si="285"/>
        <v>849.09999999999991</v>
      </c>
      <c r="M800" s="33">
        <f t="shared" si="286"/>
        <v>849.09999999999991</v>
      </c>
      <c r="N800" s="33">
        <f t="shared" si="287"/>
        <v>0</v>
      </c>
      <c r="R800">
        <v>1</v>
      </c>
      <c r="U800" s="29">
        <f t="shared" si="270"/>
        <v>0</v>
      </c>
      <c r="V800" s="29">
        <f t="shared" si="271"/>
        <v>0</v>
      </c>
      <c r="W800" s="29">
        <f t="shared" si="272"/>
        <v>0</v>
      </c>
      <c r="X800" s="29">
        <f t="shared" si="273"/>
        <v>849.09999999999991</v>
      </c>
      <c r="Y800" s="29">
        <f t="shared" si="274"/>
        <v>0</v>
      </c>
      <c r="Z800" s="29">
        <f t="shared" si="275"/>
        <v>0</v>
      </c>
    </row>
    <row r="801" spans="1:26" x14ac:dyDescent="0.3">
      <c r="A801" s="5" t="s">
        <v>2357</v>
      </c>
      <c r="B801" s="5" t="s">
        <v>2358</v>
      </c>
      <c r="C801" s="5">
        <v>8</v>
      </c>
      <c r="D801" s="6">
        <v>851</v>
      </c>
      <c r="E801" s="17">
        <f>VLOOKUP(A801,'forecast data dump'!$A$1:$H$3450,4,FALSE)</f>
        <v>44488</v>
      </c>
      <c r="F801" s="17">
        <f>VLOOKUP(A801,'forecast data dump'!$A$1:$H$3450,5,FALSE)</f>
        <v>44501</v>
      </c>
      <c r="G801" s="42">
        <f>VLOOKUP(A801,'forecast data dump'!$A$1:$H$3450,8,FALSE)</f>
        <v>0</v>
      </c>
      <c r="H801" s="5" t="s">
        <v>3757</v>
      </c>
      <c r="I801" s="39">
        <f t="shared" si="284"/>
        <v>8</v>
      </c>
      <c r="J801" s="5"/>
      <c r="K801" s="5"/>
      <c r="L801" s="33">
        <f t="shared" si="285"/>
        <v>851</v>
      </c>
      <c r="M801" s="33">
        <f t="shared" si="286"/>
        <v>851</v>
      </c>
      <c r="N801" s="33">
        <f t="shared" si="287"/>
        <v>0</v>
      </c>
      <c r="T801">
        <v>1</v>
      </c>
      <c r="U801" s="29">
        <f t="shared" si="270"/>
        <v>0</v>
      </c>
      <c r="V801" s="29">
        <f t="shared" si="271"/>
        <v>0</v>
      </c>
      <c r="W801" s="29">
        <f t="shared" si="272"/>
        <v>0</v>
      </c>
      <c r="X801" s="29">
        <f t="shared" si="273"/>
        <v>0</v>
      </c>
      <c r="Y801" s="29">
        <f t="shared" si="274"/>
        <v>0</v>
      </c>
      <c r="Z801" s="29">
        <f t="shared" si="275"/>
        <v>851</v>
      </c>
    </row>
    <row r="802" spans="1:26" x14ac:dyDescent="0.3">
      <c r="A802" s="5" t="s">
        <v>2359</v>
      </c>
      <c r="B802" s="5" t="s">
        <v>2360</v>
      </c>
      <c r="C802" s="5">
        <v>480</v>
      </c>
      <c r="D802" s="6">
        <v>66503</v>
      </c>
      <c r="E802" s="17">
        <f>VLOOKUP(A802,'forecast data dump'!$A$1:$H$3450,4,FALSE)</f>
        <v>44495</v>
      </c>
      <c r="F802" s="17">
        <f>VLOOKUP(A802,'forecast data dump'!$A$1:$H$3450,5,FALSE)</f>
        <v>44523</v>
      </c>
      <c r="G802" s="42">
        <f>VLOOKUP(A802,'forecast data dump'!$A$1:$H$3450,8,FALSE)</f>
        <v>0</v>
      </c>
      <c r="H802" s="5" t="s">
        <v>3765</v>
      </c>
      <c r="I802" s="39">
        <f t="shared" si="284"/>
        <v>480</v>
      </c>
      <c r="J802" s="5"/>
      <c r="K802" s="5"/>
      <c r="L802" s="33">
        <f t="shared" si="285"/>
        <v>66503</v>
      </c>
      <c r="M802" s="33">
        <f t="shared" si="286"/>
        <v>66503</v>
      </c>
      <c r="N802" s="33">
        <f t="shared" si="287"/>
        <v>0</v>
      </c>
      <c r="T802">
        <v>1</v>
      </c>
      <c r="U802" s="29">
        <f t="shared" si="270"/>
        <v>0</v>
      </c>
      <c r="V802" s="29">
        <f t="shared" si="271"/>
        <v>0</v>
      </c>
      <c r="W802" s="29">
        <f t="shared" si="272"/>
        <v>0</v>
      </c>
      <c r="X802" s="29">
        <f t="shared" si="273"/>
        <v>0</v>
      </c>
      <c r="Y802" s="29">
        <f t="shared" si="274"/>
        <v>0</v>
      </c>
      <c r="Z802" s="29">
        <f t="shared" si="275"/>
        <v>66503</v>
      </c>
    </row>
    <row r="803" spans="1:26" x14ac:dyDescent="0.3">
      <c r="A803" s="5" t="s">
        <v>2359</v>
      </c>
      <c r="B803" s="5" t="s">
        <v>2360</v>
      </c>
      <c r="C803" s="5">
        <v>20</v>
      </c>
      <c r="D803" s="6">
        <v>2126</v>
      </c>
      <c r="E803" s="17">
        <f>VLOOKUP(A803,'forecast data dump'!$A$1:$H$3450,4,FALSE)</f>
        <v>44495</v>
      </c>
      <c r="F803" s="17">
        <f>VLOOKUP(A803,'forecast data dump'!$A$1:$H$3450,5,FALSE)</f>
        <v>44523</v>
      </c>
      <c r="G803" s="42">
        <f>VLOOKUP(A803,'forecast data dump'!$A$1:$H$3450,8,FALSE)</f>
        <v>0</v>
      </c>
      <c r="H803" s="5" t="s">
        <v>3757</v>
      </c>
      <c r="I803" s="39">
        <f t="shared" si="284"/>
        <v>20</v>
      </c>
      <c r="J803" s="5"/>
      <c r="K803" s="5"/>
      <c r="L803" s="33">
        <f t="shared" si="285"/>
        <v>2126</v>
      </c>
      <c r="M803" s="33">
        <f t="shared" si="286"/>
        <v>2126</v>
      </c>
      <c r="N803" s="33">
        <f t="shared" si="287"/>
        <v>0</v>
      </c>
      <c r="T803">
        <v>1</v>
      </c>
      <c r="U803" s="29">
        <f t="shared" si="270"/>
        <v>0</v>
      </c>
      <c r="V803" s="29">
        <f t="shared" si="271"/>
        <v>0</v>
      </c>
      <c r="W803" s="29">
        <f t="shared" si="272"/>
        <v>0</v>
      </c>
      <c r="X803" s="29">
        <f t="shared" si="273"/>
        <v>0</v>
      </c>
      <c r="Y803" s="29">
        <f t="shared" si="274"/>
        <v>0</v>
      </c>
      <c r="Z803" s="29">
        <f t="shared" si="275"/>
        <v>2126</v>
      </c>
    </row>
    <row r="804" spans="1:26" x14ac:dyDescent="0.3">
      <c r="A804" s="5" t="s">
        <v>2359</v>
      </c>
      <c r="B804" s="5" t="s">
        <v>2360</v>
      </c>
      <c r="C804" s="5">
        <v>8</v>
      </c>
      <c r="D804" s="6">
        <v>1250</v>
      </c>
      <c r="E804" s="17">
        <f>VLOOKUP(A804,'forecast data dump'!$A$1:$H$3450,4,FALSE)</f>
        <v>44495</v>
      </c>
      <c r="F804" s="17">
        <f>VLOOKUP(A804,'forecast data dump'!$A$1:$H$3450,5,FALSE)</f>
        <v>44523</v>
      </c>
      <c r="G804" s="42">
        <f>VLOOKUP(A804,'forecast data dump'!$A$1:$H$3450,8,FALSE)</f>
        <v>0</v>
      </c>
      <c r="H804" s="5" t="s">
        <v>3763</v>
      </c>
      <c r="I804" s="39">
        <f t="shared" si="284"/>
        <v>8</v>
      </c>
      <c r="J804" s="5"/>
      <c r="K804" s="5"/>
      <c r="L804" s="33">
        <f t="shared" si="285"/>
        <v>1250</v>
      </c>
      <c r="M804" s="33">
        <f t="shared" si="286"/>
        <v>1250</v>
      </c>
      <c r="N804" s="33">
        <f t="shared" si="287"/>
        <v>0</v>
      </c>
      <c r="T804">
        <v>1</v>
      </c>
      <c r="U804" s="29">
        <f t="shared" si="270"/>
        <v>0</v>
      </c>
      <c r="V804" s="29">
        <f t="shared" si="271"/>
        <v>0</v>
      </c>
      <c r="W804" s="29">
        <f t="shared" si="272"/>
        <v>0</v>
      </c>
      <c r="X804" s="29">
        <f t="shared" si="273"/>
        <v>0</v>
      </c>
      <c r="Y804" s="29">
        <f t="shared" si="274"/>
        <v>0</v>
      </c>
      <c r="Z804" s="29">
        <f t="shared" si="275"/>
        <v>1250</v>
      </c>
    </row>
    <row r="805" spans="1:26" x14ac:dyDescent="0.3">
      <c r="A805" s="5" t="s">
        <v>2361</v>
      </c>
      <c r="B805" s="5" t="s">
        <v>2362</v>
      </c>
      <c r="C805" s="5">
        <v>4</v>
      </c>
      <c r="D805" s="6">
        <v>484</v>
      </c>
      <c r="E805" s="17">
        <f>VLOOKUP(A805,'forecast data dump'!$A$1:$H$3450,4,FALSE)</f>
        <v>44524</v>
      </c>
      <c r="F805" s="17">
        <f>VLOOKUP(A805,'forecast data dump'!$A$1:$H$3450,5,FALSE)</f>
        <v>44532</v>
      </c>
      <c r="G805" s="42">
        <f>VLOOKUP(A805,'forecast data dump'!$A$1:$H$3450,8,FALSE)</f>
        <v>0</v>
      </c>
      <c r="H805" s="5" t="s">
        <v>3745</v>
      </c>
      <c r="I805" s="39">
        <f t="shared" si="284"/>
        <v>4</v>
      </c>
      <c r="J805" s="5"/>
      <c r="K805" s="5"/>
      <c r="L805" s="33">
        <f t="shared" si="285"/>
        <v>484</v>
      </c>
      <c r="M805" s="33">
        <f t="shared" si="286"/>
        <v>484</v>
      </c>
      <c r="N805" s="33">
        <f t="shared" si="287"/>
        <v>0</v>
      </c>
      <c r="T805">
        <v>1</v>
      </c>
      <c r="U805" s="29">
        <f t="shared" ref="U805:U868" si="288">O805*M805</f>
        <v>0</v>
      </c>
      <c r="V805" s="29">
        <f t="shared" ref="V805:V868" si="289">P805*M805</f>
        <v>0</v>
      </c>
      <c r="W805" s="29">
        <f t="shared" ref="W805:W868" si="290">Q805*M805</f>
        <v>0</v>
      </c>
      <c r="X805" s="29">
        <f t="shared" ref="X805:X868" si="291">R805*M805</f>
        <v>0</v>
      </c>
      <c r="Y805" s="29">
        <f t="shared" ref="Y805:Y868" si="292">S805*M805</f>
        <v>0</v>
      </c>
      <c r="Z805" s="29">
        <f t="shared" ref="Z805:Z868" si="293">T805*M805</f>
        <v>484</v>
      </c>
    </row>
    <row r="806" spans="1:26" x14ac:dyDescent="0.3">
      <c r="A806" s="5" t="s">
        <v>2361</v>
      </c>
      <c r="B806" s="5" t="s">
        <v>2362</v>
      </c>
      <c r="C806" s="5">
        <v>20</v>
      </c>
      <c r="D806" s="6">
        <v>2421</v>
      </c>
      <c r="E806" s="17">
        <f>VLOOKUP(A806,'forecast data dump'!$A$1:$H$3450,4,FALSE)</f>
        <v>44524</v>
      </c>
      <c r="F806" s="17">
        <f>VLOOKUP(A806,'forecast data dump'!$A$1:$H$3450,5,FALSE)</f>
        <v>44532</v>
      </c>
      <c r="G806" s="42">
        <f>VLOOKUP(A806,'forecast data dump'!$A$1:$H$3450,8,FALSE)</f>
        <v>0</v>
      </c>
      <c r="H806" s="5" t="s">
        <v>3741</v>
      </c>
      <c r="I806" s="39">
        <f t="shared" si="284"/>
        <v>20</v>
      </c>
      <c r="J806" s="5"/>
      <c r="K806" s="5"/>
      <c r="L806" s="33">
        <f t="shared" si="285"/>
        <v>2421</v>
      </c>
      <c r="M806" s="33">
        <f t="shared" si="286"/>
        <v>2421</v>
      </c>
      <c r="N806" s="33">
        <f t="shared" si="287"/>
        <v>0</v>
      </c>
      <c r="T806">
        <v>1</v>
      </c>
      <c r="U806" s="29">
        <f t="shared" si="288"/>
        <v>0</v>
      </c>
      <c r="V806" s="29">
        <f t="shared" si="289"/>
        <v>0</v>
      </c>
      <c r="W806" s="29">
        <f t="shared" si="290"/>
        <v>0</v>
      </c>
      <c r="X806" s="29">
        <f t="shared" si="291"/>
        <v>0</v>
      </c>
      <c r="Y806" s="29">
        <f t="shared" si="292"/>
        <v>0</v>
      </c>
      <c r="Z806" s="29">
        <f t="shared" si="293"/>
        <v>2421</v>
      </c>
    </row>
    <row r="807" spans="1:26" x14ac:dyDescent="0.3">
      <c r="A807" s="5" t="s">
        <v>2363</v>
      </c>
      <c r="B807" s="5" t="s">
        <v>2364</v>
      </c>
      <c r="C807" s="5">
        <v>80</v>
      </c>
      <c r="D807" s="6">
        <v>9686</v>
      </c>
      <c r="E807" s="17">
        <f>VLOOKUP(A807,'forecast data dump'!$A$1:$H$3450,4,FALSE)</f>
        <v>44533</v>
      </c>
      <c r="F807" s="17">
        <f>VLOOKUP(A807,'forecast data dump'!$A$1:$H$3450,5,FALSE)</f>
        <v>44564</v>
      </c>
      <c r="G807" s="42">
        <f>VLOOKUP(A807,'forecast data dump'!$A$1:$H$3450,8,FALSE)</f>
        <v>0</v>
      </c>
      <c r="H807" s="5" t="s">
        <v>3741</v>
      </c>
      <c r="I807" s="39">
        <f t="shared" si="284"/>
        <v>80</v>
      </c>
      <c r="J807" s="5"/>
      <c r="K807" s="5"/>
      <c r="L807" s="33">
        <f t="shared" si="285"/>
        <v>9686</v>
      </c>
      <c r="M807" s="33">
        <f t="shared" si="286"/>
        <v>9686</v>
      </c>
      <c r="N807" s="33">
        <f t="shared" si="287"/>
        <v>0</v>
      </c>
      <c r="T807">
        <v>1</v>
      </c>
      <c r="U807" s="29">
        <f t="shared" si="288"/>
        <v>0</v>
      </c>
      <c r="V807" s="29">
        <f t="shared" si="289"/>
        <v>0</v>
      </c>
      <c r="W807" s="29">
        <f t="shared" si="290"/>
        <v>0</v>
      </c>
      <c r="X807" s="29">
        <f t="shared" si="291"/>
        <v>0</v>
      </c>
      <c r="Y807" s="29">
        <f t="shared" si="292"/>
        <v>0</v>
      </c>
      <c r="Z807" s="29">
        <f t="shared" si="293"/>
        <v>9686</v>
      </c>
    </row>
    <row r="808" spans="1:26" x14ac:dyDescent="0.3">
      <c r="A808" s="5" t="s">
        <v>2363</v>
      </c>
      <c r="B808" s="5" t="s">
        <v>2364</v>
      </c>
      <c r="C808" s="5">
        <v>160</v>
      </c>
      <c r="D808" s="6">
        <v>19372</v>
      </c>
      <c r="E808" s="17">
        <f>VLOOKUP(A808,'forecast data dump'!$A$1:$H$3450,4,FALSE)</f>
        <v>44533</v>
      </c>
      <c r="F808" s="17">
        <f>VLOOKUP(A808,'forecast data dump'!$A$1:$H$3450,5,FALSE)</f>
        <v>44564</v>
      </c>
      <c r="G808" s="42">
        <f>VLOOKUP(A808,'forecast data dump'!$A$1:$H$3450,8,FALSE)</f>
        <v>0</v>
      </c>
      <c r="H808" s="5" t="s">
        <v>3742</v>
      </c>
      <c r="I808" s="39">
        <f t="shared" si="284"/>
        <v>160</v>
      </c>
      <c r="J808" s="5"/>
      <c r="K808" s="5"/>
      <c r="L808" s="33">
        <f t="shared" si="285"/>
        <v>19372</v>
      </c>
      <c r="M808" s="33">
        <f t="shared" si="286"/>
        <v>19372</v>
      </c>
      <c r="N808" s="33">
        <f t="shared" si="287"/>
        <v>0</v>
      </c>
      <c r="T808">
        <v>1</v>
      </c>
      <c r="U808" s="29">
        <f t="shared" si="288"/>
        <v>0</v>
      </c>
      <c r="V808" s="29">
        <f t="shared" si="289"/>
        <v>0</v>
      </c>
      <c r="W808" s="29">
        <f t="shared" si="290"/>
        <v>0</v>
      </c>
      <c r="X808" s="29">
        <f t="shared" si="291"/>
        <v>0</v>
      </c>
      <c r="Y808" s="29">
        <f t="shared" si="292"/>
        <v>0</v>
      </c>
      <c r="Z808" s="29">
        <f t="shared" si="293"/>
        <v>19372</v>
      </c>
    </row>
    <row r="809" spans="1:26" x14ac:dyDescent="0.3">
      <c r="A809" s="5" t="s">
        <v>2363</v>
      </c>
      <c r="B809" s="5" t="s">
        <v>2364</v>
      </c>
      <c r="C809" s="5">
        <v>80</v>
      </c>
      <c r="D809" s="6">
        <v>12499</v>
      </c>
      <c r="E809" s="17">
        <f>VLOOKUP(A809,'forecast data dump'!$A$1:$H$3450,4,FALSE)</f>
        <v>44533</v>
      </c>
      <c r="F809" s="17">
        <f>VLOOKUP(A809,'forecast data dump'!$A$1:$H$3450,5,FALSE)</f>
        <v>44564</v>
      </c>
      <c r="G809" s="42">
        <f>VLOOKUP(A809,'forecast data dump'!$A$1:$H$3450,8,FALSE)</f>
        <v>0</v>
      </c>
      <c r="H809" s="5" t="s">
        <v>3744</v>
      </c>
      <c r="I809" s="39">
        <f t="shared" si="284"/>
        <v>80</v>
      </c>
      <c r="J809" s="5"/>
      <c r="K809" s="5"/>
      <c r="L809" s="33">
        <f t="shared" si="285"/>
        <v>12499</v>
      </c>
      <c r="M809" s="33">
        <f t="shared" si="286"/>
        <v>12499</v>
      </c>
      <c r="N809" s="33">
        <f t="shared" si="287"/>
        <v>0</v>
      </c>
      <c r="T809">
        <v>1</v>
      </c>
      <c r="U809" s="29">
        <f t="shared" si="288"/>
        <v>0</v>
      </c>
      <c r="V809" s="29">
        <f t="shared" si="289"/>
        <v>0</v>
      </c>
      <c r="W809" s="29">
        <f t="shared" si="290"/>
        <v>0</v>
      </c>
      <c r="X809" s="29">
        <f t="shared" si="291"/>
        <v>0</v>
      </c>
      <c r="Y809" s="29">
        <f t="shared" si="292"/>
        <v>0</v>
      </c>
      <c r="Z809" s="29">
        <f t="shared" si="293"/>
        <v>12499</v>
      </c>
    </row>
    <row r="810" spans="1:26" x14ac:dyDescent="0.3">
      <c r="A810" s="5" t="s">
        <v>2365</v>
      </c>
      <c r="B810" s="5" t="s">
        <v>2366</v>
      </c>
      <c r="C810" s="5">
        <v>8</v>
      </c>
      <c r="D810" s="6">
        <v>1250</v>
      </c>
      <c r="E810" s="17">
        <f>VLOOKUP(A810,'forecast data dump'!$A$1:$H$3450,4,FALSE)</f>
        <v>44565</v>
      </c>
      <c r="F810" s="17">
        <f>VLOOKUP(A810,'forecast data dump'!$A$1:$H$3450,5,FALSE)</f>
        <v>44579</v>
      </c>
      <c r="G810" s="42">
        <f>VLOOKUP(A810,'forecast data dump'!$A$1:$H$3450,8,FALSE)</f>
        <v>0</v>
      </c>
      <c r="H810" s="5" t="s">
        <v>3733</v>
      </c>
      <c r="I810" s="39">
        <f t="shared" si="284"/>
        <v>8</v>
      </c>
      <c r="J810" s="5"/>
      <c r="K810" s="5"/>
      <c r="L810" s="33">
        <f t="shared" si="285"/>
        <v>1250</v>
      </c>
      <c r="M810" s="33">
        <f t="shared" si="286"/>
        <v>1250</v>
      </c>
      <c r="N810" s="33">
        <f t="shared" si="287"/>
        <v>0</v>
      </c>
      <c r="T810">
        <v>1</v>
      </c>
      <c r="U810" s="29">
        <f t="shared" si="288"/>
        <v>0</v>
      </c>
      <c r="V810" s="29">
        <f t="shared" si="289"/>
        <v>0</v>
      </c>
      <c r="W810" s="29">
        <f t="shared" si="290"/>
        <v>0</v>
      </c>
      <c r="X810" s="29">
        <f t="shared" si="291"/>
        <v>0</v>
      </c>
      <c r="Y810" s="29">
        <f t="shared" si="292"/>
        <v>0</v>
      </c>
      <c r="Z810" s="29">
        <f t="shared" si="293"/>
        <v>1250</v>
      </c>
    </row>
    <row r="811" spans="1:26" x14ac:dyDescent="0.3">
      <c r="A811" s="5" t="s">
        <v>2365</v>
      </c>
      <c r="B811" s="5" t="s">
        <v>2366</v>
      </c>
      <c r="C811" s="5">
        <v>8</v>
      </c>
      <c r="D811" s="6">
        <v>969</v>
      </c>
      <c r="E811" s="17">
        <f>VLOOKUP(A811,'forecast data dump'!$A$1:$H$3450,4,FALSE)</f>
        <v>44565</v>
      </c>
      <c r="F811" s="17">
        <f>VLOOKUP(A811,'forecast data dump'!$A$1:$H$3450,5,FALSE)</f>
        <v>44579</v>
      </c>
      <c r="G811" s="42">
        <f>VLOOKUP(A811,'forecast data dump'!$A$1:$H$3450,8,FALSE)</f>
        <v>0</v>
      </c>
      <c r="H811" s="5" t="s">
        <v>3745</v>
      </c>
      <c r="I811" s="39">
        <f t="shared" si="284"/>
        <v>8</v>
      </c>
      <c r="J811" s="5"/>
      <c r="K811" s="5"/>
      <c r="L811" s="33">
        <f t="shared" si="285"/>
        <v>969</v>
      </c>
      <c r="M811" s="33">
        <f t="shared" si="286"/>
        <v>969</v>
      </c>
      <c r="N811" s="33">
        <f t="shared" si="287"/>
        <v>0</v>
      </c>
      <c r="T811">
        <v>1</v>
      </c>
      <c r="U811" s="29">
        <f t="shared" si="288"/>
        <v>0</v>
      </c>
      <c r="V811" s="29">
        <f t="shared" si="289"/>
        <v>0</v>
      </c>
      <c r="W811" s="29">
        <f t="shared" si="290"/>
        <v>0</v>
      </c>
      <c r="X811" s="29">
        <f t="shared" si="291"/>
        <v>0</v>
      </c>
      <c r="Y811" s="29">
        <f t="shared" si="292"/>
        <v>0</v>
      </c>
      <c r="Z811" s="29">
        <f t="shared" si="293"/>
        <v>969</v>
      </c>
    </row>
    <row r="812" spans="1:26" x14ac:dyDescent="0.3">
      <c r="A812" s="5" t="s">
        <v>2365</v>
      </c>
      <c r="B812" s="5" t="s">
        <v>2366</v>
      </c>
      <c r="C812" s="5">
        <v>8</v>
      </c>
      <c r="D812" s="6">
        <v>969</v>
      </c>
      <c r="E812" s="17">
        <f>VLOOKUP(A812,'forecast data dump'!$A$1:$H$3450,4,FALSE)</f>
        <v>44565</v>
      </c>
      <c r="F812" s="17">
        <f>VLOOKUP(A812,'forecast data dump'!$A$1:$H$3450,5,FALSE)</f>
        <v>44579</v>
      </c>
      <c r="G812" s="42">
        <f>VLOOKUP(A812,'forecast data dump'!$A$1:$H$3450,8,FALSE)</f>
        <v>0</v>
      </c>
      <c r="H812" s="5" t="s">
        <v>3741</v>
      </c>
      <c r="I812" s="39">
        <f t="shared" si="284"/>
        <v>8</v>
      </c>
      <c r="J812" s="5"/>
      <c r="K812" s="5"/>
      <c r="L812" s="33">
        <f t="shared" si="285"/>
        <v>969</v>
      </c>
      <c r="M812" s="33">
        <f t="shared" si="286"/>
        <v>969</v>
      </c>
      <c r="N812" s="33">
        <f t="shared" si="287"/>
        <v>0</v>
      </c>
      <c r="T812">
        <v>1</v>
      </c>
      <c r="U812" s="29">
        <f t="shared" si="288"/>
        <v>0</v>
      </c>
      <c r="V812" s="29">
        <f t="shared" si="289"/>
        <v>0</v>
      </c>
      <c r="W812" s="29">
        <f t="shared" si="290"/>
        <v>0</v>
      </c>
      <c r="X812" s="29">
        <f t="shared" si="291"/>
        <v>0</v>
      </c>
      <c r="Y812" s="29">
        <f t="shared" si="292"/>
        <v>0</v>
      </c>
      <c r="Z812" s="29">
        <f t="shared" si="293"/>
        <v>969</v>
      </c>
    </row>
    <row r="813" spans="1:26" x14ac:dyDescent="0.3">
      <c r="A813" s="5" t="s">
        <v>2365</v>
      </c>
      <c r="B813" s="5" t="s">
        <v>2366</v>
      </c>
      <c r="C813" s="5">
        <v>8</v>
      </c>
      <c r="D813" s="6">
        <v>969</v>
      </c>
      <c r="E813" s="17">
        <f>VLOOKUP(A813,'forecast data dump'!$A$1:$H$3450,4,FALSE)</f>
        <v>44565</v>
      </c>
      <c r="F813" s="17">
        <f>VLOOKUP(A813,'forecast data dump'!$A$1:$H$3450,5,FALSE)</f>
        <v>44579</v>
      </c>
      <c r="G813" s="42">
        <f>VLOOKUP(A813,'forecast data dump'!$A$1:$H$3450,8,FALSE)</f>
        <v>0</v>
      </c>
      <c r="H813" s="5" t="s">
        <v>3742</v>
      </c>
      <c r="I813" s="39">
        <f t="shared" si="284"/>
        <v>8</v>
      </c>
      <c r="J813" s="5"/>
      <c r="K813" s="5"/>
      <c r="L813" s="33">
        <f t="shared" si="285"/>
        <v>969</v>
      </c>
      <c r="M813" s="33">
        <f t="shared" si="286"/>
        <v>969</v>
      </c>
      <c r="N813" s="33">
        <f t="shared" si="287"/>
        <v>0</v>
      </c>
      <c r="T813">
        <v>1</v>
      </c>
      <c r="U813" s="29">
        <f t="shared" si="288"/>
        <v>0</v>
      </c>
      <c r="V813" s="29">
        <f t="shared" si="289"/>
        <v>0</v>
      </c>
      <c r="W813" s="29">
        <f t="shared" si="290"/>
        <v>0</v>
      </c>
      <c r="X813" s="29">
        <f t="shared" si="291"/>
        <v>0</v>
      </c>
      <c r="Y813" s="29">
        <f t="shared" si="292"/>
        <v>0</v>
      </c>
      <c r="Z813" s="29">
        <f t="shared" si="293"/>
        <v>969</v>
      </c>
    </row>
    <row r="814" spans="1:26" x14ac:dyDescent="0.3">
      <c r="A814" s="5" t="s">
        <v>2367</v>
      </c>
      <c r="B814" s="5" t="s">
        <v>2368</v>
      </c>
      <c r="C814" s="5">
        <v>8</v>
      </c>
      <c r="D814" s="6">
        <v>1250</v>
      </c>
      <c r="E814" s="17">
        <f>VLOOKUP(A814,'forecast data dump'!$A$1:$H$3450,4,FALSE)</f>
        <v>44580</v>
      </c>
      <c r="F814" s="17">
        <f>VLOOKUP(A814,'forecast data dump'!$A$1:$H$3450,5,FALSE)</f>
        <v>44593</v>
      </c>
      <c r="G814" s="42">
        <f>VLOOKUP(A814,'forecast data dump'!$A$1:$H$3450,8,FALSE)</f>
        <v>0</v>
      </c>
      <c r="H814" s="5" t="s">
        <v>3733</v>
      </c>
      <c r="I814" s="39">
        <f t="shared" si="284"/>
        <v>8</v>
      </c>
      <c r="J814" s="5"/>
      <c r="K814" s="5"/>
      <c r="L814" s="33">
        <f t="shared" si="285"/>
        <v>1250</v>
      </c>
      <c r="M814" s="33">
        <f t="shared" si="286"/>
        <v>1250</v>
      </c>
      <c r="N814" s="33">
        <f t="shared" si="287"/>
        <v>0</v>
      </c>
      <c r="T814">
        <v>1</v>
      </c>
      <c r="U814" s="29">
        <f t="shared" si="288"/>
        <v>0</v>
      </c>
      <c r="V814" s="29">
        <f t="shared" si="289"/>
        <v>0</v>
      </c>
      <c r="W814" s="29">
        <f t="shared" si="290"/>
        <v>0</v>
      </c>
      <c r="X814" s="29">
        <f t="shared" si="291"/>
        <v>0</v>
      </c>
      <c r="Y814" s="29">
        <f t="shared" si="292"/>
        <v>0</v>
      </c>
      <c r="Z814" s="29">
        <f t="shared" si="293"/>
        <v>1250</v>
      </c>
    </row>
    <row r="815" spans="1:26" x14ac:dyDescent="0.3">
      <c r="A815" s="5" t="s">
        <v>2367</v>
      </c>
      <c r="B815" s="5" t="s">
        <v>2368</v>
      </c>
      <c r="C815" s="5">
        <v>8</v>
      </c>
      <c r="D815" s="6">
        <v>969</v>
      </c>
      <c r="E815" s="17">
        <f>VLOOKUP(A815,'forecast data dump'!$A$1:$H$3450,4,FALSE)</f>
        <v>44580</v>
      </c>
      <c r="F815" s="17">
        <f>VLOOKUP(A815,'forecast data dump'!$A$1:$H$3450,5,FALSE)</f>
        <v>44593</v>
      </c>
      <c r="G815" s="42">
        <f>VLOOKUP(A815,'forecast data dump'!$A$1:$H$3450,8,FALSE)</f>
        <v>0</v>
      </c>
      <c r="H815" s="5" t="s">
        <v>3745</v>
      </c>
      <c r="I815" s="39">
        <f t="shared" si="284"/>
        <v>8</v>
      </c>
      <c r="J815" s="5"/>
      <c r="K815" s="5"/>
      <c r="L815" s="33">
        <f t="shared" si="285"/>
        <v>969</v>
      </c>
      <c r="M815" s="33">
        <f t="shared" si="286"/>
        <v>969</v>
      </c>
      <c r="N815" s="33">
        <f t="shared" si="287"/>
        <v>0</v>
      </c>
      <c r="T815">
        <v>1</v>
      </c>
      <c r="U815" s="29">
        <f t="shared" si="288"/>
        <v>0</v>
      </c>
      <c r="V815" s="29">
        <f t="shared" si="289"/>
        <v>0</v>
      </c>
      <c r="W815" s="29">
        <f t="shared" si="290"/>
        <v>0</v>
      </c>
      <c r="X815" s="29">
        <f t="shared" si="291"/>
        <v>0</v>
      </c>
      <c r="Y815" s="29">
        <f t="shared" si="292"/>
        <v>0</v>
      </c>
      <c r="Z815" s="29">
        <f t="shared" si="293"/>
        <v>969</v>
      </c>
    </row>
    <row r="816" spans="1:26" x14ac:dyDescent="0.3">
      <c r="A816" s="5" t="s">
        <v>2367</v>
      </c>
      <c r="B816" s="5" t="s">
        <v>2368</v>
      </c>
      <c r="C816" s="5">
        <v>8</v>
      </c>
      <c r="D816" s="6">
        <v>969</v>
      </c>
      <c r="E816" s="17">
        <f>VLOOKUP(A816,'forecast data dump'!$A$1:$H$3450,4,FALSE)</f>
        <v>44580</v>
      </c>
      <c r="F816" s="17">
        <f>VLOOKUP(A816,'forecast data dump'!$A$1:$H$3450,5,FALSE)</f>
        <v>44593</v>
      </c>
      <c r="G816" s="42">
        <f>VLOOKUP(A816,'forecast data dump'!$A$1:$H$3450,8,FALSE)</f>
        <v>0</v>
      </c>
      <c r="H816" s="5" t="s">
        <v>3741</v>
      </c>
      <c r="I816" s="39">
        <f t="shared" si="284"/>
        <v>8</v>
      </c>
      <c r="J816" s="5"/>
      <c r="K816" s="5"/>
      <c r="L816" s="33">
        <f t="shared" si="285"/>
        <v>969</v>
      </c>
      <c r="M816" s="33">
        <f t="shared" si="286"/>
        <v>969</v>
      </c>
      <c r="N816" s="33">
        <f t="shared" si="287"/>
        <v>0</v>
      </c>
      <c r="T816">
        <v>1</v>
      </c>
      <c r="U816" s="29">
        <f t="shared" si="288"/>
        <v>0</v>
      </c>
      <c r="V816" s="29">
        <f t="shared" si="289"/>
        <v>0</v>
      </c>
      <c r="W816" s="29">
        <f t="shared" si="290"/>
        <v>0</v>
      </c>
      <c r="X816" s="29">
        <f t="shared" si="291"/>
        <v>0</v>
      </c>
      <c r="Y816" s="29">
        <f t="shared" si="292"/>
        <v>0</v>
      </c>
      <c r="Z816" s="29">
        <f t="shared" si="293"/>
        <v>969</v>
      </c>
    </row>
    <row r="817" spans="1:26" x14ac:dyDescent="0.3">
      <c r="A817" s="5" t="s">
        <v>2367</v>
      </c>
      <c r="B817" s="5" t="s">
        <v>2368</v>
      </c>
      <c r="C817" s="5">
        <v>8</v>
      </c>
      <c r="D817" s="6">
        <v>969</v>
      </c>
      <c r="E817" s="17">
        <f>VLOOKUP(A817,'forecast data dump'!$A$1:$H$3450,4,FALSE)</f>
        <v>44580</v>
      </c>
      <c r="F817" s="17">
        <f>VLOOKUP(A817,'forecast data dump'!$A$1:$H$3450,5,FALSE)</f>
        <v>44593</v>
      </c>
      <c r="G817" s="42">
        <f>VLOOKUP(A817,'forecast data dump'!$A$1:$H$3450,8,FALSE)</f>
        <v>0</v>
      </c>
      <c r="H817" s="5" t="s">
        <v>3742</v>
      </c>
      <c r="I817" s="39">
        <f t="shared" si="284"/>
        <v>8</v>
      </c>
      <c r="J817" s="5"/>
      <c r="K817" s="5"/>
      <c r="L817" s="33">
        <f t="shared" si="285"/>
        <v>969</v>
      </c>
      <c r="M817" s="33">
        <f t="shared" si="286"/>
        <v>969</v>
      </c>
      <c r="N817" s="33">
        <f t="shared" si="287"/>
        <v>0</v>
      </c>
      <c r="T817">
        <v>1</v>
      </c>
      <c r="U817" s="29">
        <f t="shared" si="288"/>
        <v>0</v>
      </c>
      <c r="V817" s="29">
        <f t="shared" si="289"/>
        <v>0</v>
      </c>
      <c r="W817" s="29">
        <f t="shared" si="290"/>
        <v>0</v>
      </c>
      <c r="X817" s="29">
        <f t="shared" si="291"/>
        <v>0</v>
      </c>
      <c r="Y817" s="29">
        <f t="shared" si="292"/>
        <v>0</v>
      </c>
      <c r="Z817" s="29">
        <f t="shared" si="293"/>
        <v>969</v>
      </c>
    </row>
    <row r="818" spans="1:26" x14ac:dyDescent="0.3">
      <c r="A818" s="5" t="s">
        <v>2369</v>
      </c>
      <c r="B818" s="5" t="s">
        <v>2370</v>
      </c>
      <c r="C818" s="5">
        <v>32</v>
      </c>
      <c r="D818" s="6">
        <v>4999</v>
      </c>
      <c r="E818" s="17">
        <f>VLOOKUP(A818,'forecast data dump'!$A$1:$H$3450,4,FALSE)</f>
        <v>44594</v>
      </c>
      <c r="F818" s="17">
        <f>VLOOKUP(A818,'forecast data dump'!$A$1:$H$3450,5,FALSE)</f>
        <v>44622</v>
      </c>
      <c r="G818" s="42">
        <f>VLOOKUP(A818,'forecast data dump'!$A$1:$H$3450,8,FALSE)</f>
        <v>0</v>
      </c>
      <c r="H818" s="5" t="s">
        <v>3733</v>
      </c>
      <c r="I818" s="39">
        <f t="shared" si="284"/>
        <v>32</v>
      </c>
      <c r="J818" s="5"/>
      <c r="K818" s="5"/>
      <c r="L818" s="33">
        <f t="shared" si="285"/>
        <v>4999</v>
      </c>
      <c r="M818" s="33">
        <f t="shared" si="286"/>
        <v>4999</v>
      </c>
      <c r="N818" s="33">
        <f t="shared" si="287"/>
        <v>0</v>
      </c>
      <c r="T818">
        <v>1</v>
      </c>
      <c r="U818" s="29">
        <f t="shared" si="288"/>
        <v>0</v>
      </c>
      <c r="V818" s="29">
        <f t="shared" si="289"/>
        <v>0</v>
      </c>
      <c r="W818" s="29">
        <f t="shared" si="290"/>
        <v>0</v>
      </c>
      <c r="X818" s="29">
        <f t="shared" si="291"/>
        <v>0</v>
      </c>
      <c r="Y818" s="29">
        <f t="shared" si="292"/>
        <v>0</v>
      </c>
      <c r="Z818" s="29">
        <f t="shared" si="293"/>
        <v>4999</v>
      </c>
    </row>
    <row r="819" spans="1:26" x14ac:dyDescent="0.3">
      <c r="A819" s="5" t="s">
        <v>2369</v>
      </c>
      <c r="B819" s="5" t="s">
        <v>2370</v>
      </c>
      <c r="C819" s="5">
        <v>160</v>
      </c>
      <c r="D819" s="6">
        <v>29214</v>
      </c>
      <c r="E819" s="17">
        <f>VLOOKUP(A819,'forecast data dump'!$A$1:$H$3450,4,FALSE)</f>
        <v>44594</v>
      </c>
      <c r="F819" s="17">
        <f>VLOOKUP(A819,'forecast data dump'!$A$1:$H$3450,5,FALSE)</f>
        <v>44622</v>
      </c>
      <c r="G819" s="42">
        <f>VLOOKUP(A819,'forecast data dump'!$A$1:$H$3450,8,FALSE)</f>
        <v>0</v>
      </c>
      <c r="H819" s="5" t="s">
        <v>3740</v>
      </c>
      <c r="I819" s="39">
        <f t="shared" si="284"/>
        <v>160</v>
      </c>
      <c r="J819" s="5"/>
      <c r="K819" s="5"/>
      <c r="L819" s="33">
        <f t="shared" si="285"/>
        <v>29214</v>
      </c>
      <c r="M819" s="33">
        <f t="shared" si="286"/>
        <v>29214</v>
      </c>
      <c r="N819" s="33">
        <f t="shared" si="287"/>
        <v>0</v>
      </c>
      <c r="T819">
        <v>1</v>
      </c>
      <c r="U819" s="29">
        <f t="shared" si="288"/>
        <v>0</v>
      </c>
      <c r="V819" s="29">
        <f t="shared" si="289"/>
        <v>0</v>
      </c>
      <c r="W819" s="29">
        <f t="shared" si="290"/>
        <v>0</v>
      </c>
      <c r="X819" s="29">
        <f t="shared" si="291"/>
        <v>0</v>
      </c>
      <c r="Y819" s="29">
        <f t="shared" si="292"/>
        <v>0</v>
      </c>
      <c r="Z819" s="29">
        <f t="shared" si="293"/>
        <v>29214</v>
      </c>
    </row>
    <row r="820" spans="1:26" x14ac:dyDescent="0.3">
      <c r="A820" s="5" t="s">
        <v>2369</v>
      </c>
      <c r="B820" s="5" t="s">
        <v>2370</v>
      </c>
      <c r="C820" s="5">
        <v>32</v>
      </c>
      <c r="D820" s="6">
        <v>3874</v>
      </c>
      <c r="E820" s="17">
        <f>VLOOKUP(A820,'forecast data dump'!$A$1:$H$3450,4,FALSE)</f>
        <v>44594</v>
      </c>
      <c r="F820" s="17">
        <f>VLOOKUP(A820,'forecast data dump'!$A$1:$H$3450,5,FALSE)</f>
        <v>44622</v>
      </c>
      <c r="G820" s="42">
        <f>VLOOKUP(A820,'forecast data dump'!$A$1:$H$3450,8,FALSE)</f>
        <v>0</v>
      </c>
      <c r="H820" s="5" t="s">
        <v>3745</v>
      </c>
      <c r="I820" s="39">
        <f t="shared" si="284"/>
        <v>32</v>
      </c>
      <c r="J820" s="5"/>
      <c r="K820" s="5"/>
      <c r="L820" s="33">
        <f t="shared" si="285"/>
        <v>3874</v>
      </c>
      <c r="M820" s="33">
        <f t="shared" si="286"/>
        <v>3874</v>
      </c>
      <c r="N820" s="33">
        <f t="shared" si="287"/>
        <v>0</v>
      </c>
      <c r="T820">
        <v>1</v>
      </c>
      <c r="U820" s="29">
        <f t="shared" si="288"/>
        <v>0</v>
      </c>
      <c r="V820" s="29">
        <f t="shared" si="289"/>
        <v>0</v>
      </c>
      <c r="W820" s="29">
        <f t="shared" si="290"/>
        <v>0</v>
      </c>
      <c r="X820" s="29">
        <f t="shared" si="291"/>
        <v>0</v>
      </c>
      <c r="Y820" s="29">
        <f t="shared" si="292"/>
        <v>0</v>
      </c>
      <c r="Z820" s="29">
        <f t="shared" si="293"/>
        <v>3874</v>
      </c>
    </row>
    <row r="821" spans="1:26" x14ac:dyDescent="0.3">
      <c r="A821" s="5" t="s">
        <v>2369</v>
      </c>
      <c r="B821" s="5" t="s">
        <v>2370</v>
      </c>
      <c r="C821" s="5">
        <v>320</v>
      </c>
      <c r="D821" s="6">
        <v>38743</v>
      </c>
      <c r="E821" s="17">
        <f>VLOOKUP(A821,'forecast data dump'!$A$1:$H$3450,4,FALSE)</f>
        <v>44594</v>
      </c>
      <c r="F821" s="17">
        <f>VLOOKUP(A821,'forecast data dump'!$A$1:$H$3450,5,FALSE)</f>
        <v>44622</v>
      </c>
      <c r="G821" s="42">
        <f>VLOOKUP(A821,'forecast data dump'!$A$1:$H$3450,8,FALSE)</f>
        <v>0</v>
      </c>
      <c r="H821" s="5" t="s">
        <v>3741</v>
      </c>
      <c r="I821" s="39">
        <f t="shared" si="284"/>
        <v>320</v>
      </c>
      <c r="J821" s="5"/>
      <c r="K821" s="5"/>
      <c r="L821" s="33">
        <f t="shared" si="285"/>
        <v>38743</v>
      </c>
      <c r="M821" s="33">
        <f t="shared" si="286"/>
        <v>38743</v>
      </c>
      <c r="N821" s="33">
        <f t="shared" si="287"/>
        <v>0</v>
      </c>
      <c r="T821">
        <v>1</v>
      </c>
      <c r="U821" s="29">
        <f t="shared" si="288"/>
        <v>0</v>
      </c>
      <c r="V821" s="29">
        <f t="shared" si="289"/>
        <v>0</v>
      </c>
      <c r="W821" s="29">
        <f t="shared" si="290"/>
        <v>0</v>
      </c>
      <c r="X821" s="29">
        <f t="shared" si="291"/>
        <v>0</v>
      </c>
      <c r="Y821" s="29">
        <f t="shared" si="292"/>
        <v>0</v>
      </c>
      <c r="Z821" s="29">
        <f t="shared" si="293"/>
        <v>38743</v>
      </c>
    </row>
    <row r="822" spans="1:26" x14ac:dyDescent="0.3">
      <c r="A822" s="5" t="s">
        <v>2369</v>
      </c>
      <c r="B822" s="5" t="s">
        <v>2370</v>
      </c>
      <c r="C822" s="5">
        <v>160</v>
      </c>
      <c r="D822" s="6">
        <v>24997</v>
      </c>
      <c r="E822" s="17">
        <f>VLOOKUP(A822,'forecast data dump'!$A$1:$H$3450,4,FALSE)</f>
        <v>44594</v>
      </c>
      <c r="F822" s="17">
        <f>VLOOKUP(A822,'forecast data dump'!$A$1:$H$3450,5,FALSE)</f>
        <v>44622</v>
      </c>
      <c r="G822" s="42">
        <f>VLOOKUP(A822,'forecast data dump'!$A$1:$H$3450,8,FALSE)</f>
        <v>0</v>
      </c>
      <c r="H822" s="5" t="s">
        <v>3744</v>
      </c>
      <c r="I822" s="39">
        <f t="shared" si="284"/>
        <v>160</v>
      </c>
      <c r="J822" s="5"/>
      <c r="K822" s="5"/>
      <c r="L822" s="33">
        <f t="shared" si="285"/>
        <v>24997</v>
      </c>
      <c r="M822" s="33">
        <f t="shared" si="286"/>
        <v>24997</v>
      </c>
      <c r="N822" s="33">
        <f t="shared" si="287"/>
        <v>0</v>
      </c>
      <c r="T822">
        <v>1</v>
      </c>
      <c r="U822" s="29">
        <f t="shared" si="288"/>
        <v>0</v>
      </c>
      <c r="V822" s="29">
        <f t="shared" si="289"/>
        <v>0</v>
      </c>
      <c r="W822" s="29">
        <f t="shared" si="290"/>
        <v>0</v>
      </c>
      <c r="X822" s="29">
        <f t="shared" si="291"/>
        <v>0</v>
      </c>
      <c r="Y822" s="29">
        <f t="shared" si="292"/>
        <v>0</v>
      </c>
      <c r="Z822" s="29">
        <f t="shared" si="293"/>
        <v>24997</v>
      </c>
    </row>
    <row r="823" spans="1:26" x14ac:dyDescent="0.3">
      <c r="A823" s="5" t="s">
        <v>2369</v>
      </c>
      <c r="B823" s="5" t="s">
        <v>2370</v>
      </c>
      <c r="C823" s="5">
        <v>320</v>
      </c>
      <c r="D823" s="6">
        <v>38743</v>
      </c>
      <c r="E823" s="17">
        <f>VLOOKUP(A823,'forecast data dump'!$A$1:$H$3450,4,FALSE)</f>
        <v>44594</v>
      </c>
      <c r="F823" s="17">
        <f>VLOOKUP(A823,'forecast data dump'!$A$1:$H$3450,5,FALSE)</f>
        <v>44622</v>
      </c>
      <c r="G823" s="42">
        <f>VLOOKUP(A823,'forecast data dump'!$A$1:$H$3450,8,FALSE)</f>
        <v>0</v>
      </c>
      <c r="H823" s="5" t="s">
        <v>3742</v>
      </c>
      <c r="I823" s="39">
        <f t="shared" si="284"/>
        <v>320</v>
      </c>
      <c r="J823" s="5"/>
      <c r="K823" s="5"/>
      <c r="L823" s="33">
        <f t="shared" si="285"/>
        <v>38743</v>
      </c>
      <c r="M823" s="33">
        <f t="shared" si="286"/>
        <v>38743</v>
      </c>
      <c r="N823" s="33">
        <f t="shared" si="287"/>
        <v>0</v>
      </c>
      <c r="T823">
        <v>1</v>
      </c>
      <c r="U823" s="29">
        <f t="shared" si="288"/>
        <v>0</v>
      </c>
      <c r="V823" s="29">
        <f t="shared" si="289"/>
        <v>0</v>
      </c>
      <c r="W823" s="29">
        <f t="shared" si="290"/>
        <v>0</v>
      </c>
      <c r="X823" s="29">
        <f t="shared" si="291"/>
        <v>0</v>
      </c>
      <c r="Y823" s="29">
        <f t="shared" si="292"/>
        <v>0</v>
      </c>
      <c r="Z823" s="29">
        <f t="shared" si="293"/>
        <v>38743</v>
      </c>
    </row>
    <row r="824" spans="1:26" x14ac:dyDescent="0.3">
      <c r="A824" s="5" t="s">
        <v>2375</v>
      </c>
      <c r="B824" s="5" t="s">
        <v>2376</v>
      </c>
      <c r="C824" s="5">
        <v>500</v>
      </c>
      <c r="D824" s="6">
        <v>580</v>
      </c>
      <c r="E824" s="17" t="str">
        <f>VLOOKUP(A824,'forecast data dump'!$A$1:$H$3450,4,FALSE)</f>
        <v>21-Jun-21 A</v>
      </c>
      <c r="F824" s="17">
        <f>VLOOKUP(A824,'forecast data dump'!$A$1:$H$3450,5,FALSE)</f>
        <v>44442</v>
      </c>
      <c r="G824" s="42">
        <v>0.3</v>
      </c>
      <c r="H824" s="5" t="s">
        <v>3762</v>
      </c>
      <c r="I824" s="39">
        <f t="shared" si="284"/>
        <v>350</v>
      </c>
      <c r="J824" s="5"/>
      <c r="K824" s="5"/>
      <c r="L824" s="33">
        <f t="shared" si="285"/>
        <v>406</v>
      </c>
      <c r="M824" s="33">
        <f t="shared" si="286"/>
        <v>406</v>
      </c>
      <c r="N824" s="33">
        <f t="shared" si="287"/>
        <v>0</v>
      </c>
      <c r="Q824">
        <v>1</v>
      </c>
      <c r="U824" s="29">
        <f t="shared" si="288"/>
        <v>0</v>
      </c>
      <c r="V824" s="29">
        <f t="shared" si="289"/>
        <v>0</v>
      </c>
      <c r="W824" s="29">
        <f t="shared" si="290"/>
        <v>406</v>
      </c>
      <c r="X824" s="29">
        <f t="shared" si="291"/>
        <v>0</v>
      </c>
      <c r="Y824" s="29">
        <f t="shared" si="292"/>
        <v>0</v>
      </c>
      <c r="Z824" s="29">
        <f t="shared" si="293"/>
        <v>0</v>
      </c>
    </row>
    <row r="825" spans="1:26" x14ac:dyDescent="0.3">
      <c r="A825" s="5" t="s">
        <v>2377</v>
      </c>
      <c r="B825" s="5" t="s">
        <v>2378</v>
      </c>
      <c r="C825" s="5">
        <v>500</v>
      </c>
      <c r="D825" s="6">
        <v>592</v>
      </c>
      <c r="E825" s="17">
        <f>VLOOKUP(A825,'forecast data dump'!$A$1:$H$3450,4,FALSE)</f>
        <v>44488</v>
      </c>
      <c r="F825" s="17">
        <f>VLOOKUP(A825,'forecast data dump'!$A$1:$H$3450,5,FALSE)</f>
        <v>44501</v>
      </c>
      <c r="G825" s="42">
        <f>VLOOKUP(A825,'forecast data dump'!$A$1:$H$3450,8,FALSE)</f>
        <v>0</v>
      </c>
      <c r="H825" s="5" t="s">
        <v>3762</v>
      </c>
      <c r="I825" s="39">
        <f t="shared" si="284"/>
        <v>500</v>
      </c>
      <c r="J825" s="5"/>
      <c r="K825" s="5"/>
      <c r="L825" s="33">
        <f t="shared" si="285"/>
        <v>592</v>
      </c>
      <c r="M825" s="33">
        <f t="shared" si="286"/>
        <v>592</v>
      </c>
      <c r="N825" s="33">
        <f t="shared" si="287"/>
        <v>0</v>
      </c>
      <c r="Q825">
        <v>1</v>
      </c>
      <c r="U825" s="29">
        <f t="shared" si="288"/>
        <v>0</v>
      </c>
      <c r="V825" s="29">
        <f t="shared" si="289"/>
        <v>0</v>
      </c>
      <c r="W825" s="29">
        <f t="shared" si="290"/>
        <v>592</v>
      </c>
      <c r="X825" s="29">
        <f t="shared" si="291"/>
        <v>0</v>
      </c>
      <c r="Y825" s="29">
        <f t="shared" si="292"/>
        <v>0</v>
      </c>
      <c r="Z825" s="29">
        <f t="shared" si="293"/>
        <v>0</v>
      </c>
    </row>
    <row r="826" spans="1:26" x14ac:dyDescent="0.3">
      <c r="A826" s="5" t="s">
        <v>2379</v>
      </c>
      <c r="B826" s="5" t="s">
        <v>2380</v>
      </c>
      <c r="C826" s="5">
        <v>500</v>
      </c>
      <c r="D826" s="6">
        <v>592</v>
      </c>
      <c r="E826" s="17">
        <f>VLOOKUP(A826,'forecast data dump'!$A$1:$H$3450,4,FALSE)</f>
        <v>44495</v>
      </c>
      <c r="F826" s="17">
        <f>VLOOKUP(A826,'forecast data dump'!$A$1:$H$3450,5,FALSE)</f>
        <v>44523</v>
      </c>
      <c r="G826" s="42">
        <f>VLOOKUP(A826,'forecast data dump'!$A$1:$H$3450,8,FALSE)</f>
        <v>0</v>
      </c>
      <c r="H826" s="5" t="s">
        <v>3762</v>
      </c>
      <c r="I826" s="39">
        <f t="shared" si="284"/>
        <v>500</v>
      </c>
      <c r="J826" s="5"/>
      <c r="K826" s="5"/>
      <c r="L826" s="33">
        <f t="shared" si="285"/>
        <v>592</v>
      </c>
      <c r="M826" s="33">
        <f t="shared" si="286"/>
        <v>592</v>
      </c>
      <c r="N826" s="33">
        <f t="shared" si="287"/>
        <v>0</v>
      </c>
      <c r="Q826">
        <v>1</v>
      </c>
      <c r="U826" s="29">
        <f t="shared" si="288"/>
        <v>0</v>
      </c>
      <c r="V826" s="29">
        <f t="shared" si="289"/>
        <v>0</v>
      </c>
      <c r="W826" s="29">
        <f t="shared" si="290"/>
        <v>592</v>
      </c>
      <c r="X826" s="29">
        <f t="shared" si="291"/>
        <v>0</v>
      </c>
      <c r="Y826" s="29">
        <f t="shared" si="292"/>
        <v>0</v>
      </c>
      <c r="Z826" s="29">
        <f t="shared" si="293"/>
        <v>0</v>
      </c>
    </row>
    <row r="827" spans="1:26" x14ac:dyDescent="0.3">
      <c r="A827" s="5" t="s">
        <v>2381</v>
      </c>
      <c r="B827" s="5" t="s">
        <v>2382</v>
      </c>
      <c r="C827" s="5">
        <v>500</v>
      </c>
      <c r="D827" s="6">
        <v>592</v>
      </c>
      <c r="E827" s="17">
        <f>VLOOKUP(A827,'forecast data dump'!$A$1:$H$3450,4,FALSE)</f>
        <v>44524</v>
      </c>
      <c r="F827" s="17">
        <f>VLOOKUP(A827,'forecast data dump'!$A$1:$H$3450,5,FALSE)</f>
        <v>44532</v>
      </c>
      <c r="G827" s="42">
        <f>VLOOKUP(A827,'forecast data dump'!$A$1:$H$3450,8,FALSE)</f>
        <v>0</v>
      </c>
      <c r="H827" s="5" t="s">
        <v>3762</v>
      </c>
      <c r="I827" s="39">
        <f t="shared" si="284"/>
        <v>500</v>
      </c>
      <c r="J827" s="5"/>
      <c r="K827" s="5"/>
      <c r="L827" s="33">
        <f t="shared" si="285"/>
        <v>592</v>
      </c>
      <c r="M827" s="33">
        <f t="shared" si="286"/>
        <v>592</v>
      </c>
      <c r="N827" s="33">
        <f t="shared" si="287"/>
        <v>0</v>
      </c>
      <c r="Q827">
        <v>1</v>
      </c>
      <c r="U827" s="29">
        <f t="shared" si="288"/>
        <v>0</v>
      </c>
      <c r="V827" s="29">
        <f t="shared" si="289"/>
        <v>0</v>
      </c>
      <c r="W827" s="29">
        <f t="shared" si="290"/>
        <v>592</v>
      </c>
      <c r="X827" s="29">
        <f t="shared" si="291"/>
        <v>0</v>
      </c>
      <c r="Y827" s="29">
        <f t="shared" si="292"/>
        <v>0</v>
      </c>
      <c r="Z827" s="29">
        <f t="shared" si="293"/>
        <v>0</v>
      </c>
    </row>
    <row r="828" spans="1:26" x14ac:dyDescent="0.3">
      <c r="A828" s="5" t="s">
        <v>2383</v>
      </c>
      <c r="B828" s="5" t="s">
        <v>2384</v>
      </c>
      <c r="C828" s="5">
        <v>500</v>
      </c>
      <c r="D828" s="6">
        <v>592</v>
      </c>
      <c r="E828" s="17">
        <f>VLOOKUP(A828,'forecast data dump'!$A$1:$H$3450,4,FALSE)</f>
        <v>44533</v>
      </c>
      <c r="F828" s="17">
        <f>VLOOKUP(A828,'forecast data dump'!$A$1:$H$3450,5,FALSE)</f>
        <v>44564</v>
      </c>
      <c r="G828" s="42">
        <f>VLOOKUP(A828,'forecast data dump'!$A$1:$H$3450,8,FALSE)</f>
        <v>0</v>
      </c>
      <c r="H828" s="5" t="s">
        <v>3762</v>
      </c>
      <c r="I828" s="39">
        <f t="shared" si="284"/>
        <v>500</v>
      </c>
      <c r="J828" s="5"/>
      <c r="K828" s="5"/>
      <c r="L828" s="33">
        <f t="shared" si="285"/>
        <v>592</v>
      </c>
      <c r="M828" s="33">
        <f t="shared" si="286"/>
        <v>592</v>
      </c>
      <c r="N828" s="33">
        <f t="shared" si="287"/>
        <v>0</v>
      </c>
      <c r="Q828">
        <v>1</v>
      </c>
      <c r="U828" s="29">
        <f t="shared" si="288"/>
        <v>0</v>
      </c>
      <c r="V828" s="29">
        <f t="shared" si="289"/>
        <v>0</v>
      </c>
      <c r="W828" s="29">
        <f t="shared" si="290"/>
        <v>592</v>
      </c>
      <c r="X828" s="29">
        <f t="shared" si="291"/>
        <v>0</v>
      </c>
      <c r="Y828" s="29">
        <f t="shared" si="292"/>
        <v>0</v>
      </c>
      <c r="Z828" s="29">
        <f t="shared" si="293"/>
        <v>0</v>
      </c>
    </row>
    <row r="829" spans="1:26" x14ac:dyDescent="0.3">
      <c r="A829" s="5" t="s">
        <v>2385</v>
      </c>
      <c r="B829" s="5" t="s">
        <v>2386</v>
      </c>
      <c r="C829" s="5">
        <v>500</v>
      </c>
      <c r="D829" s="6">
        <v>592</v>
      </c>
      <c r="E829" s="17">
        <f>VLOOKUP(A829,'forecast data dump'!$A$1:$H$3450,4,FALSE)</f>
        <v>44594</v>
      </c>
      <c r="F829" s="17">
        <f>VLOOKUP(A829,'forecast data dump'!$A$1:$H$3450,5,FALSE)</f>
        <v>44622</v>
      </c>
      <c r="G829" s="42">
        <f>VLOOKUP(A829,'forecast data dump'!$A$1:$H$3450,8,FALSE)</f>
        <v>0</v>
      </c>
      <c r="H829" s="5" t="s">
        <v>3762</v>
      </c>
      <c r="I829" s="39">
        <f t="shared" si="284"/>
        <v>500</v>
      </c>
      <c r="J829" s="5"/>
      <c r="K829" s="5"/>
      <c r="L829" s="33">
        <f t="shared" si="285"/>
        <v>592</v>
      </c>
      <c r="M829" s="33">
        <f t="shared" si="286"/>
        <v>592</v>
      </c>
      <c r="N829" s="33">
        <f t="shared" si="287"/>
        <v>0</v>
      </c>
      <c r="Q829">
        <v>1</v>
      </c>
      <c r="U829" s="29">
        <f t="shared" si="288"/>
        <v>0</v>
      </c>
      <c r="V829" s="29">
        <f t="shared" si="289"/>
        <v>0</v>
      </c>
      <c r="W829" s="29">
        <f t="shared" si="290"/>
        <v>592</v>
      </c>
      <c r="X829" s="29">
        <f t="shared" si="291"/>
        <v>0</v>
      </c>
      <c r="Y829" s="29">
        <f t="shared" si="292"/>
        <v>0</v>
      </c>
      <c r="Z829" s="29">
        <f t="shared" si="293"/>
        <v>0</v>
      </c>
    </row>
    <row r="830" spans="1:26" x14ac:dyDescent="0.3">
      <c r="A830" s="5" t="s">
        <v>2389</v>
      </c>
      <c r="B830" s="5" t="s">
        <v>2370</v>
      </c>
      <c r="C830" s="5">
        <v>640</v>
      </c>
      <c r="D830" s="6">
        <v>0</v>
      </c>
      <c r="E830" s="17">
        <f>VLOOKUP(A830,'forecast data dump'!$A$1:$H$3450,4,FALSE)</f>
        <v>44594</v>
      </c>
      <c r="F830" s="17">
        <f>VLOOKUP(A830,'forecast data dump'!$A$1:$H$3450,5,FALSE)</f>
        <v>44622</v>
      </c>
      <c r="G830" s="42">
        <f>VLOOKUP(A830,'forecast data dump'!$A$1:$H$3450,8,FALSE)</f>
        <v>0</v>
      </c>
      <c r="H830" s="5" t="s">
        <v>3766</v>
      </c>
      <c r="I830" s="39">
        <f t="shared" si="284"/>
        <v>640</v>
      </c>
      <c r="J830" s="5"/>
      <c r="K830" s="5"/>
      <c r="L830" s="33">
        <f t="shared" si="285"/>
        <v>0</v>
      </c>
      <c r="M830" s="33">
        <f t="shared" si="286"/>
        <v>0</v>
      </c>
      <c r="N830" s="33">
        <f t="shared" si="287"/>
        <v>0</v>
      </c>
      <c r="T830">
        <v>1</v>
      </c>
      <c r="U830" s="29">
        <f t="shared" si="288"/>
        <v>0</v>
      </c>
      <c r="V830" s="29">
        <f t="shared" si="289"/>
        <v>0</v>
      </c>
      <c r="W830" s="29">
        <f t="shared" si="290"/>
        <v>0</v>
      </c>
      <c r="X830" s="29">
        <f t="shared" si="291"/>
        <v>0</v>
      </c>
      <c r="Y830" s="29">
        <f t="shared" si="292"/>
        <v>0</v>
      </c>
      <c r="Z830" s="29">
        <f t="shared" si="293"/>
        <v>0</v>
      </c>
    </row>
    <row r="831" spans="1:26" x14ac:dyDescent="0.3">
      <c r="A831" s="5" t="s">
        <v>2390</v>
      </c>
      <c r="B831" s="5" t="s">
        <v>2391</v>
      </c>
      <c r="C831" s="5">
        <v>80</v>
      </c>
      <c r="D831" s="6">
        <v>10615</v>
      </c>
      <c r="E831" s="17">
        <f>VLOOKUP(A831,'forecast data dump'!$A$1:$H$3450,4,FALSE)</f>
        <v>44524</v>
      </c>
      <c r="F831" s="17">
        <f>VLOOKUP(A831,'forecast data dump'!$A$1:$H$3450,5,FALSE)</f>
        <v>44532</v>
      </c>
      <c r="G831" s="42">
        <f>VLOOKUP(A831,'forecast data dump'!$A$1:$H$3450,8,FALSE)</f>
        <v>0</v>
      </c>
      <c r="H831" s="5" t="s">
        <v>3752</v>
      </c>
      <c r="I831" s="39">
        <f t="shared" si="284"/>
        <v>80</v>
      </c>
      <c r="J831" s="5"/>
      <c r="K831" s="5"/>
      <c r="L831" s="33">
        <f t="shared" si="285"/>
        <v>10615</v>
      </c>
      <c r="M831" s="33">
        <f t="shared" si="286"/>
        <v>10615</v>
      </c>
      <c r="N831" s="33">
        <f t="shared" si="287"/>
        <v>0</v>
      </c>
      <c r="T831">
        <v>1</v>
      </c>
      <c r="U831" s="29">
        <f t="shared" si="288"/>
        <v>0</v>
      </c>
      <c r="V831" s="29">
        <f t="shared" si="289"/>
        <v>0</v>
      </c>
      <c r="W831" s="29">
        <f t="shared" si="290"/>
        <v>0</v>
      </c>
      <c r="X831" s="29">
        <f t="shared" si="291"/>
        <v>0</v>
      </c>
      <c r="Y831" s="29">
        <f t="shared" si="292"/>
        <v>0</v>
      </c>
      <c r="Z831" s="29">
        <f t="shared" si="293"/>
        <v>10615</v>
      </c>
    </row>
    <row r="832" spans="1:26" x14ac:dyDescent="0.3">
      <c r="A832" s="5" t="s">
        <v>2390</v>
      </c>
      <c r="B832" s="5" t="s">
        <v>2391</v>
      </c>
      <c r="C832" s="5">
        <v>60</v>
      </c>
      <c r="D832" s="6">
        <v>7264</v>
      </c>
      <c r="E832" s="17">
        <f>VLOOKUP(A832,'forecast data dump'!$A$1:$H$3450,4,FALSE)</f>
        <v>44524</v>
      </c>
      <c r="F832" s="17">
        <f>VLOOKUP(A832,'forecast data dump'!$A$1:$H$3450,5,FALSE)</f>
        <v>44532</v>
      </c>
      <c r="G832" s="42">
        <f>VLOOKUP(A832,'forecast data dump'!$A$1:$H$3450,8,FALSE)</f>
        <v>0</v>
      </c>
      <c r="H832" s="5" t="s">
        <v>3759</v>
      </c>
      <c r="I832" s="39">
        <f t="shared" si="284"/>
        <v>60</v>
      </c>
      <c r="J832" s="5"/>
      <c r="K832" s="5"/>
      <c r="L832" s="33">
        <f t="shared" si="285"/>
        <v>7264</v>
      </c>
      <c r="M832" s="33">
        <f t="shared" si="286"/>
        <v>7264</v>
      </c>
      <c r="N832" s="33">
        <f t="shared" si="287"/>
        <v>0</v>
      </c>
      <c r="T832">
        <v>1</v>
      </c>
      <c r="U832" s="29">
        <f t="shared" si="288"/>
        <v>0</v>
      </c>
      <c r="V832" s="29">
        <f t="shared" si="289"/>
        <v>0</v>
      </c>
      <c r="W832" s="29">
        <f t="shared" si="290"/>
        <v>0</v>
      </c>
      <c r="X832" s="29">
        <f t="shared" si="291"/>
        <v>0</v>
      </c>
      <c r="Y832" s="29">
        <f t="shared" si="292"/>
        <v>0</v>
      </c>
      <c r="Z832" s="29">
        <f t="shared" si="293"/>
        <v>7264</v>
      </c>
    </row>
    <row r="833" spans="1:26" x14ac:dyDescent="0.3">
      <c r="A833" s="5" t="s">
        <v>2392</v>
      </c>
      <c r="B833" s="5" t="s">
        <v>2393</v>
      </c>
      <c r="C833" s="5">
        <v>40</v>
      </c>
      <c r="D833" s="6">
        <v>4758</v>
      </c>
      <c r="E833" s="17">
        <f>VLOOKUP(A833,'forecast data dump'!$A$1:$H$3450,4,FALSE)</f>
        <v>44481</v>
      </c>
      <c r="F833" s="17">
        <f>VLOOKUP(A833,'forecast data dump'!$A$1:$H$3450,5,FALSE)</f>
        <v>44487</v>
      </c>
      <c r="G833" s="42">
        <f>VLOOKUP(A833,'forecast data dump'!$A$1:$H$3450,8,FALSE)</f>
        <v>0</v>
      </c>
      <c r="H833" s="5" t="s">
        <v>3741</v>
      </c>
      <c r="I833" s="39">
        <f t="shared" si="284"/>
        <v>40</v>
      </c>
      <c r="J833" s="5"/>
      <c r="K833" s="5"/>
      <c r="L833" s="33">
        <f t="shared" si="285"/>
        <v>4758</v>
      </c>
      <c r="M833" s="33">
        <f t="shared" si="286"/>
        <v>4758</v>
      </c>
      <c r="N833" s="33">
        <f t="shared" si="287"/>
        <v>0</v>
      </c>
      <c r="T833">
        <v>1</v>
      </c>
      <c r="U833" s="29">
        <f t="shared" si="288"/>
        <v>0</v>
      </c>
      <c r="V833" s="29">
        <f t="shared" si="289"/>
        <v>0</v>
      </c>
      <c r="W833" s="29">
        <f t="shared" si="290"/>
        <v>0</v>
      </c>
      <c r="X833" s="29">
        <f t="shared" si="291"/>
        <v>0</v>
      </c>
      <c r="Y833" s="29">
        <f t="shared" si="292"/>
        <v>0</v>
      </c>
      <c r="Z833" s="29">
        <f t="shared" si="293"/>
        <v>4758</v>
      </c>
    </row>
    <row r="834" spans="1:26" x14ac:dyDescent="0.3">
      <c r="A834" s="5" t="s">
        <v>2392</v>
      </c>
      <c r="B834" s="5" t="s">
        <v>2393</v>
      </c>
      <c r="C834" s="5">
        <v>40</v>
      </c>
      <c r="D834" s="6">
        <v>6140</v>
      </c>
      <c r="E834" s="17">
        <f>VLOOKUP(A834,'forecast data dump'!$A$1:$H$3450,4,FALSE)</f>
        <v>44481</v>
      </c>
      <c r="F834" s="17">
        <f>VLOOKUP(A834,'forecast data dump'!$A$1:$H$3450,5,FALSE)</f>
        <v>44487</v>
      </c>
      <c r="G834" s="42">
        <f>VLOOKUP(A834,'forecast data dump'!$A$1:$H$3450,8,FALSE)</f>
        <v>0</v>
      </c>
      <c r="H834" s="5" t="s">
        <v>3733</v>
      </c>
      <c r="I834" s="39">
        <f t="shared" si="284"/>
        <v>40</v>
      </c>
      <c r="J834" s="5"/>
      <c r="K834" s="5"/>
      <c r="L834" s="33">
        <f t="shared" si="285"/>
        <v>6140</v>
      </c>
      <c r="M834" s="33">
        <f t="shared" si="286"/>
        <v>6140</v>
      </c>
      <c r="N834" s="33">
        <f t="shared" si="287"/>
        <v>0</v>
      </c>
      <c r="T834">
        <v>1</v>
      </c>
      <c r="U834" s="29">
        <f t="shared" si="288"/>
        <v>0</v>
      </c>
      <c r="V834" s="29">
        <f t="shared" si="289"/>
        <v>0</v>
      </c>
      <c r="W834" s="29">
        <f t="shared" si="290"/>
        <v>0</v>
      </c>
      <c r="X834" s="29">
        <f t="shared" si="291"/>
        <v>0</v>
      </c>
      <c r="Y834" s="29">
        <f t="shared" si="292"/>
        <v>0</v>
      </c>
      <c r="Z834" s="29">
        <f t="shared" si="293"/>
        <v>6140</v>
      </c>
    </row>
    <row r="835" spans="1:26" x14ac:dyDescent="0.3">
      <c r="A835" s="5" t="s">
        <v>2400</v>
      </c>
      <c r="B835" s="5" t="s">
        <v>2401</v>
      </c>
      <c r="C835" s="5">
        <v>64</v>
      </c>
      <c r="D835" s="6">
        <v>9708</v>
      </c>
      <c r="E835" s="17" t="str">
        <f>VLOOKUP(A835,'forecast data dump'!$A$1:$H$3450,4,FALSE)</f>
        <v>21-Jun-21 A</v>
      </c>
      <c r="F835" s="17">
        <f>VLOOKUP(A835,'forecast data dump'!$A$1:$H$3450,5,FALSE)</f>
        <v>44442</v>
      </c>
      <c r="G835" s="42">
        <v>0.3</v>
      </c>
      <c r="H835" s="5" t="s">
        <v>3733</v>
      </c>
      <c r="I835" s="39">
        <f t="shared" si="284"/>
        <v>44.8</v>
      </c>
      <c r="J835" s="5"/>
      <c r="K835" s="5"/>
      <c r="L835" s="33">
        <f t="shared" si="285"/>
        <v>6795.5999999999995</v>
      </c>
      <c r="M835" s="33">
        <f t="shared" si="286"/>
        <v>6795.5999999999995</v>
      </c>
      <c r="N835" s="33">
        <f t="shared" si="287"/>
        <v>0</v>
      </c>
      <c r="R835">
        <v>1</v>
      </c>
      <c r="U835" s="29">
        <f t="shared" si="288"/>
        <v>0</v>
      </c>
      <c r="V835" s="29">
        <f t="shared" si="289"/>
        <v>0</v>
      </c>
      <c r="W835" s="29">
        <f t="shared" si="290"/>
        <v>0</v>
      </c>
      <c r="X835" s="29">
        <f t="shared" si="291"/>
        <v>6795.5999999999995</v>
      </c>
      <c r="Y835" s="29">
        <f t="shared" si="292"/>
        <v>0</v>
      </c>
      <c r="Z835" s="29">
        <f t="shared" si="293"/>
        <v>0</v>
      </c>
    </row>
    <row r="836" spans="1:26" x14ac:dyDescent="0.3">
      <c r="A836" s="5" t="s">
        <v>2400</v>
      </c>
      <c r="B836" s="5" t="s">
        <v>2401</v>
      </c>
      <c r="C836" s="5">
        <v>48</v>
      </c>
      <c r="D836" s="6">
        <v>5642</v>
      </c>
      <c r="E836" s="17" t="str">
        <f>VLOOKUP(A836,'forecast data dump'!$A$1:$H$3450,4,FALSE)</f>
        <v>21-Jun-21 A</v>
      </c>
      <c r="F836" s="17">
        <f>VLOOKUP(A836,'forecast data dump'!$A$1:$H$3450,5,FALSE)</f>
        <v>44442</v>
      </c>
      <c r="G836" s="42">
        <v>0.3</v>
      </c>
      <c r="H836" s="5" t="s">
        <v>3745</v>
      </c>
      <c r="I836" s="39">
        <f t="shared" si="284"/>
        <v>33.599999999999994</v>
      </c>
      <c r="J836" s="5"/>
      <c r="K836" s="5"/>
      <c r="L836" s="33">
        <f t="shared" si="285"/>
        <v>3949.3999999999996</v>
      </c>
      <c r="M836" s="33">
        <f t="shared" si="286"/>
        <v>3949.3999999999996</v>
      </c>
      <c r="N836" s="33">
        <f t="shared" si="287"/>
        <v>0</v>
      </c>
      <c r="R836">
        <v>1</v>
      </c>
      <c r="U836" s="29">
        <f t="shared" si="288"/>
        <v>0</v>
      </c>
      <c r="V836" s="29">
        <f t="shared" si="289"/>
        <v>0</v>
      </c>
      <c r="W836" s="29">
        <f t="shared" si="290"/>
        <v>0</v>
      </c>
      <c r="X836" s="29">
        <f t="shared" si="291"/>
        <v>3949.3999999999996</v>
      </c>
      <c r="Y836" s="29">
        <f t="shared" si="292"/>
        <v>0</v>
      </c>
      <c r="Z836" s="29">
        <f t="shared" si="293"/>
        <v>0</v>
      </c>
    </row>
    <row r="837" spans="1:26" x14ac:dyDescent="0.3">
      <c r="A837" s="5" t="s">
        <v>2400</v>
      </c>
      <c r="B837" s="5" t="s">
        <v>2401</v>
      </c>
      <c r="C837" s="5">
        <v>512</v>
      </c>
      <c r="D837" s="6">
        <v>60183</v>
      </c>
      <c r="E837" s="17" t="str">
        <f>VLOOKUP(A837,'forecast data dump'!$A$1:$H$3450,4,FALSE)</f>
        <v>21-Jun-21 A</v>
      </c>
      <c r="F837" s="17">
        <f>VLOOKUP(A837,'forecast data dump'!$A$1:$H$3450,5,FALSE)</f>
        <v>44442</v>
      </c>
      <c r="G837" s="42">
        <v>0.3</v>
      </c>
      <c r="H837" s="5" t="s">
        <v>3741</v>
      </c>
      <c r="I837" s="39">
        <f t="shared" si="284"/>
        <v>358.4</v>
      </c>
      <c r="J837" s="5"/>
      <c r="K837" s="5"/>
      <c r="L837" s="33">
        <f t="shared" si="285"/>
        <v>42128.1</v>
      </c>
      <c r="M837" s="33">
        <f t="shared" si="286"/>
        <v>42128.1</v>
      </c>
      <c r="N837" s="33">
        <f t="shared" si="287"/>
        <v>0</v>
      </c>
      <c r="R837">
        <v>1</v>
      </c>
      <c r="U837" s="29">
        <f t="shared" si="288"/>
        <v>0</v>
      </c>
      <c r="V837" s="29">
        <f t="shared" si="289"/>
        <v>0</v>
      </c>
      <c r="W837" s="29">
        <f t="shared" si="290"/>
        <v>0</v>
      </c>
      <c r="X837" s="29">
        <f t="shared" si="291"/>
        <v>42128.1</v>
      </c>
      <c r="Y837" s="29">
        <f t="shared" si="292"/>
        <v>0</v>
      </c>
      <c r="Z837" s="29">
        <f t="shared" si="293"/>
        <v>0</v>
      </c>
    </row>
    <row r="838" spans="1:26" x14ac:dyDescent="0.3">
      <c r="A838" s="5" t="s">
        <v>2400</v>
      </c>
      <c r="B838" s="5" t="s">
        <v>2401</v>
      </c>
      <c r="C838" s="5">
        <v>600</v>
      </c>
      <c r="D838" s="6">
        <v>77294</v>
      </c>
      <c r="E838" s="17" t="str">
        <f>VLOOKUP(A838,'forecast data dump'!$A$1:$H$3450,4,FALSE)</f>
        <v>21-Jun-21 A</v>
      </c>
      <c r="F838" s="17">
        <f>VLOOKUP(A838,'forecast data dump'!$A$1:$H$3450,5,FALSE)</f>
        <v>44442</v>
      </c>
      <c r="G838" s="42">
        <v>0.3</v>
      </c>
      <c r="H838" s="5" t="s">
        <v>3752</v>
      </c>
      <c r="I838" s="39">
        <f t="shared" si="284"/>
        <v>420</v>
      </c>
      <c r="J838" s="5"/>
      <c r="K838" s="5"/>
      <c r="L838" s="33">
        <f t="shared" si="285"/>
        <v>54105.799999999996</v>
      </c>
      <c r="M838" s="33">
        <f t="shared" si="286"/>
        <v>54105.799999999996</v>
      </c>
      <c r="N838" s="33">
        <f t="shared" si="287"/>
        <v>0</v>
      </c>
      <c r="R838">
        <v>1</v>
      </c>
      <c r="U838" s="29">
        <f t="shared" si="288"/>
        <v>0</v>
      </c>
      <c r="V838" s="29">
        <f t="shared" si="289"/>
        <v>0</v>
      </c>
      <c r="W838" s="29">
        <f t="shared" si="290"/>
        <v>0</v>
      </c>
      <c r="X838" s="29">
        <f t="shared" si="291"/>
        <v>54105.799999999996</v>
      </c>
      <c r="Y838" s="29">
        <f t="shared" si="292"/>
        <v>0</v>
      </c>
      <c r="Z838" s="29">
        <f t="shared" si="293"/>
        <v>0</v>
      </c>
    </row>
    <row r="839" spans="1:26" x14ac:dyDescent="0.3">
      <c r="A839" s="5" t="s">
        <v>2402</v>
      </c>
      <c r="B839" s="5" t="s">
        <v>2403</v>
      </c>
      <c r="C839" s="5">
        <v>8</v>
      </c>
      <c r="D839" s="6">
        <v>1250</v>
      </c>
      <c r="E839" s="17">
        <f>VLOOKUP(A839,'forecast data dump'!$A$1:$H$3450,4,FALSE)</f>
        <v>44488</v>
      </c>
      <c r="F839" s="17">
        <f>VLOOKUP(A839,'forecast data dump'!$A$1:$H$3450,5,FALSE)</f>
        <v>44501</v>
      </c>
      <c r="G839" s="42">
        <f>VLOOKUP(A839,'forecast data dump'!$A$1:$H$3450,8,FALSE)</f>
        <v>0</v>
      </c>
      <c r="H839" s="5" t="s">
        <v>3733</v>
      </c>
      <c r="I839" s="39">
        <f t="shared" si="284"/>
        <v>8</v>
      </c>
      <c r="J839" s="5"/>
      <c r="K839" s="5"/>
      <c r="L839" s="33">
        <f t="shared" si="285"/>
        <v>1250</v>
      </c>
      <c r="M839" s="33">
        <f t="shared" si="286"/>
        <v>1250</v>
      </c>
      <c r="N839" s="33">
        <f t="shared" si="287"/>
        <v>0</v>
      </c>
      <c r="T839">
        <v>1</v>
      </c>
      <c r="U839" s="29">
        <f t="shared" si="288"/>
        <v>0</v>
      </c>
      <c r="V839" s="29">
        <f t="shared" si="289"/>
        <v>0</v>
      </c>
      <c r="W839" s="29">
        <f t="shared" si="290"/>
        <v>0</v>
      </c>
      <c r="X839" s="29">
        <f t="shared" si="291"/>
        <v>0</v>
      </c>
      <c r="Y839" s="29">
        <f t="shared" si="292"/>
        <v>0</v>
      </c>
      <c r="Z839" s="29">
        <f t="shared" si="293"/>
        <v>1250</v>
      </c>
    </row>
    <row r="840" spans="1:26" x14ac:dyDescent="0.3">
      <c r="A840" s="5" t="s">
        <v>2402</v>
      </c>
      <c r="B840" s="5" t="s">
        <v>2403</v>
      </c>
      <c r="C840" s="5">
        <v>256</v>
      </c>
      <c r="D840" s="6">
        <v>33968</v>
      </c>
      <c r="E840" s="17">
        <f>VLOOKUP(A840,'forecast data dump'!$A$1:$H$3450,4,FALSE)</f>
        <v>44488</v>
      </c>
      <c r="F840" s="17">
        <f>VLOOKUP(A840,'forecast data dump'!$A$1:$H$3450,5,FALSE)</f>
        <v>44501</v>
      </c>
      <c r="G840" s="42">
        <f>VLOOKUP(A840,'forecast data dump'!$A$1:$H$3450,8,FALSE)</f>
        <v>0</v>
      </c>
      <c r="H840" s="5" t="s">
        <v>3752</v>
      </c>
      <c r="I840" s="39">
        <f t="shared" si="284"/>
        <v>256</v>
      </c>
      <c r="J840" s="5"/>
      <c r="K840" s="5"/>
      <c r="L840" s="33">
        <f t="shared" si="285"/>
        <v>33968</v>
      </c>
      <c r="M840" s="33">
        <f t="shared" si="286"/>
        <v>33968</v>
      </c>
      <c r="N840" s="33">
        <f t="shared" si="287"/>
        <v>0</v>
      </c>
      <c r="T840">
        <v>1</v>
      </c>
      <c r="U840" s="29">
        <f t="shared" si="288"/>
        <v>0</v>
      </c>
      <c r="V840" s="29">
        <f t="shared" si="289"/>
        <v>0</v>
      </c>
      <c r="W840" s="29">
        <f t="shared" si="290"/>
        <v>0</v>
      </c>
      <c r="X840" s="29">
        <f t="shared" si="291"/>
        <v>0</v>
      </c>
      <c r="Y840" s="29">
        <f t="shared" si="292"/>
        <v>0</v>
      </c>
      <c r="Z840" s="29">
        <f t="shared" si="293"/>
        <v>33968</v>
      </c>
    </row>
    <row r="841" spans="1:26" x14ac:dyDescent="0.3">
      <c r="A841" s="5" t="s">
        <v>2402</v>
      </c>
      <c r="B841" s="5" t="s">
        <v>2403</v>
      </c>
      <c r="C841" s="5">
        <v>8</v>
      </c>
      <c r="D841" s="6">
        <v>969</v>
      </c>
      <c r="E841" s="17">
        <f>VLOOKUP(A841,'forecast data dump'!$A$1:$H$3450,4,FALSE)</f>
        <v>44488</v>
      </c>
      <c r="F841" s="17">
        <f>VLOOKUP(A841,'forecast data dump'!$A$1:$H$3450,5,FALSE)</f>
        <v>44501</v>
      </c>
      <c r="G841" s="42">
        <f>VLOOKUP(A841,'forecast data dump'!$A$1:$H$3450,8,FALSE)</f>
        <v>0</v>
      </c>
      <c r="H841" s="5" t="s">
        <v>3745</v>
      </c>
      <c r="I841" s="39">
        <f t="shared" si="284"/>
        <v>8</v>
      </c>
      <c r="J841" s="5"/>
      <c r="K841" s="5"/>
      <c r="L841" s="33">
        <f t="shared" si="285"/>
        <v>969</v>
      </c>
      <c r="M841" s="33">
        <f t="shared" si="286"/>
        <v>969</v>
      </c>
      <c r="N841" s="33">
        <f t="shared" si="287"/>
        <v>0</v>
      </c>
      <c r="T841">
        <v>1</v>
      </c>
      <c r="U841" s="29">
        <f t="shared" si="288"/>
        <v>0</v>
      </c>
      <c r="V841" s="29">
        <f t="shared" si="289"/>
        <v>0</v>
      </c>
      <c r="W841" s="29">
        <f t="shared" si="290"/>
        <v>0</v>
      </c>
      <c r="X841" s="29">
        <f t="shared" si="291"/>
        <v>0</v>
      </c>
      <c r="Y841" s="29">
        <f t="shared" si="292"/>
        <v>0</v>
      </c>
      <c r="Z841" s="29">
        <f t="shared" si="293"/>
        <v>969</v>
      </c>
    </row>
    <row r="842" spans="1:26" x14ac:dyDescent="0.3">
      <c r="A842" s="5" t="s">
        <v>2402</v>
      </c>
      <c r="B842" s="5" t="s">
        <v>2403</v>
      </c>
      <c r="C842" s="5">
        <v>128</v>
      </c>
      <c r="D842" s="6">
        <v>15497</v>
      </c>
      <c r="E842" s="17">
        <f>VLOOKUP(A842,'forecast data dump'!$A$1:$H$3450,4,FALSE)</f>
        <v>44488</v>
      </c>
      <c r="F842" s="17">
        <f>VLOOKUP(A842,'forecast data dump'!$A$1:$H$3450,5,FALSE)</f>
        <v>44501</v>
      </c>
      <c r="G842" s="42">
        <f>VLOOKUP(A842,'forecast data dump'!$A$1:$H$3450,8,FALSE)</f>
        <v>0</v>
      </c>
      <c r="H842" s="5" t="s">
        <v>3741</v>
      </c>
      <c r="I842" s="39">
        <f t="shared" si="284"/>
        <v>128</v>
      </c>
      <c r="J842" s="5"/>
      <c r="K842" s="5"/>
      <c r="L842" s="33">
        <f t="shared" si="285"/>
        <v>15497</v>
      </c>
      <c r="M842" s="33">
        <f t="shared" si="286"/>
        <v>15497</v>
      </c>
      <c r="N842" s="33">
        <f t="shared" si="287"/>
        <v>0</v>
      </c>
      <c r="T842">
        <v>1</v>
      </c>
      <c r="U842" s="29">
        <f t="shared" si="288"/>
        <v>0</v>
      </c>
      <c r="V842" s="29">
        <f t="shared" si="289"/>
        <v>0</v>
      </c>
      <c r="W842" s="29">
        <f t="shared" si="290"/>
        <v>0</v>
      </c>
      <c r="X842" s="29">
        <f t="shared" si="291"/>
        <v>0</v>
      </c>
      <c r="Y842" s="29">
        <f t="shared" si="292"/>
        <v>0</v>
      </c>
      <c r="Z842" s="29">
        <f t="shared" si="293"/>
        <v>15497</v>
      </c>
    </row>
    <row r="843" spans="1:26" x14ac:dyDescent="0.3">
      <c r="A843" s="5" t="s">
        <v>2404</v>
      </c>
      <c r="B843" s="5" t="s">
        <v>2405</v>
      </c>
      <c r="C843" s="5">
        <v>64</v>
      </c>
      <c r="D843" s="6">
        <v>9999</v>
      </c>
      <c r="E843" s="17">
        <f>VLOOKUP(A843,'forecast data dump'!$A$1:$H$3450,4,FALSE)</f>
        <v>44495</v>
      </c>
      <c r="F843" s="17">
        <f>VLOOKUP(A843,'forecast data dump'!$A$1:$H$3450,5,FALSE)</f>
        <v>44523</v>
      </c>
      <c r="G843" s="42">
        <f>VLOOKUP(A843,'forecast data dump'!$A$1:$H$3450,8,FALSE)</f>
        <v>0</v>
      </c>
      <c r="H843" s="5" t="s">
        <v>3733</v>
      </c>
      <c r="I843" s="39">
        <f t="shared" si="284"/>
        <v>64</v>
      </c>
      <c r="J843" s="5"/>
      <c r="K843" s="5"/>
      <c r="L843" s="33">
        <f t="shared" si="285"/>
        <v>9999</v>
      </c>
      <c r="M843" s="33">
        <f t="shared" si="286"/>
        <v>9999</v>
      </c>
      <c r="N843" s="33">
        <f t="shared" si="287"/>
        <v>0</v>
      </c>
      <c r="T843">
        <v>1</v>
      </c>
      <c r="U843" s="29">
        <f t="shared" si="288"/>
        <v>0</v>
      </c>
      <c r="V843" s="29">
        <f t="shared" si="289"/>
        <v>0</v>
      </c>
      <c r="W843" s="29">
        <f t="shared" si="290"/>
        <v>0</v>
      </c>
      <c r="X843" s="29">
        <f t="shared" si="291"/>
        <v>0</v>
      </c>
      <c r="Y843" s="29">
        <f t="shared" si="292"/>
        <v>0</v>
      </c>
      <c r="Z843" s="29">
        <f t="shared" si="293"/>
        <v>9999</v>
      </c>
    </row>
    <row r="844" spans="1:26" x14ac:dyDescent="0.3">
      <c r="A844" s="5" t="s">
        <v>2404</v>
      </c>
      <c r="B844" s="5" t="s">
        <v>2405</v>
      </c>
      <c r="C844" s="5">
        <v>64</v>
      </c>
      <c r="D844" s="6">
        <v>7749</v>
      </c>
      <c r="E844" s="17">
        <f>VLOOKUP(A844,'forecast data dump'!$A$1:$H$3450,4,FALSE)</f>
        <v>44495</v>
      </c>
      <c r="F844" s="17">
        <f>VLOOKUP(A844,'forecast data dump'!$A$1:$H$3450,5,FALSE)</f>
        <v>44523</v>
      </c>
      <c r="G844" s="42">
        <f>VLOOKUP(A844,'forecast data dump'!$A$1:$H$3450,8,FALSE)</f>
        <v>0</v>
      </c>
      <c r="H844" s="5" t="s">
        <v>3745</v>
      </c>
      <c r="I844" s="39">
        <f t="shared" si="284"/>
        <v>64</v>
      </c>
      <c r="J844" s="5"/>
      <c r="K844" s="5"/>
      <c r="L844" s="33">
        <f t="shared" si="285"/>
        <v>7749</v>
      </c>
      <c r="M844" s="33">
        <f t="shared" si="286"/>
        <v>7749</v>
      </c>
      <c r="N844" s="33">
        <f t="shared" si="287"/>
        <v>0</v>
      </c>
      <c r="T844">
        <v>1</v>
      </c>
      <c r="U844" s="29">
        <f t="shared" si="288"/>
        <v>0</v>
      </c>
      <c r="V844" s="29">
        <f t="shared" si="289"/>
        <v>0</v>
      </c>
      <c r="W844" s="29">
        <f t="shared" si="290"/>
        <v>0</v>
      </c>
      <c r="X844" s="29">
        <f t="shared" si="291"/>
        <v>0</v>
      </c>
      <c r="Y844" s="29">
        <f t="shared" si="292"/>
        <v>0</v>
      </c>
      <c r="Z844" s="29">
        <f t="shared" si="293"/>
        <v>7749</v>
      </c>
    </row>
    <row r="845" spans="1:26" x14ac:dyDescent="0.3">
      <c r="A845" s="5" t="s">
        <v>2404</v>
      </c>
      <c r="B845" s="5" t="s">
        <v>2405</v>
      </c>
      <c r="C845" s="5">
        <v>512</v>
      </c>
      <c r="D845" s="6">
        <v>61989</v>
      </c>
      <c r="E845" s="17">
        <f>VLOOKUP(A845,'forecast data dump'!$A$1:$H$3450,4,FALSE)</f>
        <v>44495</v>
      </c>
      <c r="F845" s="17">
        <f>VLOOKUP(A845,'forecast data dump'!$A$1:$H$3450,5,FALSE)</f>
        <v>44523</v>
      </c>
      <c r="G845" s="42">
        <f>VLOOKUP(A845,'forecast data dump'!$A$1:$H$3450,8,FALSE)</f>
        <v>0</v>
      </c>
      <c r="H845" s="5" t="s">
        <v>3741</v>
      </c>
      <c r="I845" s="39">
        <f t="shared" si="284"/>
        <v>512</v>
      </c>
      <c r="J845" s="5"/>
      <c r="K845" s="5"/>
      <c r="L845" s="33">
        <f t="shared" si="285"/>
        <v>61989</v>
      </c>
      <c r="M845" s="33">
        <f t="shared" si="286"/>
        <v>61989</v>
      </c>
      <c r="N845" s="33">
        <f t="shared" si="287"/>
        <v>0</v>
      </c>
      <c r="T845">
        <v>1</v>
      </c>
      <c r="U845" s="29">
        <f t="shared" si="288"/>
        <v>0</v>
      </c>
      <c r="V845" s="29">
        <f t="shared" si="289"/>
        <v>0</v>
      </c>
      <c r="W845" s="29">
        <f t="shared" si="290"/>
        <v>0</v>
      </c>
      <c r="X845" s="29">
        <f t="shared" si="291"/>
        <v>0</v>
      </c>
      <c r="Y845" s="29">
        <f t="shared" si="292"/>
        <v>0</v>
      </c>
      <c r="Z845" s="29">
        <f t="shared" si="293"/>
        <v>61989</v>
      </c>
    </row>
    <row r="846" spans="1:26" x14ac:dyDescent="0.3">
      <c r="A846" s="5" t="s">
        <v>2404</v>
      </c>
      <c r="B846" s="5" t="s">
        <v>2405</v>
      </c>
      <c r="C846" s="5">
        <v>480</v>
      </c>
      <c r="D846" s="6">
        <v>63690</v>
      </c>
      <c r="E846" s="17">
        <f>VLOOKUP(A846,'forecast data dump'!$A$1:$H$3450,4,FALSE)</f>
        <v>44495</v>
      </c>
      <c r="F846" s="17">
        <f>VLOOKUP(A846,'forecast data dump'!$A$1:$H$3450,5,FALSE)</f>
        <v>44523</v>
      </c>
      <c r="G846" s="42">
        <f>VLOOKUP(A846,'forecast data dump'!$A$1:$H$3450,8,FALSE)</f>
        <v>0</v>
      </c>
      <c r="H846" s="5" t="s">
        <v>3752</v>
      </c>
      <c r="I846" s="39">
        <f t="shared" si="284"/>
        <v>480</v>
      </c>
      <c r="J846" s="5"/>
      <c r="K846" s="5"/>
      <c r="L846" s="33">
        <f t="shared" si="285"/>
        <v>63690</v>
      </c>
      <c r="M846" s="33">
        <f t="shared" si="286"/>
        <v>63690</v>
      </c>
      <c r="N846" s="33">
        <f t="shared" si="287"/>
        <v>0</v>
      </c>
      <c r="T846">
        <v>1</v>
      </c>
      <c r="U846" s="29">
        <f t="shared" si="288"/>
        <v>0</v>
      </c>
      <c r="V846" s="29">
        <f t="shared" si="289"/>
        <v>0</v>
      </c>
      <c r="W846" s="29">
        <f t="shared" si="290"/>
        <v>0</v>
      </c>
      <c r="X846" s="29">
        <f t="shared" si="291"/>
        <v>0</v>
      </c>
      <c r="Y846" s="29">
        <f t="shared" si="292"/>
        <v>0</v>
      </c>
      <c r="Z846" s="29">
        <f t="shared" si="293"/>
        <v>63690</v>
      </c>
    </row>
    <row r="847" spans="1:26" x14ac:dyDescent="0.3">
      <c r="A847" s="3" t="s">
        <v>7894</v>
      </c>
      <c r="B847" s="3"/>
      <c r="C847" s="3"/>
      <c r="D847" s="4"/>
      <c r="E847" s="15"/>
      <c r="F847" s="15"/>
      <c r="G847" s="41"/>
      <c r="H847" s="3"/>
      <c r="I847" s="38"/>
      <c r="J847" s="3"/>
      <c r="K847" s="3"/>
      <c r="L847" s="32"/>
      <c r="M847" s="32"/>
      <c r="N847" s="32"/>
      <c r="U847" s="29"/>
      <c r="V847" s="29"/>
      <c r="W847" s="29"/>
      <c r="X847" s="29"/>
      <c r="Y847" s="29"/>
      <c r="Z847" s="29"/>
    </row>
    <row r="848" spans="1:26" x14ac:dyDescent="0.3">
      <c r="A848" s="5" t="s">
        <v>2654</v>
      </c>
      <c r="B848" s="5" t="s">
        <v>2655</v>
      </c>
      <c r="C848" s="5">
        <v>10</v>
      </c>
      <c r="D848" s="6">
        <v>1517</v>
      </c>
      <c r="E848" s="17" t="str">
        <f>VLOOKUP(A848,'forecast data dump'!$A$1:$H$3450,4,FALSE)</f>
        <v>17-Mar-21 A</v>
      </c>
      <c r="F848" s="17">
        <f>VLOOKUP(A848,'forecast data dump'!$A$1:$H$3450,5,FALSE)</f>
        <v>44406</v>
      </c>
      <c r="G848" s="42">
        <f>VLOOKUP(A848,'forecast data dump'!$A$1:$H$3450,8,FALSE)</f>
        <v>0.75</v>
      </c>
      <c r="H848" s="5" t="s">
        <v>3763</v>
      </c>
      <c r="I848" s="39">
        <f t="shared" ref="I848:I896" si="294">C848*(1-G848)</f>
        <v>2.5</v>
      </c>
      <c r="J848" s="5"/>
      <c r="K848" s="5"/>
      <c r="L848" s="33">
        <f t="shared" ref="L848:L896" si="295">D848*(1-G848)</f>
        <v>379.25</v>
      </c>
      <c r="M848" s="33">
        <f t="shared" ref="M848:M896" si="296">IF(J848="",L848,(D848/C848)*J848)</f>
        <v>379.25</v>
      </c>
      <c r="N848" s="33">
        <f t="shared" ref="N848:N896" si="297">L848-M848</f>
        <v>0</v>
      </c>
      <c r="R848">
        <v>1</v>
      </c>
      <c r="U848" s="29">
        <f t="shared" si="288"/>
        <v>0</v>
      </c>
      <c r="V848" s="29">
        <f t="shared" si="289"/>
        <v>0</v>
      </c>
      <c r="W848" s="29">
        <f t="shared" si="290"/>
        <v>0</v>
      </c>
      <c r="X848" s="29">
        <f t="shared" si="291"/>
        <v>379.25</v>
      </c>
      <c r="Y848" s="29">
        <f t="shared" si="292"/>
        <v>0</v>
      </c>
      <c r="Z848" s="29">
        <f t="shared" si="293"/>
        <v>0</v>
      </c>
    </row>
    <row r="849" spans="1:26" x14ac:dyDescent="0.3">
      <c r="A849" s="5" t="s">
        <v>2662</v>
      </c>
      <c r="B849" s="5" t="s">
        <v>2663</v>
      </c>
      <c r="C849" s="5">
        <v>16</v>
      </c>
      <c r="D849" s="6">
        <v>2427</v>
      </c>
      <c r="E849" s="17">
        <f>VLOOKUP(A849,'forecast data dump'!$A$1:$H$3450,4,FALSE)</f>
        <v>44460</v>
      </c>
      <c r="F849" s="17">
        <f>VLOOKUP(A849,'forecast data dump'!$A$1:$H$3450,5,FALSE)</f>
        <v>44461</v>
      </c>
      <c r="G849" s="42">
        <f>VLOOKUP(A849,'forecast data dump'!$A$1:$H$3450,8,FALSE)</f>
        <v>0</v>
      </c>
      <c r="H849" s="5" t="s">
        <v>3733</v>
      </c>
      <c r="I849" s="39">
        <f t="shared" si="294"/>
        <v>16</v>
      </c>
      <c r="J849" s="5"/>
      <c r="K849" s="5"/>
      <c r="L849" s="33">
        <f t="shared" si="295"/>
        <v>2427</v>
      </c>
      <c r="M849" s="33">
        <f t="shared" si="296"/>
        <v>2427</v>
      </c>
      <c r="N849" s="33">
        <f t="shared" si="297"/>
        <v>0</v>
      </c>
      <c r="T849">
        <v>1</v>
      </c>
      <c r="U849" s="29">
        <f t="shared" si="288"/>
        <v>0</v>
      </c>
      <c r="V849" s="29">
        <f t="shared" si="289"/>
        <v>0</v>
      </c>
      <c r="W849" s="29">
        <f t="shared" si="290"/>
        <v>0</v>
      </c>
      <c r="X849" s="29">
        <f t="shared" si="291"/>
        <v>0</v>
      </c>
      <c r="Y849" s="29">
        <f t="shared" si="292"/>
        <v>0</v>
      </c>
      <c r="Z849" s="29">
        <f t="shared" si="293"/>
        <v>2427</v>
      </c>
    </row>
    <row r="850" spans="1:26" x14ac:dyDescent="0.3">
      <c r="A850" s="5" t="s">
        <v>2662</v>
      </c>
      <c r="B850" s="5" t="s">
        <v>2663</v>
      </c>
      <c r="C850" s="5">
        <v>4</v>
      </c>
      <c r="D850" s="6">
        <v>470</v>
      </c>
      <c r="E850" s="17">
        <f>VLOOKUP(A850,'forecast data dump'!$A$1:$H$3450,4,FALSE)</f>
        <v>44460</v>
      </c>
      <c r="F850" s="17">
        <f>VLOOKUP(A850,'forecast data dump'!$A$1:$H$3450,5,FALSE)</f>
        <v>44461</v>
      </c>
      <c r="G850" s="42">
        <f>VLOOKUP(A850,'forecast data dump'!$A$1:$H$3450,8,FALSE)</f>
        <v>0</v>
      </c>
      <c r="H850" s="5" t="s">
        <v>3745</v>
      </c>
      <c r="I850" s="39">
        <f t="shared" si="294"/>
        <v>4</v>
      </c>
      <c r="J850" s="5"/>
      <c r="K850" s="5"/>
      <c r="L850" s="33">
        <f t="shared" si="295"/>
        <v>470</v>
      </c>
      <c r="M850" s="33">
        <f t="shared" si="296"/>
        <v>470</v>
      </c>
      <c r="N850" s="33">
        <f t="shared" si="297"/>
        <v>0</v>
      </c>
      <c r="T850">
        <v>1</v>
      </c>
      <c r="U850" s="29">
        <f t="shared" si="288"/>
        <v>0</v>
      </c>
      <c r="V850" s="29">
        <f t="shared" si="289"/>
        <v>0</v>
      </c>
      <c r="W850" s="29">
        <f t="shared" si="290"/>
        <v>0</v>
      </c>
      <c r="X850" s="29">
        <f t="shared" si="291"/>
        <v>0</v>
      </c>
      <c r="Y850" s="29">
        <f t="shared" si="292"/>
        <v>0</v>
      </c>
      <c r="Z850" s="29">
        <f t="shared" si="293"/>
        <v>470</v>
      </c>
    </row>
    <row r="851" spans="1:26" x14ac:dyDescent="0.3">
      <c r="A851" s="5" t="s">
        <v>2662</v>
      </c>
      <c r="B851" s="5" t="s">
        <v>2663</v>
      </c>
      <c r="C851" s="5">
        <v>32</v>
      </c>
      <c r="D851" s="6">
        <v>3761</v>
      </c>
      <c r="E851" s="17">
        <f>VLOOKUP(A851,'forecast data dump'!$A$1:$H$3450,4,FALSE)</f>
        <v>44460</v>
      </c>
      <c r="F851" s="17">
        <f>VLOOKUP(A851,'forecast data dump'!$A$1:$H$3450,5,FALSE)</f>
        <v>44461</v>
      </c>
      <c r="G851" s="42">
        <f>VLOOKUP(A851,'forecast data dump'!$A$1:$H$3450,8,FALSE)</f>
        <v>0</v>
      </c>
      <c r="H851" s="5" t="s">
        <v>3741</v>
      </c>
      <c r="I851" s="39">
        <f t="shared" si="294"/>
        <v>32</v>
      </c>
      <c r="J851" s="5"/>
      <c r="K851" s="5"/>
      <c r="L851" s="33">
        <f t="shared" si="295"/>
        <v>3761</v>
      </c>
      <c r="M851" s="33">
        <f t="shared" si="296"/>
        <v>3761</v>
      </c>
      <c r="N851" s="33">
        <f t="shared" si="297"/>
        <v>0</v>
      </c>
      <c r="T851">
        <v>1</v>
      </c>
      <c r="U851" s="29">
        <f t="shared" si="288"/>
        <v>0</v>
      </c>
      <c r="V851" s="29">
        <f t="shared" si="289"/>
        <v>0</v>
      </c>
      <c r="W851" s="29">
        <f t="shared" si="290"/>
        <v>0</v>
      </c>
      <c r="X851" s="29">
        <f t="shared" si="291"/>
        <v>0</v>
      </c>
      <c r="Y851" s="29">
        <f t="shared" si="292"/>
        <v>0</v>
      </c>
      <c r="Z851" s="29">
        <f t="shared" si="293"/>
        <v>3761</v>
      </c>
    </row>
    <row r="852" spans="1:26" x14ac:dyDescent="0.3">
      <c r="A852" s="5" t="s">
        <v>2664</v>
      </c>
      <c r="B852" s="5" t="s">
        <v>2665</v>
      </c>
      <c r="C852" s="5">
        <v>16</v>
      </c>
      <c r="D852" s="6">
        <v>2427</v>
      </c>
      <c r="E852" s="17">
        <f>VLOOKUP(A852,'forecast data dump'!$A$1:$H$3450,4,FALSE)</f>
        <v>44462</v>
      </c>
      <c r="F852" s="17">
        <f>VLOOKUP(A852,'forecast data dump'!$A$1:$H$3450,5,FALSE)</f>
        <v>44463</v>
      </c>
      <c r="G852" s="42">
        <f>VLOOKUP(A852,'forecast data dump'!$A$1:$H$3450,8,FALSE)</f>
        <v>0</v>
      </c>
      <c r="H852" s="5" t="s">
        <v>3733</v>
      </c>
      <c r="I852" s="39">
        <f t="shared" si="294"/>
        <v>16</v>
      </c>
      <c r="J852" s="5"/>
      <c r="K852" s="5"/>
      <c r="L852" s="33">
        <f t="shared" si="295"/>
        <v>2427</v>
      </c>
      <c r="M852" s="33">
        <f t="shared" si="296"/>
        <v>2427</v>
      </c>
      <c r="N852" s="33">
        <f t="shared" si="297"/>
        <v>0</v>
      </c>
      <c r="T852">
        <v>1</v>
      </c>
      <c r="U852" s="29">
        <f t="shared" si="288"/>
        <v>0</v>
      </c>
      <c r="V852" s="29">
        <f t="shared" si="289"/>
        <v>0</v>
      </c>
      <c r="W852" s="29">
        <f t="shared" si="290"/>
        <v>0</v>
      </c>
      <c r="X852" s="29">
        <f t="shared" si="291"/>
        <v>0</v>
      </c>
      <c r="Y852" s="29">
        <f t="shared" si="292"/>
        <v>0</v>
      </c>
      <c r="Z852" s="29">
        <f t="shared" si="293"/>
        <v>2427</v>
      </c>
    </row>
    <row r="853" spans="1:26" x14ac:dyDescent="0.3">
      <c r="A853" s="5" t="s">
        <v>2664</v>
      </c>
      <c r="B853" s="5" t="s">
        <v>2665</v>
      </c>
      <c r="C853" s="5">
        <v>2</v>
      </c>
      <c r="D853" s="6">
        <v>235</v>
      </c>
      <c r="E853" s="17">
        <f>VLOOKUP(A853,'forecast data dump'!$A$1:$H$3450,4,FALSE)</f>
        <v>44462</v>
      </c>
      <c r="F853" s="17">
        <f>VLOOKUP(A853,'forecast data dump'!$A$1:$H$3450,5,FALSE)</f>
        <v>44463</v>
      </c>
      <c r="G853" s="42">
        <f>VLOOKUP(A853,'forecast data dump'!$A$1:$H$3450,8,FALSE)</f>
        <v>0</v>
      </c>
      <c r="H853" s="5" t="s">
        <v>3745</v>
      </c>
      <c r="I853" s="39">
        <f t="shared" si="294"/>
        <v>2</v>
      </c>
      <c r="J853" s="5"/>
      <c r="K853" s="5"/>
      <c r="L853" s="33">
        <f t="shared" si="295"/>
        <v>235</v>
      </c>
      <c r="M853" s="33">
        <f t="shared" si="296"/>
        <v>235</v>
      </c>
      <c r="N853" s="33">
        <f t="shared" si="297"/>
        <v>0</v>
      </c>
      <c r="T853">
        <v>1</v>
      </c>
      <c r="U853" s="29">
        <f t="shared" si="288"/>
        <v>0</v>
      </c>
      <c r="V853" s="29">
        <f t="shared" si="289"/>
        <v>0</v>
      </c>
      <c r="W853" s="29">
        <f t="shared" si="290"/>
        <v>0</v>
      </c>
      <c r="X853" s="29">
        <f t="shared" si="291"/>
        <v>0</v>
      </c>
      <c r="Y853" s="29">
        <f t="shared" si="292"/>
        <v>0</v>
      </c>
      <c r="Z853" s="29">
        <f t="shared" si="293"/>
        <v>235</v>
      </c>
    </row>
    <row r="854" spans="1:26" x14ac:dyDescent="0.3">
      <c r="A854" s="5" t="s">
        <v>2664</v>
      </c>
      <c r="B854" s="5" t="s">
        <v>2665</v>
      </c>
      <c r="C854" s="5">
        <v>32</v>
      </c>
      <c r="D854" s="6">
        <v>3761</v>
      </c>
      <c r="E854" s="17">
        <f>VLOOKUP(A854,'forecast data dump'!$A$1:$H$3450,4,FALSE)</f>
        <v>44462</v>
      </c>
      <c r="F854" s="17">
        <f>VLOOKUP(A854,'forecast data dump'!$A$1:$H$3450,5,FALSE)</f>
        <v>44463</v>
      </c>
      <c r="G854" s="42">
        <f>VLOOKUP(A854,'forecast data dump'!$A$1:$H$3450,8,FALSE)</f>
        <v>0</v>
      </c>
      <c r="H854" s="5" t="s">
        <v>3741</v>
      </c>
      <c r="I854" s="39">
        <f t="shared" si="294"/>
        <v>32</v>
      </c>
      <c r="J854" s="5"/>
      <c r="K854" s="5"/>
      <c r="L854" s="33">
        <f t="shared" si="295"/>
        <v>3761</v>
      </c>
      <c r="M854" s="33">
        <f t="shared" si="296"/>
        <v>3761</v>
      </c>
      <c r="N854" s="33">
        <f t="shared" si="297"/>
        <v>0</v>
      </c>
      <c r="T854">
        <v>1</v>
      </c>
      <c r="U854" s="29">
        <f t="shared" si="288"/>
        <v>0</v>
      </c>
      <c r="V854" s="29">
        <f t="shared" si="289"/>
        <v>0</v>
      </c>
      <c r="W854" s="29">
        <f t="shared" si="290"/>
        <v>0</v>
      </c>
      <c r="X854" s="29">
        <f t="shared" si="291"/>
        <v>0</v>
      </c>
      <c r="Y854" s="29">
        <f t="shared" si="292"/>
        <v>0</v>
      </c>
      <c r="Z854" s="29">
        <f t="shared" si="293"/>
        <v>3761</v>
      </c>
    </row>
    <row r="855" spans="1:26" x14ac:dyDescent="0.3">
      <c r="A855" s="5" t="s">
        <v>2666</v>
      </c>
      <c r="B855" s="5" t="s">
        <v>2667</v>
      </c>
      <c r="C855" s="5">
        <v>80</v>
      </c>
      <c r="D855" s="6">
        <v>9404</v>
      </c>
      <c r="E855" s="17">
        <f>VLOOKUP(A855,'forecast data dump'!$A$1:$H$3450,4,FALSE)</f>
        <v>44466</v>
      </c>
      <c r="F855" s="17">
        <f>VLOOKUP(A855,'forecast data dump'!$A$1:$H$3450,5,FALSE)</f>
        <v>44477</v>
      </c>
      <c r="G855" s="42">
        <f>VLOOKUP(A855,'forecast data dump'!$A$1:$H$3450,8,FALSE)</f>
        <v>0</v>
      </c>
      <c r="H855" s="5" t="s">
        <v>3741</v>
      </c>
      <c r="I855" s="39">
        <f t="shared" si="294"/>
        <v>80</v>
      </c>
      <c r="J855" s="5"/>
      <c r="K855" s="5"/>
      <c r="L855" s="33">
        <f t="shared" si="295"/>
        <v>9404</v>
      </c>
      <c r="M855" s="33">
        <f t="shared" si="296"/>
        <v>9404</v>
      </c>
      <c r="N855" s="33">
        <f t="shared" si="297"/>
        <v>0</v>
      </c>
      <c r="T855">
        <v>1</v>
      </c>
      <c r="U855" s="29">
        <f t="shared" si="288"/>
        <v>0</v>
      </c>
      <c r="V855" s="29">
        <f t="shared" si="289"/>
        <v>0</v>
      </c>
      <c r="W855" s="29">
        <f t="shared" si="290"/>
        <v>0</v>
      </c>
      <c r="X855" s="29">
        <f t="shared" si="291"/>
        <v>0</v>
      </c>
      <c r="Y855" s="29">
        <f t="shared" si="292"/>
        <v>0</v>
      </c>
      <c r="Z855" s="29">
        <f t="shared" si="293"/>
        <v>9404</v>
      </c>
    </row>
    <row r="856" spans="1:26" x14ac:dyDescent="0.3">
      <c r="A856" s="5" t="s">
        <v>2668</v>
      </c>
      <c r="B856" s="5" t="s">
        <v>2669</v>
      </c>
      <c r="C856" s="5">
        <v>16</v>
      </c>
      <c r="D856" s="6">
        <v>2489</v>
      </c>
      <c r="E856" s="17">
        <f>VLOOKUP(A856,'forecast data dump'!$A$1:$H$3450,4,FALSE)</f>
        <v>44481</v>
      </c>
      <c r="F856" s="17">
        <f>VLOOKUP(A856,'forecast data dump'!$A$1:$H$3450,5,FALSE)</f>
        <v>44508</v>
      </c>
      <c r="G856" s="42">
        <f>VLOOKUP(A856,'forecast data dump'!$A$1:$H$3450,8,FALSE)</f>
        <v>0</v>
      </c>
      <c r="H856" s="5" t="s">
        <v>3733</v>
      </c>
      <c r="I856" s="39">
        <f t="shared" si="294"/>
        <v>16</v>
      </c>
      <c r="J856" s="5"/>
      <c r="K856" s="5"/>
      <c r="L856" s="33">
        <f t="shared" si="295"/>
        <v>2489</v>
      </c>
      <c r="M856" s="33">
        <f t="shared" si="296"/>
        <v>2489</v>
      </c>
      <c r="N856" s="33">
        <f t="shared" si="297"/>
        <v>0</v>
      </c>
      <c r="T856">
        <v>1</v>
      </c>
      <c r="U856" s="29">
        <f t="shared" si="288"/>
        <v>0</v>
      </c>
      <c r="V856" s="29">
        <f t="shared" si="289"/>
        <v>0</v>
      </c>
      <c r="W856" s="29">
        <f t="shared" si="290"/>
        <v>0</v>
      </c>
      <c r="X856" s="29">
        <f t="shared" si="291"/>
        <v>0</v>
      </c>
      <c r="Y856" s="29">
        <f t="shared" si="292"/>
        <v>0</v>
      </c>
      <c r="Z856" s="29">
        <f t="shared" si="293"/>
        <v>2489</v>
      </c>
    </row>
    <row r="857" spans="1:26" x14ac:dyDescent="0.3">
      <c r="A857" s="5" t="s">
        <v>2668</v>
      </c>
      <c r="B857" s="5" t="s">
        <v>2669</v>
      </c>
      <c r="C857" s="5">
        <v>16</v>
      </c>
      <c r="D857" s="6">
        <v>1929</v>
      </c>
      <c r="E857" s="17">
        <f>VLOOKUP(A857,'forecast data dump'!$A$1:$H$3450,4,FALSE)</f>
        <v>44481</v>
      </c>
      <c r="F857" s="17">
        <f>VLOOKUP(A857,'forecast data dump'!$A$1:$H$3450,5,FALSE)</f>
        <v>44508</v>
      </c>
      <c r="G857" s="42">
        <f>VLOOKUP(A857,'forecast data dump'!$A$1:$H$3450,8,FALSE)</f>
        <v>0</v>
      </c>
      <c r="H857" s="5" t="s">
        <v>3745</v>
      </c>
      <c r="I857" s="39">
        <f t="shared" si="294"/>
        <v>16</v>
      </c>
      <c r="J857" s="5"/>
      <c r="K857" s="5"/>
      <c r="L857" s="33">
        <f t="shared" si="295"/>
        <v>1929</v>
      </c>
      <c r="M857" s="33">
        <f t="shared" si="296"/>
        <v>1929</v>
      </c>
      <c r="N857" s="33">
        <f t="shared" si="297"/>
        <v>0</v>
      </c>
      <c r="T857">
        <v>1</v>
      </c>
      <c r="U857" s="29">
        <f t="shared" si="288"/>
        <v>0</v>
      </c>
      <c r="V857" s="29">
        <f t="shared" si="289"/>
        <v>0</v>
      </c>
      <c r="W857" s="29">
        <f t="shared" si="290"/>
        <v>0</v>
      </c>
      <c r="X857" s="29">
        <f t="shared" si="291"/>
        <v>0</v>
      </c>
      <c r="Y857" s="29">
        <f t="shared" si="292"/>
        <v>0</v>
      </c>
      <c r="Z857" s="29">
        <f t="shared" si="293"/>
        <v>1929</v>
      </c>
    </row>
    <row r="858" spans="1:26" x14ac:dyDescent="0.3">
      <c r="A858" s="5" t="s">
        <v>2668</v>
      </c>
      <c r="B858" s="5" t="s">
        <v>2669</v>
      </c>
      <c r="C858" s="5">
        <v>16</v>
      </c>
      <c r="D858" s="6">
        <v>1929</v>
      </c>
      <c r="E858" s="17">
        <f>VLOOKUP(A858,'forecast data dump'!$A$1:$H$3450,4,FALSE)</f>
        <v>44481</v>
      </c>
      <c r="F858" s="17">
        <f>VLOOKUP(A858,'forecast data dump'!$A$1:$H$3450,5,FALSE)</f>
        <v>44508</v>
      </c>
      <c r="G858" s="42">
        <f>VLOOKUP(A858,'forecast data dump'!$A$1:$H$3450,8,FALSE)</f>
        <v>0</v>
      </c>
      <c r="H858" s="5" t="s">
        <v>3741</v>
      </c>
      <c r="I858" s="39">
        <f t="shared" si="294"/>
        <v>16</v>
      </c>
      <c r="J858" s="5"/>
      <c r="K858" s="5"/>
      <c r="L858" s="33">
        <f t="shared" si="295"/>
        <v>1929</v>
      </c>
      <c r="M858" s="33">
        <f t="shared" si="296"/>
        <v>1929</v>
      </c>
      <c r="N858" s="33">
        <f t="shared" si="297"/>
        <v>0</v>
      </c>
      <c r="T858">
        <v>1</v>
      </c>
      <c r="U858" s="29">
        <f t="shared" si="288"/>
        <v>0</v>
      </c>
      <c r="V858" s="29">
        <f t="shared" si="289"/>
        <v>0</v>
      </c>
      <c r="W858" s="29">
        <f t="shared" si="290"/>
        <v>0</v>
      </c>
      <c r="X858" s="29">
        <f t="shared" si="291"/>
        <v>0</v>
      </c>
      <c r="Y858" s="29">
        <f t="shared" si="292"/>
        <v>0</v>
      </c>
      <c r="Z858" s="29">
        <f t="shared" si="293"/>
        <v>1929</v>
      </c>
    </row>
    <row r="859" spans="1:26" x14ac:dyDescent="0.3">
      <c r="A859" s="5" t="s">
        <v>2670</v>
      </c>
      <c r="B859" s="5" t="s">
        <v>2671</v>
      </c>
      <c r="C859" s="5">
        <v>16</v>
      </c>
      <c r="D859" s="6">
        <v>2500</v>
      </c>
      <c r="E859" s="17">
        <f>VLOOKUP(A859,'forecast data dump'!$A$1:$H$3450,4,FALSE)</f>
        <v>44509</v>
      </c>
      <c r="F859" s="17">
        <f>VLOOKUP(A859,'forecast data dump'!$A$1:$H$3450,5,FALSE)</f>
        <v>44539</v>
      </c>
      <c r="G859" s="42">
        <f>VLOOKUP(A859,'forecast data dump'!$A$1:$H$3450,8,FALSE)</f>
        <v>0</v>
      </c>
      <c r="H859" s="5" t="s">
        <v>3733</v>
      </c>
      <c r="I859" s="39">
        <f t="shared" si="294"/>
        <v>16</v>
      </c>
      <c r="J859" s="5"/>
      <c r="K859" s="5"/>
      <c r="L859" s="33">
        <f t="shared" si="295"/>
        <v>2500</v>
      </c>
      <c r="M859" s="33">
        <f t="shared" si="296"/>
        <v>2500</v>
      </c>
      <c r="N859" s="33">
        <f t="shared" si="297"/>
        <v>0</v>
      </c>
      <c r="T859">
        <v>1</v>
      </c>
      <c r="U859" s="29">
        <f t="shared" si="288"/>
        <v>0</v>
      </c>
      <c r="V859" s="29">
        <f t="shared" si="289"/>
        <v>0</v>
      </c>
      <c r="W859" s="29">
        <f t="shared" si="290"/>
        <v>0</v>
      </c>
      <c r="X859" s="29">
        <f t="shared" si="291"/>
        <v>0</v>
      </c>
      <c r="Y859" s="29">
        <f t="shared" si="292"/>
        <v>0</v>
      </c>
      <c r="Z859" s="29">
        <f t="shared" si="293"/>
        <v>2500</v>
      </c>
    </row>
    <row r="860" spans="1:26" x14ac:dyDescent="0.3">
      <c r="A860" s="5" t="s">
        <v>2670</v>
      </c>
      <c r="B860" s="5" t="s">
        <v>2671</v>
      </c>
      <c r="C860" s="5">
        <v>16</v>
      </c>
      <c r="D860" s="6">
        <v>1937</v>
      </c>
      <c r="E860" s="17">
        <f>VLOOKUP(A860,'forecast data dump'!$A$1:$H$3450,4,FALSE)</f>
        <v>44509</v>
      </c>
      <c r="F860" s="17">
        <f>VLOOKUP(A860,'forecast data dump'!$A$1:$H$3450,5,FALSE)</f>
        <v>44539</v>
      </c>
      <c r="G860" s="42">
        <f>VLOOKUP(A860,'forecast data dump'!$A$1:$H$3450,8,FALSE)</f>
        <v>0</v>
      </c>
      <c r="H860" s="5" t="s">
        <v>3745</v>
      </c>
      <c r="I860" s="39">
        <f t="shared" si="294"/>
        <v>16</v>
      </c>
      <c r="J860" s="5"/>
      <c r="K860" s="5"/>
      <c r="L860" s="33">
        <f t="shared" si="295"/>
        <v>1937</v>
      </c>
      <c r="M860" s="33">
        <f t="shared" si="296"/>
        <v>1937</v>
      </c>
      <c r="N860" s="33">
        <f t="shared" si="297"/>
        <v>0</v>
      </c>
      <c r="T860">
        <v>1</v>
      </c>
      <c r="U860" s="29">
        <f t="shared" si="288"/>
        <v>0</v>
      </c>
      <c r="V860" s="29">
        <f t="shared" si="289"/>
        <v>0</v>
      </c>
      <c r="W860" s="29">
        <f t="shared" si="290"/>
        <v>0</v>
      </c>
      <c r="X860" s="29">
        <f t="shared" si="291"/>
        <v>0</v>
      </c>
      <c r="Y860" s="29">
        <f t="shared" si="292"/>
        <v>0</v>
      </c>
      <c r="Z860" s="29">
        <f t="shared" si="293"/>
        <v>1937</v>
      </c>
    </row>
    <row r="861" spans="1:26" x14ac:dyDescent="0.3">
      <c r="A861" s="5" t="s">
        <v>2670</v>
      </c>
      <c r="B861" s="5" t="s">
        <v>2671</v>
      </c>
      <c r="C861" s="5">
        <v>160</v>
      </c>
      <c r="D861" s="6">
        <v>19372</v>
      </c>
      <c r="E861" s="17">
        <f>VLOOKUP(A861,'forecast data dump'!$A$1:$H$3450,4,FALSE)</f>
        <v>44509</v>
      </c>
      <c r="F861" s="17">
        <f>VLOOKUP(A861,'forecast data dump'!$A$1:$H$3450,5,FALSE)</f>
        <v>44539</v>
      </c>
      <c r="G861" s="42">
        <f>VLOOKUP(A861,'forecast data dump'!$A$1:$H$3450,8,FALSE)</f>
        <v>0</v>
      </c>
      <c r="H861" s="5" t="s">
        <v>3742</v>
      </c>
      <c r="I861" s="39">
        <f t="shared" si="294"/>
        <v>160</v>
      </c>
      <c r="J861" s="5"/>
      <c r="K861" s="5"/>
      <c r="L861" s="33">
        <f t="shared" si="295"/>
        <v>19372</v>
      </c>
      <c r="M861" s="33">
        <f t="shared" si="296"/>
        <v>19372</v>
      </c>
      <c r="N861" s="33">
        <f t="shared" si="297"/>
        <v>0</v>
      </c>
      <c r="T861">
        <v>1</v>
      </c>
      <c r="U861" s="29">
        <f t="shared" si="288"/>
        <v>0</v>
      </c>
      <c r="V861" s="29">
        <f t="shared" si="289"/>
        <v>0</v>
      </c>
      <c r="W861" s="29">
        <f t="shared" si="290"/>
        <v>0</v>
      </c>
      <c r="X861" s="29">
        <f t="shared" si="291"/>
        <v>0</v>
      </c>
      <c r="Y861" s="29">
        <f t="shared" si="292"/>
        <v>0</v>
      </c>
      <c r="Z861" s="29">
        <f t="shared" si="293"/>
        <v>19372</v>
      </c>
    </row>
    <row r="862" spans="1:26" x14ac:dyDescent="0.3">
      <c r="A862" s="5" t="s">
        <v>2672</v>
      </c>
      <c r="B862" s="5" t="s">
        <v>2673</v>
      </c>
      <c r="C862" s="5">
        <v>8</v>
      </c>
      <c r="D862" s="6">
        <v>1250</v>
      </c>
      <c r="E862" s="17">
        <f>VLOOKUP(A862,'forecast data dump'!$A$1:$H$3450,4,FALSE)</f>
        <v>44540</v>
      </c>
      <c r="F862" s="17">
        <f>VLOOKUP(A862,'forecast data dump'!$A$1:$H$3450,5,FALSE)</f>
        <v>44553</v>
      </c>
      <c r="G862" s="42">
        <f>VLOOKUP(A862,'forecast data dump'!$A$1:$H$3450,8,FALSE)</f>
        <v>0</v>
      </c>
      <c r="H862" s="5" t="s">
        <v>3733</v>
      </c>
      <c r="I862" s="39">
        <f t="shared" si="294"/>
        <v>8</v>
      </c>
      <c r="J862" s="5"/>
      <c r="K862" s="5"/>
      <c r="L862" s="33">
        <f t="shared" si="295"/>
        <v>1250</v>
      </c>
      <c r="M862" s="33">
        <f t="shared" si="296"/>
        <v>1250</v>
      </c>
      <c r="N862" s="33">
        <f t="shared" si="297"/>
        <v>0</v>
      </c>
      <c r="T862">
        <v>1</v>
      </c>
      <c r="U862" s="29">
        <f t="shared" si="288"/>
        <v>0</v>
      </c>
      <c r="V862" s="29">
        <f t="shared" si="289"/>
        <v>0</v>
      </c>
      <c r="W862" s="29">
        <f t="shared" si="290"/>
        <v>0</v>
      </c>
      <c r="X862" s="29">
        <f t="shared" si="291"/>
        <v>0</v>
      </c>
      <c r="Y862" s="29">
        <f t="shared" si="292"/>
        <v>0</v>
      </c>
      <c r="Z862" s="29">
        <f t="shared" si="293"/>
        <v>1250</v>
      </c>
    </row>
    <row r="863" spans="1:26" x14ac:dyDescent="0.3">
      <c r="A863" s="5" t="s">
        <v>2672</v>
      </c>
      <c r="B863" s="5" t="s">
        <v>2673</v>
      </c>
      <c r="C863" s="5">
        <v>8</v>
      </c>
      <c r="D863" s="6">
        <v>969</v>
      </c>
      <c r="E863" s="17">
        <f>VLOOKUP(A863,'forecast data dump'!$A$1:$H$3450,4,FALSE)</f>
        <v>44540</v>
      </c>
      <c r="F863" s="17">
        <f>VLOOKUP(A863,'forecast data dump'!$A$1:$H$3450,5,FALSE)</f>
        <v>44553</v>
      </c>
      <c r="G863" s="42">
        <f>VLOOKUP(A863,'forecast data dump'!$A$1:$H$3450,8,FALSE)</f>
        <v>0</v>
      </c>
      <c r="H863" s="5" t="s">
        <v>3745</v>
      </c>
      <c r="I863" s="39">
        <f t="shared" si="294"/>
        <v>8</v>
      </c>
      <c r="J863" s="5"/>
      <c r="K863" s="5"/>
      <c r="L863" s="33">
        <f t="shared" si="295"/>
        <v>969</v>
      </c>
      <c r="M863" s="33">
        <f t="shared" si="296"/>
        <v>969</v>
      </c>
      <c r="N863" s="33">
        <f t="shared" si="297"/>
        <v>0</v>
      </c>
      <c r="T863">
        <v>1</v>
      </c>
      <c r="U863" s="29">
        <f t="shared" si="288"/>
        <v>0</v>
      </c>
      <c r="V863" s="29">
        <f t="shared" si="289"/>
        <v>0</v>
      </c>
      <c r="W863" s="29">
        <f t="shared" si="290"/>
        <v>0</v>
      </c>
      <c r="X863" s="29">
        <f t="shared" si="291"/>
        <v>0</v>
      </c>
      <c r="Y863" s="29">
        <f t="shared" si="292"/>
        <v>0</v>
      </c>
      <c r="Z863" s="29">
        <f t="shared" si="293"/>
        <v>969</v>
      </c>
    </row>
    <row r="864" spans="1:26" x14ac:dyDescent="0.3">
      <c r="A864" s="5" t="s">
        <v>2672</v>
      </c>
      <c r="B864" s="5" t="s">
        <v>2673</v>
      </c>
      <c r="C864" s="5">
        <v>8</v>
      </c>
      <c r="D864" s="6">
        <v>969</v>
      </c>
      <c r="E864" s="17">
        <f>VLOOKUP(A864,'forecast data dump'!$A$1:$H$3450,4,FALSE)</f>
        <v>44540</v>
      </c>
      <c r="F864" s="17">
        <f>VLOOKUP(A864,'forecast data dump'!$A$1:$H$3450,5,FALSE)</f>
        <v>44553</v>
      </c>
      <c r="G864" s="42">
        <f>VLOOKUP(A864,'forecast data dump'!$A$1:$H$3450,8,FALSE)</f>
        <v>0</v>
      </c>
      <c r="H864" s="5" t="s">
        <v>3741</v>
      </c>
      <c r="I864" s="39">
        <f t="shared" si="294"/>
        <v>8</v>
      </c>
      <c r="J864" s="5"/>
      <c r="K864" s="5"/>
      <c r="L864" s="33">
        <f t="shared" si="295"/>
        <v>969</v>
      </c>
      <c r="M864" s="33">
        <f t="shared" si="296"/>
        <v>969</v>
      </c>
      <c r="N864" s="33">
        <f t="shared" si="297"/>
        <v>0</v>
      </c>
      <c r="T864">
        <v>1</v>
      </c>
      <c r="U864" s="29">
        <f t="shared" si="288"/>
        <v>0</v>
      </c>
      <c r="V864" s="29">
        <f t="shared" si="289"/>
        <v>0</v>
      </c>
      <c r="W864" s="29">
        <f t="shared" si="290"/>
        <v>0</v>
      </c>
      <c r="X864" s="29">
        <f t="shared" si="291"/>
        <v>0</v>
      </c>
      <c r="Y864" s="29">
        <f t="shared" si="292"/>
        <v>0</v>
      </c>
      <c r="Z864" s="29">
        <f t="shared" si="293"/>
        <v>969</v>
      </c>
    </row>
    <row r="865" spans="1:26" x14ac:dyDescent="0.3">
      <c r="A865" s="5" t="s">
        <v>2674</v>
      </c>
      <c r="B865" s="5" t="s">
        <v>2675</v>
      </c>
      <c r="C865" s="5">
        <v>8</v>
      </c>
      <c r="D865" s="6">
        <v>1250</v>
      </c>
      <c r="E865" s="17">
        <f>VLOOKUP(A865,'forecast data dump'!$A$1:$H$3450,4,FALSE)</f>
        <v>44557</v>
      </c>
      <c r="F865" s="17">
        <f>VLOOKUP(A865,'forecast data dump'!$A$1:$H$3450,5,FALSE)</f>
        <v>44571</v>
      </c>
      <c r="G865" s="42">
        <f>VLOOKUP(A865,'forecast data dump'!$A$1:$H$3450,8,FALSE)</f>
        <v>0</v>
      </c>
      <c r="H865" s="5" t="s">
        <v>3733</v>
      </c>
      <c r="I865" s="39">
        <f t="shared" si="294"/>
        <v>8</v>
      </c>
      <c r="J865" s="5"/>
      <c r="K865" s="5"/>
      <c r="L865" s="33">
        <f t="shared" si="295"/>
        <v>1250</v>
      </c>
      <c r="M865" s="33">
        <f t="shared" si="296"/>
        <v>1250</v>
      </c>
      <c r="N865" s="33">
        <f t="shared" si="297"/>
        <v>0</v>
      </c>
      <c r="T865">
        <v>1</v>
      </c>
      <c r="U865" s="29">
        <f t="shared" si="288"/>
        <v>0</v>
      </c>
      <c r="V865" s="29">
        <f t="shared" si="289"/>
        <v>0</v>
      </c>
      <c r="W865" s="29">
        <f t="shared" si="290"/>
        <v>0</v>
      </c>
      <c r="X865" s="29">
        <f t="shared" si="291"/>
        <v>0</v>
      </c>
      <c r="Y865" s="29">
        <f t="shared" si="292"/>
        <v>0</v>
      </c>
      <c r="Z865" s="29">
        <f t="shared" si="293"/>
        <v>1250</v>
      </c>
    </row>
    <row r="866" spans="1:26" x14ac:dyDescent="0.3">
      <c r="A866" s="5" t="s">
        <v>2674</v>
      </c>
      <c r="B866" s="5" t="s">
        <v>2675</v>
      </c>
      <c r="C866" s="5">
        <v>8</v>
      </c>
      <c r="D866" s="6">
        <v>969</v>
      </c>
      <c r="E866" s="17">
        <f>VLOOKUP(A866,'forecast data dump'!$A$1:$H$3450,4,FALSE)</f>
        <v>44557</v>
      </c>
      <c r="F866" s="17">
        <f>VLOOKUP(A866,'forecast data dump'!$A$1:$H$3450,5,FALSE)</f>
        <v>44571</v>
      </c>
      <c r="G866" s="42">
        <f>VLOOKUP(A866,'forecast data dump'!$A$1:$H$3450,8,FALSE)</f>
        <v>0</v>
      </c>
      <c r="H866" s="5" t="s">
        <v>3745</v>
      </c>
      <c r="I866" s="39">
        <f t="shared" si="294"/>
        <v>8</v>
      </c>
      <c r="J866" s="5"/>
      <c r="K866" s="5"/>
      <c r="L866" s="33">
        <f t="shared" si="295"/>
        <v>969</v>
      </c>
      <c r="M866" s="33">
        <f t="shared" si="296"/>
        <v>969</v>
      </c>
      <c r="N866" s="33">
        <f t="shared" si="297"/>
        <v>0</v>
      </c>
      <c r="T866">
        <v>1</v>
      </c>
      <c r="U866" s="29">
        <f t="shared" si="288"/>
        <v>0</v>
      </c>
      <c r="V866" s="29">
        <f t="shared" si="289"/>
        <v>0</v>
      </c>
      <c r="W866" s="29">
        <f t="shared" si="290"/>
        <v>0</v>
      </c>
      <c r="X866" s="29">
        <f t="shared" si="291"/>
        <v>0</v>
      </c>
      <c r="Y866" s="29">
        <f t="shared" si="292"/>
        <v>0</v>
      </c>
      <c r="Z866" s="29">
        <f t="shared" si="293"/>
        <v>969</v>
      </c>
    </row>
    <row r="867" spans="1:26" x14ac:dyDescent="0.3">
      <c r="A867" s="5" t="s">
        <v>2674</v>
      </c>
      <c r="B867" s="5" t="s">
        <v>2675</v>
      </c>
      <c r="C867" s="5">
        <v>8</v>
      </c>
      <c r="D867" s="6">
        <v>969</v>
      </c>
      <c r="E867" s="17">
        <f>VLOOKUP(A867,'forecast data dump'!$A$1:$H$3450,4,FALSE)</f>
        <v>44557</v>
      </c>
      <c r="F867" s="17">
        <f>VLOOKUP(A867,'forecast data dump'!$A$1:$H$3450,5,FALSE)</f>
        <v>44571</v>
      </c>
      <c r="G867" s="42">
        <f>VLOOKUP(A867,'forecast data dump'!$A$1:$H$3450,8,FALSE)</f>
        <v>0</v>
      </c>
      <c r="H867" s="5" t="s">
        <v>3741</v>
      </c>
      <c r="I867" s="39">
        <f t="shared" si="294"/>
        <v>8</v>
      </c>
      <c r="J867" s="5"/>
      <c r="K867" s="5"/>
      <c r="L867" s="33">
        <f t="shared" si="295"/>
        <v>969</v>
      </c>
      <c r="M867" s="33">
        <f t="shared" si="296"/>
        <v>969</v>
      </c>
      <c r="N867" s="33">
        <f t="shared" si="297"/>
        <v>0</v>
      </c>
      <c r="T867">
        <v>1</v>
      </c>
      <c r="U867" s="29">
        <f t="shared" si="288"/>
        <v>0</v>
      </c>
      <c r="V867" s="29">
        <f t="shared" si="289"/>
        <v>0</v>
      </c>
      <c r="W867" s="29">
        <f t="shared" si="290"/>
        <v>0</v>
      </c>
      <c r="X867" s="29">
        <f t="shared" si="291"/>
        <v>0</v>
      </c>
      <c r="Y867" s="29">
        <f t="shared" si="292"/>
        <v>0</v>
      </c>
      <c r="Z867" s="29">
        <f t="shared" si="293"/>
        <v>969</v>
      </c>
    </row>
    <row r="868" spans="1:26" x14ac:dyDescent="0.3">
      <c r="A868" s="5" t="s">
        <v>2676</v>
      </c>
      <c r="B868" s="5" t="s">
        <v>2677</v>
      </c>
      <c r="C868" s="5">
        <v>30000</v>
      </c>
      <c r="D868" s="6">
        <v>34821</v>
      </c>
      <c r="E868" s="17" t="str">
        <f>VLOOKUP(A868,'forecast data dump'!$A$1:$H$3450,4,FALSE)</f>
        <v>17-Mar-21 A</v>
      </c>
      <c r="F868" s="17">
        <f>VLOOKUP(A868,'forecast data dump'!$A$1:$H$3450,5,FALSE)</f>
        <v>44406</v>
      </c>
      <c r="G868" s="42">
        <f>VLOOKUP(A868,'forecast data dump'!$A$1:$H$3450,8,FALSE)</f>
        <v>0.75</v>
      </c>
      <c r="H868" s="5" t="s">
        <v>3762</v>
      </c>
      <c r="I868" s="39">
        <f t="shared" si="294"/>
        <v>7500</v>
      </c>
      <c r="J868" s="5"/>
      <c r="K868" s="5"/>
      <c r="L868" s="33">
        <f t="shared" si="295"/>
        <v>8705.25</v>
      </c>
      <c r="M868" s="33">
        <f t="shared" si="296"/>
        <v>8705.25</v>
      </c>
      <c r="N868" s="33">
        <f t="shared" si="297"/>
        <v>0</v>
      </c>
      <c r="O868">
        <v>1</v>
      </c>
      <c r="U868" s="29">
        <f t="shared" si="288"/>
        <v>8705.25</v>
      </c>
      <c r="V868" s="29">
        <f t="shared" si="289"/>
        <v>0</v>
      </c>
      <c r="W868" s="29">
        <f t="shared" si="290"/>
        <v>0</v>
      </c>
      <c r="X868" s="29">
        <f t="shared" si="291"/>
        <v>0</v>
      </c>
      <c r="Y868" s="29">
        <f t="shared" si="292"/>
        <v>0</v>
      </c>
      <c r="Z868" s="29">
        <f t="shared" si="293"/>
        <v>0</v>
      </c>
    </row>
    <row r="869" spans="1:26" x14ac:dyDescent="0.3">
      <c r="A869" s="5" t="s">
        <v>2678</v>
      </c>
      <c r="B869" s="5" t="s">
        <v>2679</v>
      </c>
      <c r="C869" s="5">
        <v>1500</v>
      </c>
      <c r="D869" s="6">
        <v>1741</v>
      </c>
      <c r="E869" s="17">
        <f>VLOOKUP(A869,'forecast data dump'!$A$1:$H$3450,4,FALSE)</f>
        <v>44460</v>
      </c>
      <c r="F869" s="17">
        <f>VLOOKUP(A869,'forecast data dump'!$A$1:$H$3450,5,FALSE)</f>
        <v>44461</v>
      </c>
      <c r="G869" s="42">
        <f>VLOOKUP(A869,'forecast data dump'!$A$1:$H$3450,8,FALSE)</f>
        <v>0</v>
      </c>
      <c r="H869" s="5" t="s">
        <v>3762</v>
      </c>
      <c r="I869" s="39">
        <f t="shared" si="294"/>
        <v>1500</v>
      </c>
      <c r="J869" s="5"/>
      <c r="K869" s="5"/>
      <c r="L869" s="33">
        <f t="shared" si="295"/>
        <v>1741</v>
      </c>
      <c r="M869" s="33">
        <f t="shared" si="296"/>
        <v>1741</v>
      </c>
      <c r="N869" s="33">
        <f t="shared" si="297"/>
        <v>0</v>
      </c>
      <c r="Q869">
        <v>1</v>
      </c>
      <c r="U869" s="29">
        <f t="shared" ref="U869:U930" si="298">O869*M869</f>
        <v>0</v>
      </c>
      <c r="V869" s="29">
        <f t="shared" ref="V869:V930" si="299">P869*M869</f>
        <v>0</v>
      </c>
      <c r="W869" s="29">
        <f t="shared" ref="W869:W930" si="300">Q869*M869</f>
        <v>1741</v>
      </c>
      <c r="X869" s="29">
        <f t="shared" ref="X869:X930" si="301">R869*M869</f>
        <v>0</v>
      </c>
      <c r="Y869" s="29">
        <f t="shared" ref="Y869:Y930" si="302">S869*M869</f>
        <v>0</v>
      </c>
      <c r="Z869" s="29">
        <f t="shared" ref="Z869:Z930" si="303">T869*M869</f>
        <v>0</v>
      </c>
    </row>
    <row r="870" spans="1:26" x14ac:dyDescent="0.3">
      <c r="A870" s="5" t="s">
        <v>2680</v>
      </c>
      <c r="B870" s="5" t="s">
        <v>2681</v>
      </c>
      <c r="C870" s="5">
        <v>1500</v>
      </c>
      <c r="D870" s="6">
        <v>1741</v>
      </c>
      <c r="E870" s="17">
        <f>VLOOKUP(A870,'forecast data dump'!$A$1:$H$3450,4,FALSE)</f>
        <v>44462</v>
      </c>
      <c r="F870" s="17">
        <f>VLOOKUP(A870,'forecast data dump'!$A$1:$H$3450,5,FALSE)</f>
        <v>44463</v>
      </c>
      <c r="G870" s="42">
        <f>VLOOKUP(A870,'forecast data dump'!$A$1:$H$3450,8,FALSE)</f>
        <v>0</v>
      </c>
      <c r="H870" s="5" t="s">
        <v>3762</v>
      </c>
      <c r="I870" s="39">
        <f t="shared" si="294"/>
        <v>1500</v>
      </c>
      <c r="J870" s="5"/>
      <c r="K870" s="5"/>
      <c r="L870" s="33">
        <f t="shared" si="295"/>
        <v>1741</v>
      </c>
      <c r="M870" s="33">
        <f t="shared" si="296"/>
        <v>1741</v>
      </c>
      <c r="N870" s="33">
        <f t="shared" si="297"/>
        <v>0</v>
      </c>
      <c r="Q870">
        <v>1</v>
      </c>
      <c r="U870" s="29">
        <f t="shared" si="298"/>
        <v>0</v>
      </c>
      <c r="V870" s="29">
        <f t="shared" si="299"/>
        <v>0</v>
      </c>
      <c r="W870" s="29">
        <f t="shared" si="300"/>
        <v>1741</v>
      </c>
      <c r="X870" s="29">
        <f t="shared" si="301"/>
        <v>0</v>
      </c>
      <c r="Y870" s="29">
        <f t="shared" si="302"/>
        <v>0</v>
      </c>
      <c r="Z870" s="29">
        <f t="shared" si="303"/>
        <v>0</v>
      </c>
    </row>
    <row r="871" spans="1:26" x14ac:dyDescent="0.3">
      <c r="A871" s="5" t="s">
        <v>2682</v>
      </c>
      <c r="B871" s="5" t="s">
        <v>2683</v>
      </c>
      <c r="C871" s="5">
        <v>3500</v>
      </c>
      <c r="D871" s="6">
        <v>4062</v>
      </c>
      <c r="E871" s="17">
        <f>VLOOKUP(A871,'forecast data dump'!$A$1:$H$3450,4,FALSE)</f>
        <v>44466</v>
      </c>
      <c r="F871" s="17">
        <f>VLOOKUP(A871,'forecast data dump'!$A$1:$H$3450,5,FALSE)</f>
        <v>44477</v>
      </c>
      <c r="G871" s="42">
        <f>VLOOKUP(A871,'forecast data dump'!$A$1:$H$3450,8,FALSE)</f>
        <v>0</v>
      </c>
      <c r="H871" s="5" t="s">
        <v>3762</v>
      </c>
      <c r="I871" s="39">
        <f t="shared" si="294"/>
        <v>3500</v>
      </c>
      <c r="J871" s="5"/>
      <c r="K871" s="5"/>
      <c r="L871" s="33">
        <f t="shared" si="295"/>
        <v>4062</v>
      </c>
      <c r="M871" s="33">
        <f t="shared" si="296"/>
        <v>4062</v>
      </c>
      <c r="N871" s="33">
        <f t="shared" si="297"/>
        <v>0</v>
      </c>
      <c r="Q871">
        <v>1</v>
      </c>
      <c r="U871" s="29">
        <f t="shared" si="298"/>
        <v>0</v>
      </c>
      <c r="V871" s="29">
        <f t="shared" si="299"/>
        <v>0</v>
      </c>
      <c r="W871" s="29">
        <f t="shared" si="300"/>
        <v>4062</v>
      </c>
      <c r="X871" s="29">
        <f t="shared" si="301"/>
        <v>0</v>
      </c>
      <c r="Y871" s="29">
        <f t="shared" si="302"/>
        <v>0</v>
      </c>
      <c r="Z871" s="29">
        <f t="shared" si="303"/>
        <v>0</v>
      </c>
    </row>
    <row r="872" spans="1:26" x14ac:dyDescent="0.3">
      <c r="A872" s="5" t="s">
        <v>2684</v>
      </c>
      <c r="B872" s="5" t="s">
        <v>2685</v>
      </c>
      <c r="C872" s="5">
        <v>3500</v>
      </c>
      <c r="D872" s="6">
        <v>4131</v>
      </c>
      <c r="E872" s="17">
        <f>VLOOKUP(A872,'forecast data dump'!$A$1:$H$3450,4,FALSE)</f>
        <v>44481</v>
      </c>
      <c r="F872" s="17">
        <f>VLOOKUP(A872,'forecast data dump'!$A$1:$H$3450,5,FALSE)</f>
        <v>44508</v>
      </c>
      <c r="G872" s="42">
        <f>VLOOKUP(A872,'forecast data dump'!$A$1:$H$3450,8,FALSE)</f>
        <v>0</v>
      </c>
      <c r="H872" s="5" t="s">
        <v>3762</v>
      </c>
      <c r="I872" s="39">
        <f t="shared" si="294"/>
        <v>3500</v>
      </c>
      <c r="J872" s="5"/>
      <c r="K872" s="5"/>
      <c r="L872" s="33">
        <f t="shared" si="295"/>
        <v>4131</v>
      </c>
      <c r="M872" s="33">
        <f t="shared" si="296"/>
        <v>4131</v>
      </c>
      <c r="N872" s="33">
        <f t="shared" si="297"/>
        <v>0</v>
      </c>
      <c r="Q872">
        <v>1</v>
      </c>
      <c r="U872" s="29">
        <f t="shared" si="298"/>
        <v>0</v>
      </c>
      <c r="V872" s="29">
        <f t="shared" si="299"/>
        <v>0</v>
      </c>
      <c r="W872" s="29">
        <f t="shared" si="300"/>
        <v>4131</v>
      </c>
      <c r="X872" s="29">
        <f t="shared" si="301"/>
        <v>0</v>
      </c>
      <c r="Y872" s="29">
        <f t="shared" si="302"/>
        <v>0</v>
      </c>
      <c r="Z872" s="29">
        <f t="shared" si="303"/>
        <v>0</v>
      </c>
    </row>
    <row r="873" spans="1:26" x14ac:dyDescent="0.3">
      <c r="A873" s="5" t="s">
        <v>2686</v>
      </c>
      <c r="B873" s="5" t="s">
        <v>2687</v>
      </c>
      <c r="C873" s="5">
        <v>3500</v>
      </c>
      <c r="D873" s="6">
        <v>4144</v>
      </c>
      <c r="E873" s="17">
        <f>VLOOKUP(A873,'forecast data dump'!$A$1:$H$3450,4,FALSE)</f>
        <v>44509</v>
      </c>
      <c r="F873" s="17">
        <f>VLOOKUP(A873,'forecast data dump'!$A$1:$H$3450,5,FALSE)</f>
        <v>44539</v>
      </c>
      <c r="G873" s="42">
        <f>VLOOKUP(A873,'forecast data dump'!$A$1:$H$3450,8,FALSE)</f>
        <v>0</v>
      </c>
      <c r="H873" s="5" t="s">
        <v>3762</v>
      </c>
      <c r="I873" s="39">
        <f t="shared" si="294"/>
        <v>3500</v>
      </c>
      <c r="J873" s="5"/>
      <c r="K873" s="5"/>
      <c r="L873" s="33">
        <f t="shared" si="295"/>
        <v>4144</v>
      </c>
      <c r="M873" s="33">
        <f t="shared" si="296"/>
        <v>4144</v>
      </c>
      <c r="N873" s="33">
        <f t="shared" si="297"/>
        <v>0</v>
      </c>
      <c r="Q873">
        <v>1</v>
      </c>
      <c r="U873" s="29">
        <f t="shared" si="298"/>
        <v>0</v>
      </c>
      <c r="V873" s="29">
        <f t="shared" si="299"/>
        <v>0</v>
      </c>
      <c r="W873" s="29">
        <f t="shared" si="300"/>
        <v>4144</v>
      </c>
      <c r="X873" s="29">
        <f t="shared" si="301"/>
        <v>0</v>
      </c>
      <c r="Y873" s="29">
        <f t="shared" si="302"/>
        <v>0</v>
      </c>
      <c r="Z873" s="29">
        <f t="shared" si="303"/>
        <v>0</v>
      </c>
    </row>
    <row r="874" spans="1:26" x14ac:dyDescent="0.3">
      <c r="A874" s="5" t="s">
        <v>2688</v>
      </c>
      <c r="B874" s="5" t="s">
        <v>2689</v>
      </c>
      <c r="C874" s="5">
        <v>64</v>
      </c>
      <c r="D874" s="6">
        <v>8245</v>
      </c>
      <c r="E874" s="17">
        <f>VLOOKUP(A874,'forecast data dump'!$A$1:$H$3450,4,FALSE)</f>
        <v>44460</v>
      </c>
      <c r="F874" s="17">
        <f>VLOOKUP(A874,'forecast data dump'!$A$1:$H$3450,5,FALSE)</f>
        <v>44461</v>
      </c>
      <c r="G874" s="42">
        <f>VLOOKUP(A874,'forecast data dump'!$A$1:$H$3450,8,FALSE)</f>
        <v>0</v>
      </c>
      <c r="H874" s="5" t="s">
        <v>3752</v>
      </c>
      <c r="I874" s="39">
        <f t="shared" si="294"/>
        <v>64</v>
      </c>
      <c r="J874" s="5"/>
      <c r="K874" s="5"/>
      <c r="L874" s="33">
        <f t="shared" si="295"/>
        <v>8245</v>
      </c>
      <c r="M874" s="33">
        <f t="shared" si="296"/>
        <v>8245</v>
      </c>
      <c r="N874" s="33">
        <f t="shared" si="297"/>
        <v>0</v>
      </c>
      <c r="T874">
        <v>1</v>
      </c>
      <c r="U874" s="29">
        <f t="shared" si="298"/>
        <v>0</v>
      </c>
      <c r="V874" s="29">
        <f t="shared" si="299"/>
        <v>0</v>
      </c>
      <c r="W874" s="29">
        <f t="shared" si="300"/>
        <v>0</v>
      </c>
      <c r="X874" s="29">
        <f t="shared" si="301"/>
        <v>0</v>
      </c>
      <c r="Y874" s="29">
        <f t="shared" si="302"/>
        <v>0</v>
      </c>
      <c r="Z874" s="29">
        <f t="shared" si="303"/>
        <v>8245</v>
      </c>
    </row>
    <row r="875" spans="1:26" x14ac:dyDescent="0.3">
      <c r="A875" s="5" t="s">
        <v>2688</v>
      </c>
      <c r="B875" s="5" t="s">
        <v>2689</v>
      </c>
      <c r="C875" s="5">
        <v>16</v>
      </c>
      <c r="D875" s="6">
        <v>2427</v>
      </c>
      <c r="E875" s="17">
        <f>VLOOKUP(A875,'forecast data dump'!$A$1:$H$3450,4,FALSE)</f>
        <v>44460</v>
      </c>
      <c r="F875" s="17">
        <f>VLOOKUP(A875,'forecast data dump'!$A$1:$H$3450,5,FALSE)</f>
        <v>44461</v>
      </c>
      <c r="G875" s="42">
        <f>VLOOKUP(A875,'forecast data dump'!$A$1:$H$3450,8,FALSE)</f>
        <v>0</v>
      </c>
      <c r="H875" s="5" t="s">
        <v>3763</v>
      </c>
      <c r="I875" s="39">
        <f t="shared" si="294"/>
        <v>16</v>
      </c>
      <c r="J875" s="5"/>
      <c r="K875" s="5"/>
      <c r="L875" s="33">
        <f t="shared" si="295"/>
        <v>2427</v>
      </c>
      <c r="M875" s="33">
        <f t="shared" si="296"/>
        <v>2427</v>
      </c>
      <c r="N875" s="33">
        <f t="shared" si="297"/>
        <v>0</v>
      </c>
      <c r="T875">
        <v>1</v>
      </c>
      <c r="U875" s="29">
        <f t="shared" si="298"/>
        <v>0</v>
      </c>
      <c r="V875" s="29">
        <f t="shared" si="299"/>
        <v>0</v>
      </c>
      <c r="W875" s="29">
        <f t="shared" si="300"/>
        <v>0</v>
      </c>
      <c r="X875" s="29">
        <f t="shared" si="301"/>
        <v>0</v>
      </c>
      <c r="Y875" s="29">
        <f t="shared" si="302"/>
        <v>0</v>
      </c>
      <c r="Z875" s="29">
        <f t="shared" si="303"/>
        <v>2427</v>
      </c>
    </row>
    <row r="876" spans="1:26" x14ac:dyDescent="0.3">
      <c r="A876" s="5" t="s">
        <v>2688</v>
      </c>
      <c r="B876" s="5" t="s">
        <v>2689</v>
      </c>
      <c r="C876" s="5">
        <v>16</v>
      </c>
      <c r="D876" s="6">
        <v>2427</v>
      </c>
      <c r="E876" s="17">
        <f>VLOOKUP(A876,'forecast data dump'!$A$1:$H$3450,4,FALSE)</f>
        <v>44460</v>
      </c>
      <c r="F876" s="17">
        <f>VLOOKUP(A876,'forecast data dump'!$A$1:$H$3450,5,FALSE)</f>
        <v>44461</v>
      </c>
      <c r="G876" s="42">
        <f>VLOOKUP(A876,'forecast data dump'!$A$1:$H$3450,8,FALSE)</f>
        <v>0</v>
      </c>
      <c r="H876" s="5" t="s">
        <v>3763</v>
      </c>
      <c r="I876" s="39">
        <f t="shared" si="294"/>
        <v>16</v>
      </c>
      <c r="J876" s="5"/>
      <c r="K876" s="5"/>
      <c r="L876" s="33">
        <f t="shared" si="295"/>
        <v>2427</v>
      </c>
      <c r="M876" s="33">
        <f t="shared" si="296"/>
        <v>2427</v>
      </c>
      <c r="N876" s="33">
        <f t="shared" si="297"/>
        <v>0</v>
      </c>
      <c r="T876">
        <v>1</v>
      </c>
      <c r="U876" s="29">
        <f t="shared" si="298"/>
        <v>0</v>
      </c>
      <c r="V876" s="29">
        <f t="shared" si="299"/>
        <v>0</v>
      </c>
      <c r="W876" s="29">
        <f t="shared" si="300"/>
        <v>0</v>
      </c>
      <c r="X876" s="29">
        <f t="shared" si="301"/>
        <v>0</v>
      </c>
      <c r="Y876" s="29">
        <f t="shared" si="302"/>
        <v>0</v>
      </c>
      <c r="Z876" s="29">
        <f t="shared" si="303"/>
        <v>2427</v>
      </c>
    </row>
    <row r="877" spans="1:26" x14ac:dyDescent="0.3">
      <c r="A877" s="5" t="s">
        <v>2690</v>
      </c>
      <c r="B877" s="5" t="s">
        <v>2691</v>
      </c>
      <c r="C877" s="5">
        <v>64</v>
      </c>
      <c r="D877" s="6">
        <v>8245</v>
      </c>
      <c r="E877" s="17">
        <f>VLOOKUP(A877,'forecast data dump'!$A$1:$H$3450,4,FALSE)</f>
        <v>44462</v>
      </c>
      <c r="F877" s="17">
        <f>VLOOKUP(A877,'forecast data dump'!$A$1:$H$3450,5,FALSE)</f>
        <v>44463</v>
      </c>
      <c r="G877" s="42">
        <f>VLOOKUP(A877,'forecast data dump'!$A$1:$H$3450,8,FALSE)</f>
        <v>0</v>
      </c>
      <c r="H877" s="5" t="s">
        <v>3752</v>
      </c>
      <c r="I877" s="39">
        <f t="shared" si="294"/>
        <v>64</v>
      </c>
      <c r="J877" s="5"/>
      <c r="K877" s="5"/>
      <c r="L877" s="33">
        <f t="shared" si="295"/>
        <v>8245</v>
      </c>
      <c r="M877" s="33">
        <f t="shared" si="296"/>
        <v>8245</v>
      </c>
      <c r="N877" s="33">
        <f t="shared" si="297"/>
        <v>0</v>
      </c>
      <c r="T877">
        <v>1</v>
      </c>
      <c r="U877" s="29">
        <f t="shared" si="298"/>
        <v>0</v>
      </c>
      <c r="V877" s="29">
        <f t="shared" si="299"/>
        <v>0</v>
      </c>
      <c r="W877" s="29">
        <f t="shared" si="300"/>
        <v>0</v>
      </c>
      <c r="X877" s="29">
        <f t="shared" si="301"/>
        <v>0</v>
      </c>
      <c r="Y877" s="29">
        <f t="shared" si="302"/>
        <v>0</v>
      </c>
      <c r="Z877" s="29">
        <f t="shared" si="303"/>
        <v>8245</v>
      </c>
    </row>
    <row r="878" spans="1:26" x14ac:dyDescent="0.3">
      <c r="A878" s="5" t="s">
        <v>2690</v>
      </c>
      <c r="B878" s="5" t="s">
        <v>2691</v>
      </c>
      <c r="C878" s="5">
        <v>16</v>
      </c>
      <c r="D878" s="6">
        <v>2427</v>
      </c>
      <c r="E878" s="17">
        <f>VLOOKUP(A878,'forecast data dump'!$A$1:$H$3450,4,FALSE)</f>
        <v>44462</v>
      </c>
      <c r="F878" s="17">
        <f>VLOOKUP(A878,'forecast data dump'!$A$1:$H$3450,5,FALSE)</f>
        <v>44463</v>
      </c>
      <c r="G878" s="42">
        <f>VLOOKUP(A878,'forecast data dump'!$A$1:$H$3450,8,FALSE)</f>
        <v>0</v>
      </c>
      <c r="H878" s="5" t="s">
        <v>3763</v>
      </c>
      <c r="I878" s="39">
        <f t="shared" si="294"/>
        <v>16</v>
      </c>
      <c r="J878" s="5"/>
      <c r="K878" s="5"/>
      <c r="L878" s="33">
        <f t="shared" si="295"/>
        <v>2427</v>
      </c>
      <c r="M878" s="33">
        <f t="shared" si="296"/>
        <v>2427</v>
      </c>
      <c r="N878" s="33">
        <f t="shared" si="297"/>
        <v>0</v>
      </c>
      <c r="T878">
        <v>1</v>
      </c>
      <c r="U878" s="29">
        <f t="shared" si="298"/>
        <v>0</v>
      </c>
      <c r="V878" s="29">
        <f t="shared" si="299"/>
        <v>0</v>
      </c>
      <c r="W878" s="29">
        <f t="shared" si="300"/>
        <v>0</v>
      </c>
      <c r="X878" s="29">
        <f t="shared" si="301"/>
        <v>0</v>
      </c>
      <c r="Y878" s="29">
        <f t="shared" si="302"/>
        <v>0</v>
      </c>
      <c r="Z878" s="29">
        <f t="shared" si="303"/>
        <v>2427</v>
      </c>
    </row>
    <row r="879" spans="1:26" x14ac:dyDescent="0.3">
      <c r="A879" s="5" t="s">
        <v>2690</v>
      </c>
      <c r="B879" s="5" t="s">
        <v>2691</v>
      </c>
      <c r="C879" s="5">
        <v>16</v>
      </c>
      <c r="D879" s="6">
        <v>2427</v>
      </c>
      <c r="E879" s="17">
        <f>VLOOKUP(A879,'forecast data dump'!$A$1:$H$3450,4,FALSE)</f>
        <v>44462</v>
      </c>
      <c r="F879" s="17">
        <f>VLOOKUP(A879,'forecast data dump'!$A$1:$H$3450,5,FALSE)</f>
        <v>44463</v>
      </c>
      <c r="G879" s="42">
        <f>VLOOKUP(A879,'forecast data dump'!$A$1:$H$3450,8,FALSE)</f>
        <v>0</v>
      </c>
      <c r="H879" s="5" t="s">
        <v>3763</v>
      </c>
      <c r="I879" s="39">
        <f t="shared" si="294"/>
        <v>16</v>
      </c>
      <c r="J879" s="5"/>
      <c r="K879" s="5"/>
      <c r="L879" s="33">
        <f t="shared" si="295"/>
        <v>2427</v>
      </c>
      <c r="M879" s="33">
        <f t="shared" si="296"/>
        <v>2427</v>
      </c>
      <c r="N879" s="33">
        <f t="shared" si="297"/>
        <v>0</v>
      </c>
      <c r="T879">
        <v>1</v>
      </c>
      <c r="U879" s="29">
        <f t="shared" si="298"/>
        <v>0</v>
      </c>
      <c r="V879" s="29">
        <f t="shared" si="299"/>
        <v>0</v>
      </c>
      <c r="W879" s="29">
        <f t="shared" si="300"/>
        <v>0</v>
      </c>
      <c r="X879" s="29">
        <f t="shared" si="301"/>
        <v>0</v>
      </c>
      <c r="Y879" s="29">
        <f t="shared" si="302"/>
        <v>0</v>
      </c>
      <c r="Z879" s="29">
        <f t="shared" si="303"/>
        <v>2427</v>
      </c>
    </row>
    <row r="880" spans="1:26" x14ac:dyDescent="0.3">
      <c r="A880" s="5" t="s">
        <v>2692</v>
      </c>
      <c r="B880" s="5" t="s">
        <v>2693</v>
      </c>
      <c r="C880" s="5">
        <v>160</v>
      </c>
      <c r="D880" s="6">
        <v>20612</v>
      </c>
      <c r="E880" s="17">
        <f>VLOOKUP(A880,'forecast data dump'!$A$1:$H$3450,4,FALSE)</f>
        <v>44466</v>
      </c>
      <c r="F880" s="17">
        <f>VLOOKUP(A880,'forecast data dump'!$A$1:$H$3450,5,FALSE)</f>
        <v>44477</v>
      </c>
      <c r="G880" s="42">
        <f>VLOOKUP(A880,'forecast data dump'!$A$1:$H$3450,8,FALSE)</f>
        <v>0</v>
      </c>
      <c r="H880" s="5" t="s">
        <v>3752</v>
      </c>
      <c r="I880" s="39">
        <f t="shared" si="294"/>
        <v>160</v>
      </c>
      <c r="J880" s="5"/>
      <c r="K880" s="5"/>
      <c r="L880" s="33">
        <f t="shared" si="295"/>
        <v>20612</v>
      </c>
      <c r="M880" s="33">
        <f t="shared" si="296"/>
        <v>20612</v>
      </c>
      <c r="N880" s="33">
        <f t="shared" si="297"/>
        <v>0</v>
      </c>
      <c r="T880">
        <v>1</v>
      </c>
      <c r="U880" s="29">
        <f t="shared" si="298"/>
        <v>0</v>
      </c>
      <c r="V880" s="29">
        <f t="shared" si="299"/>
        <v>0</v>
      </c>
      <c r="W880" s="29">
        <f t="shared" si="300"/>
        <v>0</v>
      </c>
      <c r="X880" s="29">
        <f t="shared" si="301"/>
        <v>0</v>
      </c>
      <c r="Y880" s="29">
        <f t="shared" si="302"/>
        <v>0</v>
      </c>
      <c r="Z880" s="29">
        <f t="shared" si="303"/>
        <v>20612</v>
      </c>
    </row>
    <row r="881" spans="1:26" x14ac:dyDescent="0.3">
      <c r="A881" s="5" t="s">
        <v>2692</v>
      </c>
      <c r="B881" s="5" t="s">
        <v>2693</v>
      </c>
      <c r="C881" s="5">
        <v>240</v>
      </c>
      <c r="D881" s="6">
        <v>28211</v>
      </c>
      <c r="E881" s="17">
        <f>VLOOKUP(A881,'forecast data dump'!$A$1:$H$3450,4,FALSE)</f>
        <v>44466</v>
      </c>
      <c r="F881" s="17">
        <f>VLOOKUP(A881,'forecast data dump'!$A$1:$H$3450,5,FALSE)</f>
        <v>44477</v>
      </c>
      <c r="G881" s="42">
        <f>VLOOKUP(A881,'forecast data dump'!$A$1:$H$3450,8,FALSE)</f>
        <v>0</v>
      </c>
      <c r="H881" s="5" t="s">
        <v>3759</v>
      </c>
      <c r="I881" s="39">
        <f t="shared" si="294"/>
        <v>240</v>
      </c>
      <c r="J881" s="5"/>
      <c r="K881" s="5"/>
      <c r="L881" s="33">
        <f t="shared" si="295"/>
        <v>28211</v>
      </c>
      <c r="M881" s="33">
        <f t="shared" si="296"/>
        <v>28211</v>
      </c>
      <c r="N881" s="33">
        <f t="shared" si="297"/>
        <v>0</v>
      </c>
      <c r="T881">
        <v>1</v>
      </c>
      <c r="U881" s="29">
        <f t="shared" si="298"/>
        <v>0</v>
      </c>
      <c r="V881" s="29">
        <f t="shared" si="299"/>
        <v>0</v>
      </c>
      <c r="W881" s="29">
        <f t="shared" si="300"/>
        <v>0</v>
      </c>
      <c r="X881" s="29">
        <f t="shared" si="301"/>
        <v>0</v>
      </c>
      <c r="Y881" s="29">
        <f t="shared" si="302"/>
        <v>0</v>
      </c>
      <c r="Z881" s="29">
        <f t="shared" si="303"/>
        <v>28211</v>
      </c>
    </row>
    <row r="882" spans="1:26" x14ac:dyDescent="0.3">
      <c r="A882" s="5" t="s">
        <v>2694</v>
      </c>
      <c r="B882" s="5" t="s">
        <v>2695</v>
      </c>
      <c r="C882" s="5">
        <v>320</v>
      </c>
      <c r="D882" s="6">
        <v>38574</v>
      </c>
      <c r="E882" s="17">
        <f>VLOOKUP(A882,'forecast data dump'!$A$1:$H$3450,4,FALSE)</f>
        <v>44481</v>
      </c>
      <c r="F882" s="17">
        <f>VLOOKUP(A882,'forecast data dump'!$A$1:$H$3450,5,FALSE)</f>
        <v>44508</v>
      </c>
      <c r="G882" s="42">
        <f>VLOOKUP(A882,'forecast data dump'!$A$1:$H$3450,8,FALSE)</f>
        <v>0</v>
      </c>
      <c r="H882" s="5" t="s">
        <v>3759</v>
      </c>
      <c r="I882" s="39">
        <f t="shared" si="294"/>
        <v>320</v>
      </c>
      <c r="J882" s="5"/>
      <c r="K882" s="5"/>
      <c r="L882" s="33">
        <f t="shared" si="295"/>
        <v>38574</v>
      </c>
      <c r="M882" s="33">
        <f t="shared" si="296"/>
        <v>38574</v>
      </c>
      <c r="N882" s="33">
        <f t="shared" si="297"/>
        <v>0</v>
      </c>
      <c r="T882">
        <v>1</v>
      </c>
      <c r="U882" s="29">
        <f t="shared" si="298"/>
        <v>0</v>
      </c>
      <c r="V882" s="29">
        <f t="shared" si="299"/>
        <v>0</v>
      </c>
      <c r="W882" s="29">
        <f t="shared" si="300"/>
        <v>0</v>
      </c>
      <c r="X882" s="29">
        <f t="shared" si="301"/>
        <v>0</v>
      </c>
      <c r="Y882" s="29">
        <f t="shared" si="302"/>
        <v>0</v>
      </c>
      <c r="Z882" s="29">
        <f t="shared" si="303"/>
        <v>38574</v>
      </c>
    </row>
    <row r="883" spans="1:26" x14ac:dyDescent="0.3">
      <c r="A883" s="5" t="s">
        <v>2694</v>
      </c>
      <c r="B883" s="5" t="s">
        <v>2695</v>
      </c>
      <c r="C883" s="5">
        <v>16</v>
      </c>
      <c r="D883" s="6">
        <v>3262</v>
      </c>
      <c r="E883" s="17">
        <f>VLOOKUP(A883,'forecast data dump'!$A$1:$H$3450,4,FALSE)</f>
        <v>44481</v>
      </c>
      <c r="F883" s="17">
        <f>VLOOKUP(A883,'forecast data dump'!$A$1:$H$3450,5,FALSE)</f>
        <v>44508</v>
      </c>
      <c r="G883" s="42">
        <f>VLOOKUP(A883,'forecast data dump'!$A$1:$H$3450,8,FALSE)</f>
        <v>0</v>
      </c>
      <c r="H883" s="5" t="s">
        <v>3755</v>
      </c>
      <c r="I883" s="39">
        <f t="shared" si="294"/>
        <v>16</v>
      </c>
      <c r="J883" s="5"/>
      <c r="K883" s="5"/>
      <c r="L883" s="33">
        <f t="shared" si="295"/>
        <v>3262</v>
      </c>
      <c r="M883" s="33">
        <f t="shared" si="296"/>
        <v>3262</v>
      </c>
      <c r="N883" s="33">
        <f t="shared" si="297"/>
        <v>0</v>
      </c>
      <c r="T883">
        <v>1</v>
      </c>
      <c r="U883" s="29">
        <f t="shared" si="298"/>
        <v>0</v>
      </c>
      <c r="V883" s="29">
        <f t="shared" si="299"/>
        <v>0</v>
      </c>
      <c r="W883" s="29">
        <f t="shared" si="300"/>
        <v>0</v>
      </c>
      <c r="X883" s="29">
        <f t="shared" si="301"/>
        <v>0</v>
      </c>
      <c r="Y883" s="29">
        <f t="shared" si="302"/>
        <v>0</v>
      </c>
      <c r="Z883" s="29">
        <f t="shared" si="303"/>
        <v>3262</v>
      </c>
    </row>
    <row r="884" spans="1:26" x14ac:dyDescent="0.3">
      <c r="A884" s="5" t="s">
        <v>2694</v>
      </c>
      <c r="B884" s="5" t="s">
        <v>2695</v>
      </c>
      <c r="C884" s="5">
        <v>40</v>
      </c>
      <c r="D884" s="6">
        <v>6222</v>
      </c>
      <c r="E884" s="17">
        <f>VLOOKUP(A884,'forecast data dump'!$A$1:$H$3450,4,FALSE)</f>
        <v>44481</v>
      </c>
      <c r="F884" s="17">
        <f>VLOOKUP(A884,'forecast data dump'!$A$1:$H$3450,5,FALSE)</f>
        <v>44508</v>
      </c>
      <c r="G884" s="42">
        <f>VLOOKUP(A884,'forecast data dump'!$A$1:$H$3450,8,FALSE)</f>
        <v>0</v>
      </c>
      <c r="H884" s="5" t="s">
        <v>3763</v>
      </c>
      <c r="I884" s="39">
        <f t="shared" si="294"/>
        <v>40</v>
      </c>
      <c r="J884" s="5"/>
      <c r="K884" s="5"/>
      <c r="L884" s="33">
        <f t="shared" si="295"/>
        <v>6222</v>
      </c>
      <c r="M884" s="33">
        <f t="shared" si="296"/>
        <v>6222</v>
      </c>
      <c r="N884" s="33">
        <f t="shared" si="297"/>
        <v>0</v>
      </c>
      <c r="T884">
        <v>1</v>
      </c>
      <c r="U884" s="29">
        <f t="shared" si="298"/>
        <v>0</v>
      </c>
      <c r="V884" s="29">
        <f t="shared" si="299"/>
        <v>0</v>
      </c>
      <c r="W884" s="29">
        <f t="shared" si="300"/>
        <v>0</v>
      </c>
      <c r="X884" s="29">
        <f t="shared" si="301"/>
        <v>0</v>
      </c>
      <c r="Y884" s="29">
        <f t="shared" si="302"/>
        <v>0</v>
      </c>
      <c r="Z884" s="29">
        <f t="shared" si="303"/>
        <v>6222</v>
      </c>
    </row>
    <row r="885" spans="1:26" x14ac:dyDescent="0.3">
      <c r="A885" s="5" t="s">
        <v>2696</v>
      </c>
      <c r="B885" s="5" t="s">
        <v>2697</v>
      </c>
      <c r="C885" s="5">
        <v>160</v>
      </c>
      <c r="D885" s="6">
        <v>19372</v>
      </c>
      <c r="E885" s="17">
        <f>VLOOKUP(A885,'forecast data dump'!$A$1:$H$3450,4,FALSE)</f>
        <v>44509</v>
      </c>
      <c r="F885" s="17">
        <f>VLOOKUP(A885,'forecast data dump'!$A$1:$H$3450,5,FALSE)</f>
        <v>44539</v>
      </c>
      <c r="G885" s="42">
        <f>VLOOKUP(A885,'forecast data dump'!$A$1:$H$3450,8,FALSE)</f>
        <v>0</v>
      </c>
      <c r="H885" s="5" t="s">
        <v>3759</v>
      </c>
      <c r="I885" s="39">
        <f t="shared" si="294"/>
        <v>160</v>
      </c>
      <c r="J885" s="5"/>
      <c r="K885" s="5"/>
      <c r="L885" s="33">
        <f t="shared" si="295"/>
        <v>19372</v>
      </c>
      <c r="M885" s="33">
        <f t="shared" si="296"/>
        <v>19372</v>
      </c>
      <c r="N885" s="33">
        <f t="shared" si="297"/>
        <v>0</v>
      </c>
      <c r="T885">
        <v>1</v>
      </c>
      <c r="U885" s="29">
        <f t="shared" si="298"/>
        <v>0</v>
      </c>
      <c r="V885" s="29">
        <f t="shared" si="299"/>
        <v>0</v>
      </c>
      <c r="W885" s="29">
        <f t="shared" si="300"/>
        <v>0</v>
      </c>
      <c r="X885" s="29">
        <f t="shared" si="301"/>
        <v>0</v>
      </c>
      <c r="Y885" s="29">
        <f t="shared" si="302"/>
        <v>0</v>
      </c>
      <c r="Z885" s="29">
        <f t="shared" si="303"/>
        <v>19372</v>
      </c>
    </row>
    <row r="886" spans="1:26" x14ac:dyDescent="0.3">
      <c r="A886" s="5" t="s">
        <v>2696</v>
      </c>
      <c r="B886" s="5" t="s">
        <v>2697</v>
      </c>
      <c r="C886" s="5">
        <v>16</v>
      </c>
      <c r="D886" s="6">
        <v>3276</v>
      </c>
      <c r="E886" s="17">
        <f>VLOOKUP(A886,'forecast data dump'!$A$1:$H$3450,4,FALSE)</f>
        <v>44509</v>
      </c>
      <c r="F886" s="17">
        <f>VLOOKUP(A886,'forecast data dump'!$A$1:$H$3450,5,FALSE)</f>
        <v>44539</v>
      </c>
      <c r="G886" s="42">
        <f>VLOOKUP(A886,'forecast data dump'!$A$1:$H$3450,8,FALSE)</f>
        <v>0</v>
      </c>
      <c r="H886" s="5" t="s">
        <v>3755</v>
      </c>
      <c r="I886" s="39">
        <f t="shared" si="294"/>
        <v>16</v>
      </c>
      <c r="J886" s="5"/>
      <c r="K886" s="5"/>
      <c r="L886" s="33">
        <f t="shared" si="295"/>
        <v>3276</v>
      </c>
      <c r="M886" s="33">
        <f t="shared" si="296"/>
        <v>3276</v>
      </c>
      <c r="N886" s="33">
        <f t="shared" si="297"/>
        <v>0</v>
      </c>
      <c r="T886">
        <v>1</v>
      </c>
      <c r="U886" s="29">
        <f t="shared" si="298"/>
        <v>0</v>
      </c>
      <c r="V886" s="29">
        <f t="shared" si="299"/>
        <v>0</v>
      </c>
      <c r="W886" s="29">
        <f t="shared" si="300"/>
        <v>0</v>
      </c>
      <c r="X886" s="29">
        <f t="shared" si="301"/>
        <v>0</v>
      </c>
      <c r="Y886" s="29">
        <f t="shared" si="302"/>
        <v>0</v>
      </c>
      <c r="Z886" s="29">
        <f t="shared" si="303"/>
        <v>3276</v>
      </c>
    </row>
    <row r="887" spans="1:26" x14ac:dyDescent="0.3">
      <c r="A887" s="5" t="s">
        <v>2696</v>
      </c>
      <c r="B887" s="5" t="s">
        <v>2697</v>
      </c>
      <c r="C887" s="5">
        <v>40</v>
      </c>
      <c r="D887" s="6">
        <v>6249</v>
      </c>
      <c r="E887" s="17">
        <f>VLOOKUP(A887,'forecast data dump'!$A$1:$H$3450,4,FALSE)</f>
        <v>44509</v>
      </c>
      <c r="F887" s="17">
        <f>VLOOKUP(A887,'forecast data dump'!$A$1:$H$3450,5,FALSE)</f>
        <v>44539</v>
      </c>
      <c r="G887" s="42">
        <f>VLOOKUP(A887,'forecast data dump'!$A$1:$H$3450,8,FALSE)</f>
        <v>0</v>
      </c>
      <c r="H887" s="5" t="s">
        <v>3763</v>
      </c>
      <c r="I887" s="39">
        <f t="shared" si="294"/>
        <v>40</v>
      </c>
      <c r="J887" s="5"/>
      <c r="K887" s="5"/>
      <c r="L887" s="33">
        <f t="shared" si="295"/>
        <v>6249</v>
      </c>
      <c r="M887" s="33">
        <f t="shared" si="296"/>
        <v>6249</v>
      </c>
      <c r="N887" s="33">
        <f t="shared" si="297"/>
        <v>0</v>
      </c>
      <c r="T887">
        <v>1</v>
      </c>
      <c r="U887" s="29">
        <f t="shared" si="298"/>
        <v>0</v>
      </c>
      <c r="V887" s="29">
        <f t="shared" si="299"/>
        <v>0</v>
      </c>
      <c r="W887" s="29">
        <f t="shared" si="300"/>
        <v>0</v>
      </c>
      <c r="X887" s="29">
        <f t="shared" si="301"/>
        <v>0</v>
      </c>
      <c r="Y887" s="29">
        <f t="shared" si="302"/>
        <v>0</v>
      </c>
      <c r="Z887" s="29">
        <f t="shared" si="303"/>
        <v>6249</v>
      </c>
    </row>
    <row r="888" spans="1:26" x14ac:dyDescent="0.3">
      <c r="A888" s="5" t="s">
        <v>2698</v>
      </c>
      <c r="B888" s="5" t="s">
        <v>2699</v>
      </c>
      <c r="C888" s="5">
        <v>8</v>
      </c>
      <c r="D888" s="6">
        <v>969</v>
      </c>
      <c r="E888" s="17">
        <f>VLOOKUP(A888,'forecast data dump'!$A$1:$H$3450,4,FALSE)</f>
        <v>44540</v>
      </c>
      <c r="F888" s="17">
        <f>VLOOKUP(A888,'forecast data dump'!$A$1:$H$3450,5,FALSE)</f>
        <v>44553</v>
      </c>
      <c r="G888" s="42">
        <f>VLOOKUP(A888,'forecast data dump'!$A$1:$H$3450,8,FALSE)</f>
        <v>0</v>
      </c>
      <c r="H888" s="5" t="s">
        <v>3759</v>
      </c>
      <c r="I888" s="39">
        <f t="shared" si="294"/>
        <v>8</v>
      </c>
      <c r="J888" s="5"/>
      <c r="K888" s="5"/>
      <c r="L888" s="33">
        <f t="shared" si="295"/>
        <v>969</v>
      </c>
      <c r="M888" s="33">
        <f t="shared" si="296"/>
        <v>969</v>
      </c>
      <c r="N888" s="33">
        <f t="shared" si="297"/>
        <v>0</v>
      </c>
      <c r="T888">
        <v>1</v>
      </c>
      <c r="U888" s="29">
        <f t="shared" si="298"/>
        <v>0</v>
      </c>
      <c r="V888" s="29">
        <f t="shared" si="299"/>
        <v>0</v>
      </c>
      <c r="W888" s="29">
        <f t="shared" si="300"/>
        <v>0</v>
      </c>
      <c r="X888" s="29">
        <f t="shared" si="301"/>
        <v>0</v>
      </c>
      <c r="Y888" s="29">
        <f t="shared" si="302"/>
        <v>0</v>
      </c>
      <c r="Z888" s="29">
        <f t="shared" si="303"/>
        <v>969</v>
      </c>
    </row>
    <row r="889" spans="1:26" x14ac:dyDescent="0.3">
      <c r="A889" s="5" t="s">
        <v>2698</v>
      </c>
      <c r="B889" s="5" t="s">
        <v>2699</v>
      </c>
      <c r="C889" s="5">
        <v>8</v>
      </c>
      <c r="D889" s="6">
        <v>1638</v>
      </c>
      <c r="E889" s="17">
        <f>VLOOKUP(A889,'forecast data dump'!$A$1:$H$3450,4,FALSE)</f>
        <v>44540</v>
      </c>
      <c r="F889" s="17">
        <f>VLOOKUP(A889,'forecast data dump'!$A$1:$H$3450,5,FALSE)</f>
        <v>44553</v>
      </c>
      <c r="G889" s="42">
        <f>VLOOKUP(A889,'forecast data dump'!$A$1:$H$3450,8,FALSE)</f>
        <v>0</v>
      </c>
      <c r="H889" s="5" t="s">
        <v>3755</v>
      </c>
      <c r="I889" s="39">
        <f t="shared" si="294"/>
        <v>8</v>
      </c>
      <c r="J889" s="5"/>
      <c r="K889" s="5"/>
      <c r="L889" s="33">
        <f t="shared" si="295"/>
        <v>1638</v>
      </c>
      <c r="M889" s="33">
        <f t="shared" si="296"/>
        <v>1638</v>
      </c>
      <c r="N889" s="33">
        <f t="shared" si="297"/>
        <v>0</v>
      </c>
      <c r="T889">
        <v>1</v>
      </c>
      <c r="U889" s="29">
        <f t="shared" si="298"/>
        <v>0</v>
      </c>
      <c r="V889" s="29">
        <f t="shared" si="299"/>
        <v>0</v>
      </c>
      <c r="W889" s="29">
        <f t="shared" si="300"/>
        <v>0</v>
      </c>
      <c r="X889" s="29">
        <f t="shared" si="301"/>
        <v>0</v>
      </c>
      <c r="Y889" s="29">
        <f t="shared" si="302"/>
        <v>0</v>
      </c>
      <c r="Z889" s="29">
        <f t="shared" si="303"/>
        <v>1638</v>
      </c>
    </row>
    <row r="890" spans="1:26" x14ac:dyDescent="0.3">
      <c r="A890" s="5" t="s">
        <v>2698</v>
      </c>
      <c r="B890" s="5" t="s">
        <v>2699</v>
      </c>
      <c r="C890" s="5">
        <v>8</v>
      </c>
      <c r="D890" s="6">
        <v>1250</v>
      </c>
      <c r="E890" s="17">
        <f>VLOOKUP(A890,'forecast data dump'!$A$1:$H$3450,4,FALSE)</f>
        <v>44540</v>
      </c>
      <c r="F890" s="17">
        <f>VLOOKUP(A890,'forecast data dump'!$A$1:$H$3450,5,FALSE)</f>
        <v>44553</v>
      </c>
      <c r="G890" s="42">
        <f>VLOOKUP(A890,'forecast data dump'!$A$1:$H$3450,8,FALSE)</f>
        <v>0</v>
      </c>
      <c r="H890" s="5" t="s">
        <v>3763</v>
      </c>
      <c r="I890" s="39">
        <f t="shared" si="294"/>
        <v>8</v>
      </c>
      <c r="J890" s="5"/>
      <c r="K890" s="5"/>
      <c r="L890" s="33">
        <f t="shared" si="295"/>
        <v>1250</v>
      </c>
      <c r="M890" s="33">
        <f t="shared" si="296"/>
        <v>1250</v>
      </c>
      <c r="N890" s="33">
        <f t="shared" si="297"/>
        <v>0</v>
      </c>
      <c r="T890">
        <v>1</v>
      </c>
      <c r="U890" s="29">
        <f t="shared" si="298"/>
        <v>0</v>
      </c>
      <c r="V890" s="29">
        <f t="shared" si="299"/>
        <v>0</v>
      </c>
      <c r="W890" s="29">
        <f t="shared" si="300"/>
        <v>0</v>
      </c>
      <c r="X890" s="29">
        <f t="shared" si="301"/>
        <v>0</v>
      </c>
      <c r="Y890" s="29">
        <f t="shared" si="302"/>
        <v>0</v>
      </c>
      <c r="Z890" s="29">
        <f t="shared" si="303"/>
        <v>1250</v>
      </c>
    </row>
    <row r="891" spans="1:26" x14ac:dyDescent="0.3">
      <c r="A891" s="5" t="s">
        <v>2700</v>
      </c>
      <c r="B891" s="5" t="s">
        <v>2701</v>
      </c>
      <c r="C891" s="5">
        <v>8</v>
      </c>
      <c r="D891" s="6">
        <v>969</v>
      </c>
      <c r="E891" s="17">
        <f>VLOOKUP(A891,'forecast data dump'!$A$1:$H$3450,4,FALSE)</f>
        <v>44557</v>
      </c>
      <c r="F891" s="17">
        <f>VLOOKUP(A891,'forecast data dump'!$A$1:$H$3450,5,FALSE)</f>
        <v>44571</v>
      </c>
      <c r="G891" s="42">
        <f>VLOOKUP(A891,'forecast data dump'!$A$1:$H$3450,8,FALSE)</f>
        <v>0</v>
      </c>
      <c r="H891" s="5" t="s">
        <v>3759</v>
      </c>
      <c r="I891" s="39">
        <f t="shared" si="294"/>
        <v>8</v>
      </c>
      <c r="J891" s="5"/>
      <c r="K891" s="5"/>
      <c r="L891" s="33">
        <f t="shared" si="295"/>
        <v>969</v>
      </c>
      <c r="M891" s="33">
        <f t="shared" si="296"/>
        <v>969</v>
      </c>
      <c r="N891" s="33">
        <f t="shared" si="297"/>
        <v>0</v>
      </c>
      <c r="T891">
        <v>1</v>
      </c>
      <c r="U891" s="29">
        <f t="shared" si="298"/>
        <v>0</v>
      </c>
      <c r="V891" s="29">
        <f t="shared" si="299"/>
        <v>0</v>
      </c>
      <c r="W891" s="29">
        <f t="shared" si="300"/>
        <v>0</v>
      </c>
      <c r="X891" s="29">
        <f t="shared" si="301"/>
        <v>0</v>
      </c>
      <c r="Y891" s="29">
        <f t="shared" si="302"/>
        <v>0</v>
      </c>
      <c r="Z891" s="29">
        <f t="shared" si="303"/>
        <v>969</v>
      </c>
    </row>
    <row r="892" spans="1:26" x14ac:dyDescent="0.3">
      <c r="A892" s="5" t="s">
        <v>2700</v>
      </c>
      <c r="B892" s="5" t="s">
        <v>2701</v>
      </c>
      <c r="C892" s="5">
        <v>8</v>
      </c>
      <c r="D892" s="6">
        <v>1638</v>
      </c>
      <c r="E892" s="17">
        <f>VLOOKUP(A892,'forecast data dump'!$A$1:$H$3450,4,FALSE)</f>
        <v>44557</v>
      </c>
      <c r="F892" s="17">
        <f>VLOOKUP(A892,'forecast data dump'!$A$1:$H$3450,5,FALSE)</f>
        <v>44571</v>
      </c>
      <c r="G892" s="42">
        <f>VLOOKUP(A892,'forecast data dump'!$A$1:$H$3450,8,FALSE)</f>
        <v>0</v>
      </c>
      <c r="H892" s="5" t="s">
        <v>3755</v>
      </c>
      <c r="I892" s="39">
        <f t="shared" si="294"/>
        <v>8</v>
      </c>
      <c r="J892" s="5"/>
      <c r="K892" s="5"/>
      <c r="L892" s="33">
        <f t="shared" si="295"/>
        <v>1638</v>
      </c>
      <c r="M892" s="33">
        <f t="shared" si="296"/>
        <v>1638</v>
      </c>
      <c r="N892" s="33">
        <f t="shared" si="297"/>
        <v>0</v>
      </c>
      <c r="T892">
        <v>1</v>
      </c>
      <c r="U892" s="29">
        <f t="shared" si="298"/>
        <v>0</v>
      </c>
      <c r="V892" s="29">
        <f t="shared" si="299"/>
        <v>0</v>
      </c>
      <c r="W892" s="29">
        <f t="shared" si="300"/>
        <v>0</v>
      </c>
      <c r="X892" s="29">
        <f t="shared" si="301"/>
        <v>0</v>
      </c>
      <c r="Y892" s="29">
        <f t="shared" si="302"/>
        <v>0</v>
      </c>
      <c r="Z892" s="29">
        <f t="shared" si="303"/>
        <v>1638</v>
      </c>
    </row>
    <row r="893" spans="1:26" x14ac:dyDescent="0.3">
      <c r="A893" s="5" t="s">
        <v>2700</v>
      </c>
      <c r="B893" s="5" t="s">
        <v>2701</v>
      </c>
      <c r="C893" s="5">
        <v>8</v>
      </c>
      <c r="D893" s="6">
        <v>1250</v>
      </c>
      <c r="E893" s="17">
        <f>VLOOKUP(A893,'forecast data dump'!$A$1:$H$3450,4,FALSE)</f>
        <v>44557</v>
      </c>
      <c r="F893" s="17">
        <f>VLOOKUP(A893,'forecast data dump'!$A$1:$H$3450,5,FALSE)</f>
        <v>44571</v>
      </c>
      <c r="G893" s="42">
        <f>VLOOKUP(A893,'forecast data dump'!$A$1:$H$3450,8,FALSE)</f>
        <v>0</v>
      </c>
      <c r="H893" s="5" t="s">
        <v>3763</v>
      </c>
      <c r="I893" s="39">
        <f t="shared" si="294"/>
        <v>8</v>
      </c>
      <c r="J893" s="5"/>
      <c r="K893" s="5"/>
      <c r="L893" s="33">
        <f t="shared" si="295"/>
        <v>1250</v>
      </c>
      <c r="M893" s="33">
        <f t="shared" si="296"/>
        <v>1250</v>
      </c>
      <c r="N893" s="33">
        <f t="shared" si="297"/>
        <v>0</v>
      </c>
      <c r="T893">
        <v>1</v>
      </c>
      <c r="U893" s="29">
        <f t="shared" si="298"/>
        <v>0</v>
      </c>
      <c r="V893" s="29">
        <f t="shared" si="299"/>
        <v>0</v>
      </c>
      <c r="W893" s="29">
        <f t="shared" si="300"/>
        <v>0</v>
      </c>
      <c r="X893" s="29">
        <f t="shared" si="301"/>
        <v>0</v>
      </c>
      <c r="Y893" s="29">
        <f t="shared" si="302"/>
        <v>0</v>
      </c>
      <c r="Z893" s="29">
        <f t="shared" si="303"/>
        <v>1250</v>
      </c>
    </row>
    <row r="894" spans="1:26" x14ac:dyDescent="0.3">
      <c r="A894" s="5" t="s">
        <v>2704</v>
      </c>
      <c r="B894" s="5" t="s">
        <v>2705</v>
      </c>
      <c r="C894" s="5">
        <v>30</v>
      </c>
      <c r="D894" s="6">
        <v>4550</v>
      </c>
      <c r="E894" s="17" t="str">
        <f>VLOOKUP(A894,'forecast data dump'!$A$1:$H$3450,4,FALSE)</f>
        <v>17-Mar-21 A</v>
      </c>
      <c r="F894" s="17">
        <f>VLOOKUP(A894,'forecast data dump'!$A$1:$H$3450,5,FALSE)</f>
        <v>44406</v>
      </c>
      <c r="G894" s="42">
        <f>VLOOKUP(A894,'forecast data dump'!$A$1:$H$3450,8,FALSE)</f>
        <v>0.75</v>
      </c>
      <c r="H894" s="5" t="s">
        <v>3733</v>
      </c>
      <c r="I894" s="39">
        <f t="shared" si="294"/>
        <v>7.5</v>
      </c>
      <c r="J894" s="5"/>
      <c r="K894" s="5"/>
      <c r="L894" s="33">
        <f t="shared" si="295"/>
        <v>1137.5</v>
      </c>
      <c r="M894" s="33">
        <f t="shared" si="296"/>
        <v>1137.5</v>
      </c>
      <c r="N894" s="33">
        <f t="shared" si="297"/>
        <v>0</v>
      </c>
      <c r="R894">
        <v>1</v>
      </c>
      <c r="U894" s="29">
        <f t="shared" si="298"/>
        <v>0</v>
      </c>
      <c r="V894" s="29">
        <f t="shared" si="299"/>
        <v>0</v>
      </c>
      <c r="W894" s="29">
        <f t="shared" si="300"/>
        <v>0</v>
      </c>
      <c r="X894" s="29">
        <f t="shared" si="301"/>
        <v>1137.5</v>
      </c>
      <c r="Y894" s="29">
        <f t="shared" si="302"/>
        <v>0</v>
      </c>
      <c r="Z894" s="29">
        <f t="shared" si="303"/>
        <v>0</v>
      </c>
    </row>
    <row r="895" spans="1:26" x14ac:dyDescent="0.3">
      <c r="A895" s="5" t="s">
        <v>2704</v>
      </c>
      <c r="B895" s="5" t="s">
        <v>2705</v>
      </c>
      <c r="C895" s="5">
        <v>10</v>
      </c>
      <c r="D895" s="6">
        <v>1175</v>
      </c>
      <c r="E895" s="17" t="str">
        <f>VLOOKUP(A895,'forecast data dump'!$A$1:$H$3450,4,FALSE)</f>
        <v>17-Mar-21 A</v>
      </c>
      <c r="F895" s="17">
        <f>VLOOKUP(A895,'forecast data dump'!$A$1:$H$3450,5,FALSE)</f>
        <v>44406</v>
      </c>
      <c r="G895" s="42">
        <f>VLOOKUP(A895,'forecast data dump'!$A$1:$H$3450,8,FALSE)</f>
        <v>0.75</v>
      </c>
      <c r="H895" s="5" t="s">
        <v>3741</v>
      </c>
      <c r="I895" s="39">
        <f t="shared" si="294"/>
        <v>2.5</v>
      </c>
      <c r="J895" s="5"/>
      <c r="K895" s="5"/>
      <c r="L895" s="33">
        <f t="shared" si="295"/>
        <v>293.75</v>
      </c>
      <c r="M895" s="33">
        <f t="shared" si="296"/>
        <v>293.75</v>
      </c>
      <c r="N895" s="33">
        <f t="shared" si="297"/>
        <v>0</v>
      </c>
      <c r="R895">
        <v>1</v>
      </c>
      <c r="U895" s="29">
        <f t="shared" si="298"/>
        <v>0</v>
      </c>
      <c r="V895" s="29">
        <f t="shared" si="299"/>
        <v>0</v>
      </c>
      <c r="W895" s="29">
        <f t="shared" si="300"/>
        <v>0</v>
      </c>
      <c r="X895" s="29">
        <f t="shared" si="301"/>
        <v>293.75</v>
      </c>
      <c r="Y895" s="29">
        <f t="shared" si="302"/>
        <v>0</v>
      </c>
      <c r="Z895" s="29">
        <f t="shared" si="303"/>
        <v>0</v>
      </c>
    </row>
    <row r="896" spans="1:26" x14ac:dyDescent="0.3">
      <c r="A896" s="5" t="s">
        <v>2704</v>
      </c>
      <c r="B896" s="5" t="s">
        <v>2705</v>
      </c>
      <c r="C896" s="5">
        <v>10</v>
      </c>
      <c r="D896" s="6">
        <v>1175</v>
      </c>
      <c r="E896" s="17" t="str">
        <f>VLOOKUP(A896,'forecast data dump'!$A$1:$H$3450,4,FALSE)</f>
        <v>17-Mar-21 A</v>
      </c>
      <c r="F896" s="17">
        <f>VLOOKUP(A896,'forecast data dump'!$A$1:$H$3450,5,FALSE)</f>
        <v>44406</v>
      </c>
      <c r="G896" s="42">
        <f>VLOOKUP(A896,'forecast data dump'!$A$1:$H$3450,8,FALSE)</f>
        <v>0.75</v>
      </c>
      <c r="H896" s="5" t="s">
        <v>3745</v>
      </c>
      <c r="I896" s="39">
        <f t="shared" si="294"/>
        <v>2.5</v>
      </c>
      <c r="J896" s="5"/>
      <c r="K896" s="5"/>
      <c r="L896" s="33">
        <f t="shared" si="295"/>
        <v>293.75</v>
      </c>
      <c r="M896" s="33">
        <f t="shared" si="296"/>
        <v>293.75</v>
      </c>
      <c r="N896" s="33">
        <f t="shared" si="297"/>
        <v>0</v>
      </c>
      <c r="R896">
        <v>1</v>
      </c>
      <c r="U896" s="29">
        <f t="shared" si="298"/>
        <v>0</v>
      </c>
      <c r="V896" s="29">
        <f t="shared" si="299"/>
        <v>0</v>
      </c>
      <c r="W896" s="29">
        <f t="shared" si="300"/>
        <v>0</v>
      </c>
      <c r="X896" s="29">
        <f t="shared" si="301"/>
        <v>293.75</v>
      </c>
      <c r="Y896" s="29">
        <f t="shared" si="302"/>
        <v>0</v>
      </c>
      <c r="Z896" s="29">
        <f t="shared" si="303"/>
        <v>0</v>
      </c>
    </row>
    <row r="897" spans="1:26" x14ac:dyDescent="0.3">
      <c r="A897" s="3" t="s">
        <v>7895</v>
      </c>
      <c r="B897" s="3"/>
      <c r="C897" s="3"/>
      <c r="D897" s="4"/>
      <c r="E897" s="15"/>
      <c r="F897" s="15"/>
      <c r="G897" s="41"/>
      <c r="H897" s="3"/>
      <c r="I897" s="38"/>
      <c r="J897" s="3"/>
      <c r="K897" s="3"/>
      <c r="L897" s="32"/>
      <c r="M897" s="32"/>
      <c r="N897" s="32"/>
      <c r="U897" s="29"/>
      <c r="V897" s="29"/>
      <c r="W897" s="29"/>
      <c r="X897" s="29"/>
      <c r="Y897" s="29"/>
      <c r="Z897" s="29"/>
    </row>
    <row r="898" spans="1:26" x14ac:dyDescent="0.3">
      <c r="A898" s="5" t="s">
        <v>2447</v>
      </c>
      <c r="B898" s="5" t="s">
        <v>2448</v>
      </c>
      <c r="C898" s="5">
        <v>120</v>
      </c>
      <c r="D898" s="6">
        <v>17672</v>
      </c>
      <c r="E898" s="17">
        <f>VLOOKUP(A898,'forecast data dump'!$A$1:$H$3450,4,FALSE)</f>
        <v>44398</v>
      </c>
      <c r="F898" s="17">
        <f>VLOOKUP(A898,'forecast data dump'!$A$1:$H$3450,5,FALSE)</f>
        <v>44483</v>
      </c>
      <c r="G898" s="42">
        <f>VLOOKUP(A898,'forecast data dump'!$A$1:$H$3450,8,FALSE)</f>
        <v>0</v>
      </c>
      <c r="H898" s="5" t="s">
        <v>3733</v>
      </c>
      <c r="I898" s="39">
        <f t="shared" ref="I898:I955" si="304">C898*(1-G898)</f>
        <v>120</v>
      </c>
      <c r="J898" s="5"/>
      <c r="K898" s="5"/>
      <c r="L898" s="33">
        <f t="shared" ref="L898:L955" si="305">D898*(1-G898)</f>
        <v>17672</v>
      </c>
      <c r="M898" s="33">
        <f t="shared" ref="M898:M955" si="306">IF(J898="",L898,(D898/C898)*J898)</f>
        <v>17672</v>
      </c>
      <c r="N898" s="33">
        <f t="shared" ref="N898:N955" si="307">L898-M898</f>
        <v>0</v>
      </c>
      <c r="T898">
        <v>1</v>
      </c>
      <c r="U898" s="29">
        <f t="shared" si="298"/>
        <v>0</v>
      </c>
      <c r="V898" s="29">
        <f t="shared" si="299"/>
        <v>0</v>
      </c>
      <c r="W898" s="29">
        <f t="shared" si="300"/>
        <v>0</v>
      </c>
      <c r="X898" s="29">
        <f t="shared" si="301"/>
        <v>0</v>
      </c>
      <c r="Y898" s="29">
        <f t="shared" si="302"/>
        <v>0</v>
      </c>
      <c r="Z898" s="29">
        <f t="shared" si="303"/>
        <v>17672</v>
      </c>
    </row>
    <row r="899" spans="1:26" x14ac:dyDescent="0.3">
      <c r="A899" s="5" t="s">
        <v>2447</v>
      </c>
      <c r="B899" s="5" t="s">
        <v>2448</v>
      </c>
      <c r="C899" s="5">
        <v>40</v>
      </c>
      <c r="D899" s="6">
        <v>4565</v>
      </c>
      <c r="E899" s="17">
        <f>VLOOKUP(A899,'forecast data dump'!$A$1:$H$3450,4,FALSE)</f>
        <v>44398</v>
      </c>
      <c r="F899" s="17">
        <f>VLOOKUP(A899,'forecast data dump'!$A$1:$H$3450,5,FALSE)</f>
        <v>44483</v>
      </c>
      <c r="G899" s="42">
        <f>VLOOKUP(A899,'forecast data dump'!$A$1:$H$3450,8,FALSE)</f>
        <v>0</v>
      </c>
      <c r="H899" s="5" t="s">
        <v>3745</v>
      </c>
      <c r="I899" s="39">
        <f t="shared" si="304"/>
        <v>40</v>
      </c>
      <c r="J899" s="5"/>
      <c r="K899" s="5"/>
      <c r="L899" s="33">
        <f t="shared" si="305"/>
        <v>4565</v>
      </c>
      <c r="M899" s="33">
        <f t="shared" si="306"/>
        <v>4565</v>
      </c>
      <c r="N899" s="33">
        <f t="shared" si="307"/>
        <v>0</v>
      </c>
      <c r="T899">
        <v>1</v>
      </c>
      <c r="U899" s="29">
        <f t="shared" si="298"/>
        <v>0</v>
      </c>
      <c r="V899" s="29">
        <f t="shared" si="299"/>
        <v>0</v>
      </c>
      <c r="W899" s="29">
        <f t="shared" si="300"/>
        <v>0</v>
      </c>
      <c r="X899" s="29">
        <f t="shared" si="301"/>
        <v>0</v>
      </c>
      <c r="Y899" s="29">
        <f t="shared" si="302"/>
        <v>0</v>
      </c>
      <c r="Z899" s="29">
        <f t="shared" si="303"/>
        <v>4565</v>
      </c>
    </row>
    <row r="900" spans="1:26" x14ac:dyDescent="0.3">
      <c r="A900" s="5" t="s">
        <v>2451</v>
      </c>
      <c r="B900" s="5" t="s">
        <v>2452</v>
      </c>
      <c r="C900" s="5">
        <v>8</v>
      </c>
      <c r="D900" s="6">
        <v>1213</v>
      </c>
      <c r="E900" s="17" t="str">
        <f>VLOOKUP(A900,'forecast data dump'!$A$1:$H$3450,4,FALSE)</f>
        <v>15-Jun-21 A</v>
      </c>
      <c r="F900" s="17">
        <f>VLOOKUP(A900,'forecast data dump'!$A$1:$H$3450,5,FALSE)</f>
        <v>44530</v>
      </c>
      <c r="G900" s="42">
        <v>0.5</v>
      </c>
      <c r="H900" s="5" t="s">
        <v>3733</v>
      </c>
      <c r="I900" s="39">
        <f t="shared" si="304"/>
        <v>4</v>
      </c>
      <c r="J900" s="5"/>
      <c r="K900" s="5"/>
      <c r="L900" s="33">
        <f t="shared" si="305"/>
        <v>606.5</v>
      </c>
      <c r="M900" s="33">
        <f t="shared" si="306"/>
        <v>606.5</v>
      </c>
      <c r="N900" s="33">
        <f t="shared" si="307"/>
        <v>0</v>
      </c>
      <c r="R900">
        <v>1</v>
      </c>
      <c r="U900" s="29">
        <f t="shared" si="298"/>
        <v>0</v>
      </c>
      <c r="V900" s="29">
        <f t="shared" si="299"/>
        <v>0</v>
      </c>
      <c r="W900" s="29">
        <f t="shared" si="300"/>
        <v>0</v>
      </c>
      <c r="X900" s="29">
        <f t="shared" si="301"/>
        <v>606.5</v>
      </c>
      <c r="Y900" s="29">
        <f t="shared" si="302"/>
        <v>0</v>
      </c>
      <c r="Z900" s="29">
        <f t="shared" si="303"/>
        <v>0</v>
      </c>
    </row>
    <row r="901" spans="1:26" x14ac:dyDescent="0.3">
      <c r="A901" s="5" t="s">
        <v>2451</v>
      </c>
      <c r="B901" s="5" t="s">
        <v>2452</v>
      </c>
      <c r="C901" s="5">
        <v>8</v>
      </c>
      <c r="D901" s="6">
        <v>940</v>
      </c>
      <c r="E901" s="17" t="str">
        <f>VLOOKUP(A901,'forecast data dump'!$A$1:$H$3450,4,FALSE)</f>
        <v>15-Jun-21 A</v>
      </c>
      <c r="F901" s="17">
        <f>VLOOKUP(A901,'forecast data dump'!$A$1:$H$3450,5,FALSE)</f>
        <v>44530</v>
      </c>
      <c r="G901" s="42">
        <v>0.5</v>
      </c>
      <c r="H901" s="5" t="s">
        <v>3741</v>
      </c>
      <c r="I901" s="39">
        <f t="shared" si="304"/>
        <v>4</v>
      </c>
      <c r="J901" s="5"/>
      <c r="K901" s="5"/>
      <c r="L901" s="33">
        <f t="shared" si="305"/>
        <v>470</v>
      </c>
      <c r="M901" s="33">
        <f t="shared" si="306"/>
        <v>470</v>
      </c>
      <c r="N901" s="33">
        <f t="shared" si="307"/>
        <v>0</v>
      </c>
      <c r="R901">
        <v>1</v>
      </c>
      <c r="U901" s="29">
        <f t="shared" si="298"/>
        <v>0</v>
      </c>
      <c r="V901" s="29">
        <f t="shared" si="299"/>
        <v>0</v>
      </c>
      <c r="W901" s="29">
        <f t="shared" si="300"/>
        <v>0</v>
      </c>
      <c r="X901" s="29">
        <f t="shared" si="301"/>
        <v>470</v>
      </c>
      <c r="Y901" s="29">
        <f t="shared" si="302"/>
        <v>0</v>
      </c>
      <c r="Z901" s="29">
        <f t="shared" si="303"/>
        <v>0</v>
      </c>
    </row>
    <row r="902" spans="1:26" x14ac:dyDescent="0.3">
      <c r="A902" s="5" t="s">
        <v>2451</v>
      </c>
      <c r="B902" s="5" t="s">
        <v>2452</v>
      </c>
      <c r="C902" s="5">
        <v>8</v>
      </c>
      <c r="D902" s="6">
        <v>940</v>
      </c>
      <c r="E902" s="17" t="str">
        <f>VLOOKUP(A902,'forecast data dump'!$A$1:$H$3450,4,FALSE)</f>
        <v>15-Jun-21 A</v>
      </c>
      <c r="F902" s="17">
        <f>VLOOKUP(A902,'forecast data dump'!$A$1:$H$3450,5,FALSE)</f>
        <v>44530</v>
      </c>
      <c r="G902" s="42">
        <v>0.5</v>
      </c>
      <c r="H902" s="5" t="s">
        <v>3745</v>
      </c>
      <c r="I902" s="39">
        <f t="shared" si="304"/>
        <v>4</v>
      </c>
      <c r="J902" s="5"/>
      <c r="K902" s="5"/>
      <c r="L902" s="33">
        <f t="shared" si="305"/>
        <v>470</v>
      </c>
      <c r="M902" s="33">
        <f t="shared" si="306"/>
        <v>470</v>
      </c>
      <c r="N902" s="33">
        <f t="shared" si="307"/>
        <v>0</v>
      </c>
      <c r="R902">
        <v>1</v>
      </c>
      <c r="U902" s="29">
        <f t="shared" si="298"/>
        <v>0</v>
      </c>
      <c r="V902" s="29">
        <f t="shared" si="299"/>
        <v>0</v>
      </c>
      <c r="W902" s="29">
        <f t="shared" si="300"/>
        <v>0</v>
      </c>
      <c r="X902" s="29">
        <f t="shared" si="301"/>
        <v>470</v>
      </c>
      <c r="Y902" s="29">
        <f t="shared" si="302"/>
        <v>0</v>
      </c>
      <c r="Z902" s="29">
        <f t="shared" si="303"/>
        <v>0</v>
      </c>
    </row>
    <row r="903" spans="1:26" x14ac:dyDescent="0.3">
      <c r="A903" s="5" t="s">
        <v>2453</v>
      </c>
      <c r="B903" s="5" t="s">
        <v>2454</v>
      </c>
      <c r="C903" s="5">
        <v>8</v>
      </c>
      <c r="D903" s="6">
        <v>1213</v>
      </c>
      <c r="E903" s="17">
        <f>VLOOKUP(A903,'forecast data dump'!$A$1:$H$3450,4,FALSE)</f>
        <v>44531</v>
      </c>
      <c r="F903" s="17">
        <f>VLOOKUP(A903,'forecast data dump'!$A$1:$H$3450,5,FALSE)</f>
        <v>44544</v>
      </c>
      <c r="G903" s="42">
        <f>VLOOKUP(A903,'forecast data dump'!$A$1:$H$3450,8,FALSE)</f>
        <v>0</v>
      </c>
      <c r="H903" s="5" t="s">
        <v>3733</v>
      </c>
      <c r="I903" s="39">
        <f t="shared" si="304"/>
        <v>8</v>
      </c>
      <c r="J903" s="5"/>
      <c r="K903" s="5"/>
      <c r="L903" s="33">
        <f t="shared" si="305"/>
        <v>1213</v>
      </c>
      <c r="M903" s="33">
        <f t="shared" si="306"/>
        <v>1213</v>
      </c>
      <c r="N903" s="33">
        <f t="shared" si="307"/>
        <v>0</v>
      </c>
      <c r="T903">
        <v>1</v>
      </c>
      <c r="U903" s="29">
        <f t="shared" si="298"/>
        <v>0</v>
      </c>
      <c r="V903" s="29">
        <f t="shared" si="299"/>
        <v>0</v>
      </c>
      <c r="W903" s="29">
        <f t="shared" si="300"/>
        <v>0</v>
      </c>
      <c r="X903" s="29">
        <f t="shared" si="301"/>
        <v>0</v>
      </c>
      <c r="Y903" s="29">
        <f t="shared" si="302"/>
        <v>0</v>
      </c>
      <c r="Z903" s="29">
        <f t="shared" si="303"/>
        <v>1213</v>
      </c>
    </row>
    <row r="904" spans="1:26" x14ac:dyDescent="0.3">
      <c r="A904" s="5" t="s">
        <v>2453</v>
      </c>
      <c r="B904" s="5" t="s">
        <v>2454</v>
      </c>
      <c r="C904" s="5">
        <v>8</v>
      </c>
      <c r="D904" s="6">
        <v>940</v>
      </c>
      <c r="E904" s="17">
        <f>VLOOKUP(A904,'forecast data dump'!$A$1:$H$3450,4,FALSE)</f>
        <v>44531</v>
      </c>
      <c r="F904" s="17">
        <f>VLOOKUP(A904,'forecast data dump'!$A$1:$H$3450,5,FALSE)</f>
        <v>44544</v>
      </c>
      <c r="G904" s="42">
        <f>VLOOKUP(A904,'forecast data dump'!$A$1:$H$3450,8,FALSE)</f>
        <v>0</v>
      </c>
      <c r="H904" s="5" t="s">
        <v>3741</v>
      </c>
      <c r="I904" s="39">
        <f t="shared" si="304"/>
        <v>8</v>
      </c>
      <c r="J904" s="5"/>
      <c r="K904" s="5"/>
      <c r="L904" s="33">
        <f t="shared" si="305"/>
        <v>940</v>
      </c>
      <c r="M904" s="33">
        <f t="shared" si="306"/>
        <v>940</v>
      </c>
      <c r="N904" s="33">
        <f t="shared" si="307"/>
        <v>0</v>
      </c>
      <c r="T904">
        <v>1</v>
      </c>
      <c r="U904" s="29">
        <f t="shared" si="298"/>
        <v>0</v>
      </c>
      <c r="V904" s="29">
        <f t="shared" si="299"/>
        <v>0</v>
      </c>
      <c r="W904" s="29">
        <f t="shared" si="300"/>
        <v>0</v>
      </c>
      <c r="X904" s="29">
        <f t="shared" si="301"/>
        <v>0</v>
      </c>
      <c r="Y904" s="29">
        <f t="shared" si="302"/>
        <v>0</v>
      </c>
      <c r="Z904" s="29">
        <f t="shared" si="303"/>
        <v>940</v>
      </c>
    </row>
    <row r="905" spans="1:26" x14ac:dyDescent="0.3">
      <c r="A905" s="5" t="s">
        <v>2453</v>
      </c>
      <c r="B905" s="5" t="s">
        <v>2454</v>
      </c>
      <c r="C905" s="5">
        <v>8</v>
      </c>
      <c r="D905" s="6">
        <v>940</v>
      </c>
      <c r="E905" s="17">
        <f>VLOOKUP(A905,'forecast data dump'!$A$1:$H$3450,4,FALSE)</f>
        <v>44531</v>
      </c>
      <c r="F905" s="17">
        <f>VLOOKUP(A905,'forecast data dump'!$A$1:$H$3450,5,FALSE)</f>
        <v>44544</v>
      </c>
      <c r="G905" s="42">
        <f>VLOOKUP(A905,'forecast data dump'!$A$1:$H$3450,8,FALSE)</f>
        <v>0</v>
      </c>
      <c r="H905" s="5" t="s">
        <v>3745</v>
      </c>
      <c r="I905" s="39">
        <f t="shared" si="304"/>
        <v>8</v>
      </c>
      <c r="J905" s="5"/>
      <c r="K905" s="5"/>
      <c r="L905" s="33">
        <f t="shared" si="305"/>
        <v>940</v>
      </c>
      <c r="M905" s="33">
        <f t="shared" si="306"/>
        <v>940</v>
      </c>
      <c r="N905" s="33">
        <f t="shared" si="307"/>
        <v>0</v>
      </c>
      <c r="T905">
        <v>1</v>
      </c>
      <c r="U905" s="29">
        <f t="shared" si="298"/>
        <v>0</v>
      </c>
      <c r="V905" s="29">
        <f t="shared" si="299"/>
        <v>0</v>
      </c>
      <c r="W905" s="29">
        <f t="shared" si="300"/>
        <v>0</v>
      </c>
      <c r="X905" s="29">
        <f t="shared" si="301"/>
        <v>0</v>
      </c>
      <c r="Y905" s="29">
        <f t="shared" si="302"/>
        <v>0</v>
      </c>
      <c r="Z905" s="29">
        <f t="shared" si="303"/>
        <v>940</v>
      </c>
    </row>
    <row r="906" spans="1:26" x14ac:dyDescent="0.3">
      <c r="A906" s="5" t="s">
        <v>2457</v>
      </c>
      <c r="B906" s="5" t="s">
        <v>2458</v>
      </c>
      <c r="C906" s="5">
        <v>4</v>
      </c>
      <c r="D906" s="6">
        <v>607</v>
      </c>
      <c r="E906" s="17">
        <f>VLOOKUP(A906,'forecast data dump'!$A$1:$H$3450,4,FALSE)</f>
        <v>44545</v>
      </c>
      <c r="F906" s="17">
        <f>VLOOKUP(A906,'forecast data dump'!$A$1:$H$3450,5,FALSE)</f>
        <v>44550</v>
      </c>
      <c r="G906" s="42">
        <f>VLOOKUP(A906,'forecast data dump'!$A$1:$H$3450,8,FALSE)</f>
        <v>0</v>
      </c>
      <c r="H906" s="5" t="s">
        <v>3733</v>
      </c>
      <c r="I906" s="39">
        <f t="shared" si="304"/>
        <v>4</v>
      </c>
      <c r="J906" s="5"/>
      <c r="K906" s="5"/>
      <c r="L906" s="33">
        <f t="shared" si="305"/>
        <v>607</v>
      </c>
      <c r="M906" s="33">
        <f t="shared" si="306"/>
        <v>607</v>
      </c>
      <c r="N906" s="33">
        <f t="shared" si="307"/>
        <v>0</v>
      </c>
      <c r="T906">
        <v>1</v>
      </c>
      <c r="U906" s="29">
        <f t="shared" si="298"/>
        <v>0</v>
      </c>
      <c r="V906" s="29">
        <f t="shared" si="299"/>
        <v>0</v>
      </c>
      <c r="W906" s="29">
        <f t="shared" si="300"/>
        <v>0</v>
      </c>
      <c r="X906" s="29">
        <f t="shared" si="301"/>
        <v>0</v>
      </c>
      <c r="Y906" s="29">
        <f t="shared" si="302"/>
        <v>0</v>
      </c>
      <c r="Z906" s="29">
        <f t="shared" si="303"/>
        <v>607</v>
      </c>
    </row>
    <row r="907" spans="1:26" x14ac:dyDescent="0.3">
      <c r="A907" s="5" t="s">
        <v>2457</v>
      </c>
      <c r="B907" s="5" t="s">
        <v>2458</v>
      </c>
      <c r="C907" s="5">
        <v>4</v>
      </c>
      <c r="D907" s="6">
        <v>470</v>
      </c>
      <c r="E907" s="17">
        <f>VLOOKUP(A907,'forecast data dump'!$A$1:$H$3450,4,FALSE)</f>
        <v>44545</v>
      </c>
      <c r="F907" s="17">
        <f>VLOOKUP(A907,'forecast data dump'!$A$1:$H$3450,5,FALSE)</f>
        <v>44550</v>
      </c>
      <c r="G907" s="42">
        <f>VLOOKUP(A907,'forecast data dump'!$A$1:$H$3450,8,FALSE)</f>
        <v>0</v>
      </c>
      <c r="H907" s="5" t="s">
        <v>3745</v>
      </c>
      <c r="I907" s="39">
        <f t="shared" si="304"/>
        <v>4</v>
      </c>
      <c r="J907" s="5"/>
      <c r="K907" s="5"/>
      <c r="L907" s="33">
        <f t="shared" si="305"/>
        <v>470</v>
      </c>
      <c r="M907" s="33">
        <f t="shared" si="306"/>
        <v>470</v>
      </c>
      <c r="N907" s="33">
        <f t="shared" si="307"/>
        <v>0</v>
      </c>
      <c r="T907">
        <v>1</v>
      </c>
      <c r="U907" s="29">
        <f t="shared" si="298"/>
        <v>0</v>
      </c>
      <c r="V907" s="29">
        <f t="shared" si="299"/>
        <v>0</v>
      </c>
      <c r="W907" s="29">
        <f t="shared" si="300"/>
        <v>0</v>
      </c>
      <c r="X907" s="29">
        <f t="shared" si="301"/>
        <v>0</v>
      </c>
      <c r="Y907" s="29">
        <f t="shared" si="302"/>
        <v>0</v>
      </c>
      <c r="Z907" s="29">
        <f t="shared" si="303"/>
        <v>470</v>
      </c>
    </row>
    <row r="908" spans="1:26" x14ac:dyDescent="0.3">
      <c r="A908" s="5" t="s">
        <v>2457</v>
      </c>
      <c r="B908" s="5" t="s">
        <v>2458</v>
      </c>
      <c r="C908" s="5">
        <v>80</v>
      </c>
      <c r="D908" s="6">
        <v>9404</v>
      </c>
      <c r="E908" s="17">
        <f>VLOOKUP(A908,'forecast data dump'!$A$1:$H$3450,4,FALSE)</f>
        <v>44545</v>
      </c>
      <c r="F908" s="17">
        <f>VLOOKUP(A908,'forecast data dump'!$A$1:$H$3450,5,FALSE)</f>
        <v>44550</v>
      </c>
      <c r="G908" s="42">
        <f>VLOOKUP(A908,'forecast data dump'!$A$1:$H$3450,8,FALSE)</f>
        <v>0</v>
      </c>
      <c r="H908" s="5" t="s">
        <v>3741</v>
      </c>
      <c r="I908" s="39">
        <f t="shared" si="304"/>
        <v>80</v>
      </c>
      <c r="J908" s="5"/>
      <c r="K908" s="5"/>
      <c r="L908" s="33">
        <f t="shared" si="305"/>
        <v>9404</v>
      </c>
      <c r="M908" s="33">
        <f t="shared" si="306"/>
        <v>9404</v>
      </c>
      <c r="N908" s="33">
        <f t="shared" si="307"/>
        <v>0</v>
      </c>
      <c r="T908">
        <v>1</v>
      </c>
      <c r="U908" s="29">
        <f t="shared" si="298"/>
        <v>0</v>
      </c>
      <c r="V908" s="29">
        <f t="shared" si="299"/>
        <v>0</v>
      </c>
      <c r="W908" s="29">
        <f t="shared" si="300"/>
        <v>0</v>
      </c>
      <c r="X908" s="29">
        <f t="shared" si="301"/>
        <v>0</v>
      </c>
      <c r="Y908" s="29">
        <f t="shared" si="302"/>
        <v>0</v>
      </c>
      <c r="Z908" s="29">
        <f t="shared" si="303"/>
        <v>9404</v>
      </c>
    </row>
    <row r="909" spans="1:26" x14ac:dyDescent="0.3">
      <c r="A909" s="5" t="s">
        <v>2459</v>
      </c>
      <c r="B909" s="5" t="s">
        <v>2460</v>
      </c>
      <c r="C909" s="5">
        <v>64</v>
      </c>
      <c r="D909" s="6">
        <v>9708</v>
      </c>
      <c r="E909" s="17">
        <f>VLOOKUP(A909,'forecast data dump'!$A$1:$H$3450,4,FALSE)</f>
        <v>44551</v>
      </c>
      <c r="F909" s="17">
        <f>VLOOKUP(A909,'forecast data dump'!$A$1:$H$3450,5,FALSE)</f>
        <v>44557</v>
      </c>
      <c r="G909" s="42">
        <f>VLOOKUP(A909,'forecast data dump'!$A$1:$H$3450,8,FALSE)</f>
        <v>0</v>
      </c>
      <c r="H909" s="5" t="s">
        <v>3733</v>
      </c>
      <c r="I909" s="39">
        <f t="shared" si="304"/>
        <v>64</v>
      </c>
      <c r="J909" s="5"/>
      <c r="K909" s="5"/>
      <c r="L909" s="33">
        <f t="shared" si="305"/>
        <v>9708</v>
      </c>
      <c r="M909" s="33">
        <f t="shared" si="306"/>
        <v>9708</v>
      </c>
      <c r="N909" s="33">
        <f t="shared" si="307"/>
        <v>0</v>
      </c>
      <c r="T909">
        <v>1</v>
      </c>
      <c r="U909" s="29">
        <f t="shared" si="298"/>
        <v>0</v>
      </c>
      <c r="V909" s="29">
        <f t="shared" si="299"/>
        <v>0</v>
      </c>
      <c r="W909" s="29">
        <f t="shared" si="300"/>
        <v>0</v>
      </c>
      <c r="X909" s="29">
        <f t="shared" si="301"/>
        <v>0</v>
      </c>
      <c r="Y909" s="29">
        <f t="shared" si="302"/>
        <v>0</v>
      </c>
      <c r="Z909" s="29">
        <f t="shared" si="303"/>
        <v>9708</v>
      </c>
    </row>
    <row r="910" spans="1:26" x14ac:dyDescent="0.3">
      <c r="A910" s="5" t="s">
        <v>2459</v>
      </c>
      <c r="B910" s="5" t="s">
        <v>2460</v>
      </c>
      <c r="C910" s="5">
        <v>64</v>
      </c>
      <c r="D910" s="6">
        <v>7523</v>
      </c>
      <c r="E910" s="17">
        <f>VLOOKUP(A910,'forecast data dump'!$A$1:$H$3450,4,FALSE)</f>
        <v>44551</v>
      </c>
      <c r="F910" s="17">
        <f>VLOOKUP(A910,'forecast data dump'!$A$1:$H$3450,5,FALSE)</f>
        <v>44557</v>
      </c>
      <c r="G910" s="42">
        <f>VLOOKUP(A910,'forecast data dump'!$A$1:$H$3450,8,FALSE)</f>
        <v>0</v>
      </c>
      <c r="H910" s="5" t="s">
        <v>3745</v>
      </c>
      <c r="I910" s="39">
        <f t="shared" si="304"/>
        <v>64</v>
      </c>
      <c r="J910" s="5"/>
      <c r="K910" s="5"/>
      <c r="L910" s="33">
        <f t="shared" si="305"/>
        <v>7523</v>
      </c>
      <c r="M910" s="33">
        <f t="shared" si="306"/>
        <v>7523</v>
      </c>
      <c r="N910" s="33">
        <f t="shared" si="307"/>
        <v>0</v>
      </c>
      <c r="T910">
        <v>1</v>
      </c>
      <c r="U910" s="29">
        <f t="shared" si="298"/>
        <v>0</v>
      </c>
      <c r="V910" s="29">
        <f t="shared" si="299"/>
        <v>0</v>
      </c>
      <c r="W910" s="29">
        <f t="shared" si="300"/>
        <v>0</v>
      </c>
      <c r="X910" s="29">
        <f t="shared" si="301"/>
        <v>0</v>
      </c>
      <c r="Y910" s="29">
        <f t="shared" si="302"/>
        <v>0</v>
      </c>
      <c r="Z910" s="29">
        <f t="shared" si="303"/>
        <v>7523</v>
      </c>
    </row>
    <row r="911" spans="1:26" x14ac:dyDescent="0.3">
      <c r="A911" s="5" t="s">
        <v>2459</v>
      </c>
      <c r="B911" s="5" t="s">
        <v>2460</v>
      </c>
      <c r="C911" s="5">
        <v>512</v>
      </c>
      <c r="D911" s="6">
        <v>60183</v>
      </c>
      <c r="E911" s="17">
        <f>VLOOKUP(A911,'forecast data dump'!$A$1:$H$3450,4,FALSE)</f>
        <v>44551</v>
      </c>
      <c r="F911" s="17">
        <f>VLOOKUP(A911,'forecast data dump'!$A$1:$H$3450,5,FALSE)</f>
        <v>44557</v>
      </c>
      <c r="G911" s="42">
        <f>VLOOKUP(A911,'forecast data dump'!$A$1:$H$3450,8,FALSE)</f>
        <v>0</v>
      </c>
      <c r="H911" s="5" t="s">
        <v>3741</v>
      </c>
      <c r="I911" s="39">
        <f t="shared" si="304"/>
        <v>512</v>
      </c>
      <c r="J911" s="5"/>
      <c r="K911" s="5"/>
      <c r="L911" s="33">
        <f t="shared" si="305"/>
        <v>60183</v>
      </c>
      <c r="M911" s="33">
        <f t="shared" si="306"/>
        <v>60183</v>
      </c>
      <c r="N911" s="33">
        <f t="shared" si="307"/>
        <v>0</v>
      </c>
      <c r="T911">
        <v>1</v>
      </c>
      <c r="U911" s="29">
        <f t="shared" si="298"/>
        <v>0</v>
      </c>
      <c r="V911" s="29">
        <f t="shared" si="299"/>
        <v>0</v>
      </c>
      <c r="W911" s="29">
        <f t="shared" si="300"/>
        <v>0</v>
      </c>
      <c r="X911" s="29">
        <f t="shared" si="301"/>
        <v>0</v>
      </c>
      <c r="Y911" s="29">
        <f t="shared" si="302"/>
        <v>0</v>
      </c>
      <c r="Z911" s="29">
        <f t="shared" si="303"/>
        <v>60183</v>
      </c>
    </row>
    <row r="912" spans="1:26" x14ac:dyDescent="0.3">
      <c r="A912" s="5" t="s">
        <v>2461</v>
      </c>
      <c r="B912" s="5" t="s">
        <v>2462</v>
      </c>
      <c r="C912" s="5">
        <v>8</v>
      </c>
      <c r="D912" s="6">
        <v>1250</v>
      </c>
      <c r="E912" s="17">
        <f>VLOOKUP(A912,'forecast data dump'!$A$1:$H$3450,4,FALSE)</f>
        <v>44558</v>
      </c>
      <c r="F912" s="17">
        <f>VLOOKUP(A912,'forecast data dump'!$A$1:$H$3450,5,FALSE)</f>
        <v>44559</v>
      </c>
      <c r="G912" s="42">
        <f>VLOOKUP(A912,'forecast data dump'!$A$1:$H$3450,8,FALSE)</f>
        <v>0</v>
      </c>
      <c r="H912" s="5" t="s">
        <v>3733</v>
      </c>
      <c r="I912" s="39">
        <f t="shared" si="304"/>
        <v>8</v>
      </c>
      <c r="J912" s="5"/>
      <c r="K912" s="5"/>
      <c r="L912" s="33">
        <f t="shared" si="305"/>
        <v>1250</v>
      </c>
      <c r="M912" s="33">
        <f t="shared" si="306"/>
        <v>1250</v>
      </c>
      <c r="N912" s="33">
        <f t="shared" si="307"/>
        <v>0</v>
      </c>
      <c r="T912">
        <v>1</v>
      </c>
      <c r="U912" s="29">
        <f t="shared" si="298"/>
        <v>0</v>
      </c>
      <c r="V912" s="29">
        <f t="shared" si="299"/>
        <v>0</v>
      </c>
      <c r="W912" s="29">
        <f t="shared" si="300"/>
        <v>0</v>
      </c>
      <c r="X912" s="29">
        <f t="shared" si="301"/>
        <v>0</v>
      </c>
      <c r="Y912" s="29">
        <f t="shared" si="302"/>
        <v>0</v>
      </c>
      <c r="Z912" s="29">
        <f t="shared" si="303"/>
        <v>1250</v>
      </c>
    </row>
    <row r="913" spans="1:26" x14ac:dyDescent="0.3">
      <c r="A913" s="5" t="s">
        <v>2461</v>
      </c>
      <c r="B913" s="5" t="s">
        <v>2462</v>
      </c>
      <c r="C913" s="5">
        <v>2</v>
      </c>
      <c r="D913" s="6">
        <v>242</v>
      </c>
      <c r="E913" s="17">
        <f>VLOOKUP(A913,'forecast data dump'!$A$1:$H$3450,4,FALSE)</f>
        <v>44558</v>
      </c>
      <c r="F913" s="17">
        <f>VLOOKUP(A913,'forecast data dump'!$A$1:$H$3450,5,FALSE)</f>
        <v>44559</v>
      </c>
      <c r="G913" s="42">
        <f>VLOOKUP(A913,'forecast data dump'!$A$1:$H$3450,8,FALSE)</f>
        <v>0</v>
      </c>
      <c r="H913" s="5" t="s">
        <v>3745</v>
      </c>
      <c r="I913" s="39">
        <f t="shared" si="304"/>
        <v>2</v>
      </c>
      <c r="J913" s="5"/>
      <c r="K913" s="5"/>
      <c r="L913" s="33">
        <f t="shared" si="305"/>
        <v>242</v>
      </c>
      <c r="M913" s="33">
        <f t="shared" si="306"/>
        <v>242</v>
      </c>
      <c r="N913" s="33">
        <f t="shared" si="307"/>
        <v>0</v>
      </c>
      <c r="T913">
        <v>1</v>
      </c>
      <c r="U913" s="29">
        <f t="shared" si="298"/>
        <v>0</v>
      </c>
      <c r="V913" s="29">
        <f t="shared" si="299"/>
        <v>0</v>
      </c>
      <c r="W913" s="29">
        <f t="shared" si="300"/>
        <v>0</v>
      </c>
      <c r="X913" s="29">
        <f t="shared" si="301"/>
        <v>0</v>
      </c>
      <c r="Y913" s="29">
        <f t="shared" si="302"/>
        <v>0</v>
      </c>
      <c r="Z913" s="29">
        <f t="shared" si="303"/>
        <v>242</v>
      </c>
    </row>
    <row r="914" spans="1:26" x14ac:dyDescent="0.3">
      <c r="A914" s="5" t="s">
        <v>2461</v>
      </c>
      <c r="B914" s="5" t="s">
        <v>2462</v>
      </c>
      <c r="C914" s="5">
        <v>32</v>
      </c>
      <c r="D914" s="6">
        <v>3874</v>
      </c>
      <c r="E914" s="17">
        <f>VLOOKUP(A914,'forecast data dump'!$A$1:$H$3450,4,FALSE)</f>
        <v>44558</v>
      </c>
      <c r="F914" s="17">
        <f>VLOOKUP(A914,'forecast data dump'!$A$1:$H$3450,5,FALSE)</f>
        <v>44559</v>
      </c>
      <c r="G914" s="42">
        <f>VLOOKUP(A914,'forecast data dump'!$A$1:$H$3450,8,FALSE)</f>
        <v>0</v>
      </c>
      <c r="H914" s="5" t="s">
        <v>3741</v>
      </c>
      <c r="I914" s="39">
        <f t="shared" si="304"/>
        <v>32</v>
      </c>
      <c r="J914" s="5"/>
      <c r="K914" s="5"/>
      <c r="L914" s="33">
        <f t="shared" si="305"/>
        <v>3874</v>
      </c>
      <c r="M914" s="33">
        <f t="shared" si="306"/>
        <v>3874</v>
      </c>
      <c r="N914" s="33">
        <f t="shared" si="307"/>
        <v>0</v>
      </c>
      <c r="T914">
        <v>1</v>
      </c>
      <c r="U914" s="29">
        <f t="shared" si="298"/>
        <v>0</v>
      </c>
      <c r="V914" s="29">
        <f t="shared" si="299"/>
        <v>0</v>
      </c>
      <c r="W914" s="29">
        <f t="shared" si="300"/>
        <v>0</v>
      </c>
      <c r="X914" s="29">
        <f t="shared" si="301"/>
        <v>0</v>
      </c>
      <c r="Y914" s="29">
        <f t="shared" si="302"/>
        <v>0</v>
      </c>
      <c r="Z914" s="29">
        <f t="shared" si="303"/>
        <v>3874</v>
      </c>
    </row>
    <row r="915" spans="1:26" x14ac:dyDescent="0.3">
      <c r="A915" s="5" t="s">
        <v>2463</v>
      </c>
      <c r="B915" s="5" t="s">
        <v>2464</v>
      </c>
      <c r="C915" s="5">
        <v>120</v>
      </c>
      <c r="D915" s="6">
        <v>16626</v>
      </c>
      <c r="E915" s="17">
        <f>VLOOKUP(A915,'forecast data dump'!$A$1:$H$3450,4,FALSE)</f>
        <v>44560</v>
      </c>
      <c r="F915" s="17">
        <f>VLOOKUP(A915,'forecast data dump'!$A$1:$H$3450,5,FALSE)</f>
        <v>44564</v>
      </c>
      <c r="G915" s="42">
        <f>VLOOKUP(A915,'forecast data dump'!$A$1:$H$3450,8,FALSE)</f>
        <v>0</v>
      </c>
      <c r="H915" s="5" t="s">
        <v>3765</v>
      </c>
      <c r="I915" s="39">
        <f t="shared" si="304"/>
        <v>120</v>
      </c>
      <c r="J915" s="5"/>
      <c r="K915" s="5"/>
      <c r="L915" s="33">
        <f t="shared" si="305"/>
        <v>16626</v>
      </c>
      <c r="M915" s="33">
        <f t="shared" si="306"/>
        <v>16626</v>
      </c>
      <c r="N915" s="33">
        <f t="shared" si="307"/>
        <v>0</v>
      </c>
      <c r="T915">
        <v>1</v>
      </c>
      <c r="U915" s="29">
        <f t="shared" si="298"/>
        <v>0</v>
      </c>
      <c r="V915" s="29">
        <f t="shared" si="299"/>
        <v>0</v>
      </c>
      <c r="W915" s="29">
        <f t="shared" si="300"/>
        <v>0</v>
      </c>
      <c r="X915" s="29">
        <f t="shared" si="301"/>
        <v>0</v>
      </c>
      <c r="Y915" s="29">
        <f t="shared" si="302"/>
        <v>0</v>
      </c>
      <c r="Z915" s="29">
        <f t="shared" si="303"/>
        <v>16626</v>
      </c>
    </row>
    <row r="916" spans="1:26" x14ac:dyDescent="0.3">
      <c r="A916" s="5" t="s">
        <v>2463</v>
      </c>
      <c r="B916" s="5" t="s">
        <v>2464</v>
      </c>
      <c r="C916" s="5">
        <v>4</v>
      </c>
      <c r="D916" s="6">
        <v>625</v>
      </c>
      <c r="E916" s="17">
        <f>VLOOKUP(A916,'forecast data dump'!$A$1:$H$3450,4,FALSE)</f>
        <v>44560</v>
      </c>
      <c r="F916" s="17">
        <f>VLOOKUP(A916,'forecast data dump'!$A$1:$H$3450,5,FALSE)</f>
        <v>44564</v>
      </c>
      <c r="G916" s="42">
        <f>VLOOKUP(A916,'forecast data dump'!$A$1:$H$3450,8,FALSE)</f>
        <v>0</v>
      </c>
      <c r="H916" s="5" t="s">
        <v>3763</v>
      </c>
      <c r="I916" s="39">
        <f t="shared" si="304"/>
        <v>4</v>
      </c>
      <c r="J916" s="5"/>
      <c r="K916" s="5"/>
      <c r="L916" s="33">
        <f t="shared" si="305"/>
        <v>625</v>
      </c>
      <c r="M916" s="33">
        <f t="shared" si="306"/>
        <v>625</v>
      </c>
      <c r="N916" s="33">
        <f t="shared" si="307"/>
        <v>0</v>
      </c>
      <c r="T916">
        <v>1</v>
      </c>
      <c r="U916" s="29">
        <f t="shared" si="298"/>
        <v>0</v>
      </c>
      <c r="V916" s="29">
        <f t="shared" si="299"/>
        <v>0</v>
      </c>
      <c r="W916" s="29">
        <f t="shared" si="300"/>
        <v>0</v>
      </c>
      <c r="X916" s="29">
        <f t="shared" si="301"/>
        <v>0</v>
      </c>
      <c r="Y916" s="29">
        <f t="shared" si="302"/>
        <v>0</v>
      </c>
      <c r="Z916" s="29">
        <f t="shared" si="303"/>
        <v>625</v>
      </c>
    </row>
    <row r="917" spans="1:26" x14ac:dyDescent="0.3">
      <c r="A917" s="5" t="s">
        <v>2465</v>
      </c>
      <c r="B917" s="5" t="s">
        <v>2466</v>
      </c>
      <c r="C917" s="5">
        <v>8</v>
      </c>
      <c r="D917" s="6">
        <v>1250</v>
      </c>
      <c r="E917" s="17">
        <f>VLOOKUP(A917,'forecast data dump'!$A$1:$H$3450,4,FALSE)</f>
        <v>44565</v>
      </c>
      <c r="F917" s="17">
        <f>VLOOKUP(A917,'forecast data dump'!$A$1:$H$3450,5,FALSE)</f>
        <v>44566</v>
      </c>
      <c r="G917" s="42">
        <f>VLOOKUP(A917,'forecast data dump'!$A$1:$H$3450,8,FALSE)</f>
        <v>0</v>
      </c>
      <c r="H917" s="5" t="s">
        <v>3733</v>
      </c>
      <c r="I917" s="39">
        <f t="shared" si="304"/>
        <v>8</v>
      </c>
      <c r="J917" s="5"/>
      <c r="K917" s="5"/>
      <c r="L917" s="33">
        <f t="shared" si="305"/>
        <v>1250</v>
      </c>
      <c r="M917" s="33">
        <f t="shared" si="306"/>
        <v>1250</v>
      </c>
      <c r="N917" s="33">
        <f t="shared" si="307"/>
        <v>0</v>
      </c>
      <c r="T917">
        <v>1</v>
      </c>
      <c r="U917" s="29">
        <f t="shared" si="298"/>
        <v>0</v>
      </c>
      <c r="V917" s="29">
        <f t="shared" si="299"/>
        <v>0</v>
      </c>
      <c r="W917" s="29">
        <f t="shared" si="300"/>
        <v>0</v>
      </c>
      <c r="X917" s="29">
        <f t="shared" si="301"/>
        <v>0</v>
      </c>
      <c r="Y917" s="29">
        <f t="shared" si="302"/>
        <v>0</v>
      </c>
      <c r="Z917" s="29">
        <f t="shared" si="303"/>
        <v>1250</v>
      </c>
    </row>
    <row r="918" spans="1:26" x14ac:dyDescent="0.3">
      <c r="A918" s="5" t="s">
        <v>2465</v>
      </c>
      <c r="B918" s="5" t="s">
        <v>2466</v>
      </c>
      <c r="C918" s="5">
        <v>2</v>
      </c>
      <c r="D918" s="6">
        <v>242</v>
      </c>
      <c r="E918" s="17">
        <f>VLOOKUP(A918,'forecast data dump'!$A$1:$H$3450,4,FALSE)</f>
        <v>44565</v>
      </c>
      <c r="F918" s="17">
        <f>VLOOKUP(A918,'forecast data dump'!$A$1:$H$3450,5,FALSE)</f>
        <v>44566</v>
      </c>
      <c r="G918" s="42">
        <f>VLOOKUP(A918,'forecast data dump'!$A$1:$H$3450,8,FALSE)</f>
        <v>0</v>
      </c>
      <c r="H918" s="5" t="s">
        <v>3745</v>
      </c>
      <c r="I918" s="39">
        <f t="shared" si="304"/>
        <v>2</v>
      </c>
      <c r="J918" s="5"/>
      <c r="K918" s="5"/>
      <c r="L918" s="33">
        <f t="shared" si="305"/>
        <v>242</v>
      </c>
      <c r="M918" s="33">
        <f t="shared" si="306"/>
        <v>242</v>
      </c>
      <c r="N918" s="33">
        <f t="shared" si="307"/>
        <v>0</v>
      </c>
      <c r="T918">
        <v>1</v>
      </c>
      <c r="U918" s="29">
        <f t="shared" si="298"/>
        <v>0</v>
      </c>
      <c r="V918" s="29">
        <f t="shared" si="299"/>
        <v>0</v>
      </c>
      <c r="W918" s="29">
        <f t="shared" si="300"/>
        <v>0</v>
      </c>
      <c r="X918" s="29">
        <f t="shared" si="301"/>
        <v>0</v>
      </c>
      <c r="Y918" s="29">
        <f t="shared" si="302"/>
        <v>0</v>
      </c>
      <c r="Z918" s="29">
        <f t="shared" si="303"/>
        <v>242</v>
      </c>
    </row>
    <row r="919" spans="1:26" x14ac:dyDescent="0.3">
      <c r="A919" s="5" t="s">
        <v>2465</v>
      </c>
      <c r="B919" s="5" t="s">
        <v>2466</v>
      </c>
      <c r="C919" s="5">
        <v>32</v>
      </c>
      <c r="D919" s="6">
        <v>3874</v>
      </c>
      <c r="E919" s="17">
        <f>VLOOKUP(A919,'forecast data dump'!$A$1:$H$3450,4,FALSE)</f>
        <v>44565</v>
      </c>
      <c r="F919" s="17">
        <f>VLOOKUP(A919,'forecast data dump'!$A$1:$H$3450,5,FALSE)</f>
        <v>44566</v>
      </c>
      <c r="G919" s="42">
        <f>VLOOKUP(A919,'forecast data dump'!$A$1:$H$3450,8,FALSE)</f>
        <v>0</v>
      </c>
      <c r="H919" s="5" t="s">
        <v>3741</v>
      </c>
      <c r="I919" s="39">
        <f t="shared" si="304"/>
        <v>32</v>
      </c>
      <c r="J919" s="5"/>
      <c r="K919" s="5"/>
      <c r="L919" s="33">
        <f t="shared" si="305"/>
        <v>3874</v>
      </c>
      <c r="M919" s="33">
        <f t="shared" si="306"/>
        <v>3874</v>
      </c>
      <c r="N919" s="33">
        <f t="shared" si="307"/>
        <v>0</v>
      </c>
      <c r="T919">
        <v>1</v>
      </c>
      <c r="U919" s="29">
        <f t="shared" si="298"/>
        <v>0</v>
      </c>
      <c r="V919" s="29">
        <f t="shared" si="299"/>
        <v>0</v>
      </c>
      <c r="W919" s="29">
        <f t="shared" si="300"/>
        <v>0</v>
      </c>
      <c r="X919" s="29">
        <f t="shared" si="301"/>
        <v>0</v>
      </c>
      <c r="Y919" s="29">
        <f t="shared" si="302"/>
        <v>0</v>
      </c>
      <c r="Z919" s="29">
        <f t="shared" si="303"/>
        <v>3874</v>
      </c>
    </row>
    <row r="920" spans="1:26" x14ac:dyDescent="0.3">
      <c r="A920" s="5" t="s">
        <v>2467</v>
      </c>
      <c r="B920" s="5" t="s">
        <v>2468</v>
      </c>
      <c r="C920" s="5">
        <v>4</v>
      </c>
      <c r="D920" s="6">
        <v>484</v>
      </c>
      <c r="E920" s="17">
        <f>VLOOKUP(A920,'forecast data dump'!$A$1:$H$3450,4,FALSE)</f>
        <v>44567</v>
      </c>
      <c r="F920" s="17">
        <f>VLOOKUP(A920,'forecast data dump'!$A$1:$H$3450,5,FALSE)</f>
        <v>44573</v>
      </c>
      <c r="G920" s="42">
        <f>VLOOKUP(A920,'forecast data dump'!$A$1:$H$3450,8,FALSE)</f>
        <v>0</v>
      </c>
      <c r="H920" s="5" t="s">
        <v>3745</v>
      </c>
      <c r="I920" s="39">
        <f t="shared" si="304"/>
        <v>4</v>
      </c>
      <c r="J920" s="5"/>
      <c r="K920" s="5"/>
      <c r="L920" s="33">
        <f t="shared" si="305"/>
        <v>484</v>
      </c>
      <c r="M920" s="33">
        <f t="shared" si="306"/>
        <v>484</v>
      </c>
      <c r="N920" s="33">
        <f t="shared" si="307"/>
        <v>0</v>
      </c>
      <c r="T920">
        <v>1</v>
      </c>
      <c r="U920" s="29">
        <f t="shared" si="298"/>
        <v>0</v>
      </c>
      <c r="V920" s="29">
        <f t="shared" si="299"/>
        <v>0</v>
      </c>
      <c r="W920" s="29">
        <f t="shared" si="300"/>
        <v>0</v>
      </c>
      <c r="X920" s="29">
        <f t="shared" si="301"/>
        <v>0</v>
      </c>
      <c r="Y920" s="29">
        <f t="shared" si="302"/>
        <v>0</v>
      </c>
      <c r="Z920" s="29">
        <f t="shared" si="303"/>
        <v>484</v>
      </c>
    </row>
    <row r="921" spans="1:26" x14ac:dyDescent="0.3">
      <c r="A921" s="5" t="s">
        <v>2467</v>
      </c>
      <c r="B921" s="5" t="s">
        <v>2468</v>
      </c>
      <c r="C921" s="5">
        <v>20</v>
      </c>
      <c r="D921" s="6">
        <v>2421</v>
      </c>
      <c r="E921" s="17">
        <f>VLOOKUP(A921,'forecast data dump'!$A$1:$H$3450,4,FALSE)</f>
        <v>44567</v>
      </c>
      <c r="F921" s="17">
        <f>VLOOKUP(A921,'forecast data dump'!$A$1:$H$3450,5,FALSE)</f>
        <v>44573</v>
      </c>
      <c r="G921" s="42">
        <f>VLOOKUP(A921,'forecast data dump'!$A$1:$H$3450,8,FALSE)</f>
        <v>0</v>
      </c>
      <c r="H921" s="5" t="s">
        <v>3741</v>
      </c>
      <c r="I921" s="39">
        <f t="shared" si="304"/>
        <v>20</v>
      </c>
      <c r="J921" s="5"/>
      <c r="K921" s="5"/>
      <c r="L921" s="33">
        <f t="shared" si="305"/>
        <v>2421</v>
      </c>
      <c r="M921" s="33">
        <f t="shared" si="306"/>
        <v>2421</v>
      </c>
      <c r="N921" s="33">
        <f t="shared" si="307"/>
        <v>0</v>
      </c>
      <c r="T921">
        <v>1</v>
      </c>
      <c r="U921" s="29">
        <f t="shared" si="298"/>
        <v>0</v>
      </c>
      <c r="V921" s="29">
        <f t="shared" si="299"/>
        <v>0</v>
      </c>
      <c r="W921" s="29">
        <f t="shared" si="300"/>
        <v>0</v>
      </c>
      <c r="X921" s="29">
        <f t="shared" si="301"/>
        <v>0</v>
      </c>
      <c r="Y921" s="29">
        <f t="shared" si="302"/>
        <v>0</v>
      </c>
      <c r="Z921" s="29">
        <f t="shared" si="303"/>
        <v>2421</v>
      </c>
    </row>
    <row r="922" spans="1:26" x14ac:dyDescent="0.3">
      <c r="A922" s="5" t="s">
        <v>2469</v>
      </c>
      <c r="B922" s="5" t="s">
        <v>2470</v>
      </c>
      <c r="C922" s="5">
        <v>80</v>
      </c>
      <c r="D922" s="6">
        <v>9686</v>
      </c>
      <c r="E922" s="17">
        <f>VLOOKUP(A922,'forecast data dump'!$A$1:$H$3450,4,FALSE)</f>
        <v>44574</v>
      </c>
      <c r="F922" s="17">
        <f>VLOOKUP(A922,'forecast data dump'!$A$1:$H$3450,5,FALSE)</f>
        <v>44602</v>
      </c>
      <c r="G922" s="42">
        <f>VLOOKUP(A922,'forecast data dump'!$A$1:$H$3450,8,FALSE)</f>
        <v>0</v>
      </c>
      <c r="H922" s="5" t="s">
        <v>3741</v>
      </c>
      <c r="I922" s="39">
        <f t="shared" si="304"/>
        <v>80</v>
      </c>
      <c r="J922" s="5"/>
      <c r="K922" s="5"/>
      <c r="L922" s="33">
        <f t="shared" si="305"/>
        <v>9686</v>
      </c>
      <c r="M922" s="33">
        <f t="shared" si="306"/>
        <v>9686</v>
      </c>
      <c r="N922" s="33">
        <f t="shared" si="307"/>
        <v>0</v>
      </c>
      <c r="T922">
        <v>1</v>
      </c>
      <c r="U922" s="29">
        <f t="shared" si="298"/>
        <v>0</v>
      </c>
      <c r="V922" s="29">
        <f t="shared" si="299"/>
        <v>0</v>
      </c>
      <c r="W922" s="29">
        <f t="shared" si="300"/>
        <v>0</v>
      </c>
      <c r="X922" s="29">
        <f t="shared" si="301"/>
        <v>0</v>
      </c>
      <c r="Y922" s="29">
        <f t="shared" si="302"/>
        <v>0</v>
      </c>
      <c r="Z922" s="29">
        <f t="shared" si="303"/>
        <v>9686</v>
      </c>
    </row>
    <row r="923" spans="1:26" x14ac:dyDescent="0.3">
      <c r="A923" s="5" t="s">
        <v>2469</v>
      </c>
      <c r="B923" s="5" t="s">
        <v>2470</v>
      </c>
      <c r="C923" s="5">
        <v>160</v>
      </c>
      <c r="D923" s="6">
        <v>19372</v>
      </c>
      <c r="E923" s="17">
        <f>VLOOKUP(A923,'forecast data dump'!$A$1:$H$3450,4,FALSE)</f>
        <v>44574</v>
      </c>
      <c r="F923" s="17">
        <f>VLOOKUP(A923,'forecast data dump'!$A$1:$H$3450,5,FALSE)</f>
        <v>44602</v>
      </c>
      <c r="G923" s="42">
        <f>VLOOKUP(A923,'forecast data dump'!$A$1:$H$3450,8,FALSE)</f>
        <v>0</v>
      </c>
      <c r="H923" s="5" t="s">
        <v>3742</v>
      </c>
      <c r="I923" s="39">
        <f t="shared" si="304"/>
        <v>160</v>
      </c>
      <c r="J923" s="5"/>
      <c r="K923" s="5"/>
      <c r="L923" s="33">
        <f t="shared" si="305"/>
        <v>19372</v>
      </c>
      <c r="M923" s="33">
        <f t="shared" si="306"/>
        <v>19372</v>
      </c>
      <c r="N923" s="33">
        <f t="shared" si="307"/>
        <v>0</v>
      </c>
      <c r="T923">
        <v>1</v>
      </c>
      <c r="U923" s="29">
        <f t="shared" si="298"/>
        <v>0</v>
      </c>
      <c r="V923" s="29">
        <f t="shared" si="299"/>
        <v>0</v>
      </c>
      <c r="W923" s="29">
        <f t="shared" si="300"/>
        <v>0</v>
      </c>
      <c r="X923" s="29">
        <f t="shared" si="301"/>
        <v>0</v>
      </c>
      <c r="Y923" s="29">
        <f t="shared" si="302"/>
        <v>0</v>
      </c>
      <c r="Z923" s="29">
        <f t="shared" si="303"/>
        <v>19372</v>
      </c>
    </row>
    <row r="924" spans="1:26" x14ac:dyDescent="0.3">
      <c r="A924" s="5" t="s">
        <v>2469</v>
      </c>
      <c r="B924" s="5" t="s">
        <v>2470</v>
      </c>
      <c r="C924" s="5">
        <v>80</v>
      </c>
      <c r="D924" s="6">
        <v>12499</v>
      </c>
      <c r="E924" s="17">
        <f>VLOOKUP(A924,'forecast data dump'!$A$1:$H$3450,4,FALSE)</f>
        <v>44574</v>
      </c>
      <c r="F924" s="17">
        <f>VLOOKUP(A924,'forecast data dump'!$A$1:$H$3450,5,FALSE)</f>
        <v>44602</v>
      </c>
      <c r="G924" s="42">
        <f>VLOOKUP(A924,'forecast data dump'!$A$1:$H$3450,8,FALSE)</f>
        <v>0</v>
      </c>
      <c r="H924" s="5" t="s">
        <v>3744</v>
      </c>
      <c r="I924" s="39">
        <f t="shared" si="304"/>
        <v>80</v>
      </c>
      <c r="J924" s="5"/>
      <c r="K924" s="5"/>
      <c r="L924" s="33">
        <f t="shared" si="305"/>
        <v>12499</v>
      </c>
      <c r="M924" s="33">
        <f t="shared" si="306"/>
        <v>12499</v>
      </c>
      <c r="N924" s="33">
        <f t="shared" si="307"/>
        <v>0</v>
      </c>
      <c r="T924">
        <v>1</v>
      </c>
      <c r="U924" s="29">
        <f t="shared" si="298"/>
        <v>0</v>
      </c>
      <c r="V924" s="29">
        <f t="shared" si="299"/>
        <v>0</v>
      </c>
      <c r="W924" s="29">
        <f t="shared" si="300"/>
        <v>0</v>
      </c>
      <c r="X924" s="29">
        <f t="shared" si="301"/>
        <v>0</v>
      </c>
      <c r="Y924" s="29">
        <f t="shared" si="302"/>
        <v>0</v>
      </c>
      <c r="Z924" s="29">
        <f t="shared" si="303"/>
        <v>12499</v>
      </c>
    </row>
    <row r="925" spans="1:26" x14ac:dyDescent="0.3">
      <c r="A925" s="5" t="s">
        <v>2471</v>
      </c>
      <c r="B925" s="5" t="s">
        <v>2472</v>
      </c>
      <c r="C925" s="5">
        <v>8</v>
      </c>
      <c r="D925" s="6">
        <v>1250</v>
      </c>
      <c r="E925" s="17">
        <f>VLOOKUP(A925,'forecast data dump'!$A$1:$H$3450,4,FALSE)</f>
        <v>44603</v>
      </c>
      <c r="F925" s="17">
        <f>VLOOKUP(A925,'forecast data dump'!$A$1:$H$3450,5,FALSE)</f>
        <v>44617</v>
      </c>
      <c r="G925" s="42">
        <f>VLOOKUP(A925,'forecast data dump'!$A$1:$H$3450,8,FALSE)</f>
        <v>0</v>
      </c>
      <c r="H925" s="5" t="s">
        <v>3744</v>
      </c>
      <c r="I925" s="39">
        <f t="shared" si="304"/>
        <v>8</v>
      </c>
      <c r="J925" s="5"/>
      <c r="K925" s="5"/>
      <c r="L925" s="33">
        <f t="shared" si="305"/>
        <v>1250</v>
      </c>
      <c r="M925" s="33">
        <f t="shared" si="306"/>
        <v>1250</v>
      </c>
      <c r="N925" s="33">
        <f t="shared" si="307"/>
        <v>0</v>
      </c>
      <c r="T925">
        <v>1</v>
      </c>
      <c r="U925" s="29">
        <f t="shared" si="298"/>
        <v>0</v>
      </c>
      <c r="V925" s="29">
        <f t="shared" si="299"/>
        <v>0</v>
      </c>
      <c r="W925" s="29">
        <f t="shared" si="300"/>
        <v>0</v>
      </c>
      <c r="X925" s="29">
        <f t="shared" si="301"/>
        <v>0</v>
      </c>
      <c r="Y925" s="29">
        <f t="shared" si="302"/>
        <v>0</v>
      </c>
      <c r="Z925" s="29">
        <f t="shared" si="303"/>
        <v>1250</v>
      </c>
    </row>
    <row r="926" spans="1:26" x14ac:dyDescent="0.3">
      <c r="A926" s="5" t="s">
        <v>2471</v>
      </c>
      <c r="B926" s="5" t="s">
        <v>2472</v>
      </c>
      <c r="C926" s="5">
        <v>8</v>
      </c>
      <c r="D926" s="6">
        <v>1250</v>
      </c>
      <c r="E926" s="17">
        <f>VLOOKUP(A926,'forecast data dump'!$A$1:$H$3450,4,FALSE)</f>
        <v>44603</v>
      </c>
      <c r="F926" s="17">
        <f>VLOOKUP(A926,'forecast data dump'!$A$1:$H$3450,5,FALSE)</f>
        <v>44617</v>
      </c>
      <c r="G926" s="42">
        <f>VLOOKUP(A926,'forecast data dump'!$A$1:$H$3450,8,FALSE)</f>
        <v>0</v>
      </c>
      <c r="H926" s="5" t="s">
        <v>3733</v>
      </c>
      <c r="I926" s="39">
        <f t="shared" si="304"/>
        <v>8</v>
      </c>
      <c r="J926" s="5"/>
      <c r="K926" s="5"/>
      <c r="L926" s="33">
        <f t="shared" si="305"/>
        <v>1250</v>
      </c>
      <c r="M926" s="33">
        <f t="shared" si="306"/>
        <v>1250</v>
      </c>
      <c r="N926" s="33">
        <f t="shared" si="307"/>
        <v>0</v>
      </c>
      <c r="T926">
        <v>1</v>
      </c>
      <c r="U926" s="29">
        <f t="shared" si="298"/>
        <v>0</v>
      </c>
      <c r="V926" s="29">
        <f t="shared" si="299"/>
        <v>0</v>
      </c>
      <c r="W926" s="29">
        <f t="shared" si="300"/>
        <v>0</v>
      </c>
      <c r="X926" s="29">
        <f t="shared" si="301"/>
        <v>0</v>
      </c>
      <c r="Y926" s="29">
        <f t="shared" si="302"/>
        <v>0</v>
      </c>
      <c r="Z926" s="29">
        <f t="shared" si="303"/>
        <v>1250</v>
      </c>
    </row>
    <row r="927" spans="1:26" x14ac:dyDescent="0.3">
      <c r="A927" s="5" t="s">
        <v>2471</v>
      </c>
      <c r="B927" s="5" t="s">
        <v>2472</v>
      </c>
      <c r="C927" s="5">
        <v>8</v>
      </c>
      <c r="D927" s="6">
        <v>969</v>
      </c>
      <c r="E927" s="17">
        <f>VLOOKUP(A927,'forecast data dump'!$A$1:$H$3450,4,FALSE)</f>
        <v>44603</v>
      </c>
      <c r="F927" s="17">
        <f>VLOOKUP(A927,'forecast data dump'!$A$1:$H$3450,5,FALSE)</f>
        <v>44617</v>
      </c>
      <c r="G927" s="42">
        <f>VLOOKUP(A927,'forecast data dump'!$A$1:$H$3450,8,FALSE)</f>
        <v>0</v>
      </c>
      <c r="H927" s="5" t="s">
        <v>3742</v>
      </c>
      <c r="I927" s="39">
        <f t="shared" si="304"/>
        <v>8</v>
      </c>
      <c r="J927" s="5"/>
      <c r="K927" s="5"/>
      <c r="L927" s="33">
        <f t="shared" si="305"/>
        <v>969</v>
      </c>
      <c r="M927" s="33">
        <f t="shared" si="306"/>
        <v>969</v>
      </c>
      <c r="N927" s="33">
        <f t="shared" si="307"/>
        <v>0</v>
      </c>
      <c r="T927">
        <v>1</v>
      </c>
      <c r="U927" s="29">
        <f t="shared" si="298"/>
        <v>0</v>
      </c>
      <c r="V927" s="29">
        <f t="shared" si="299"/>
        <v>0</v>
      </c>
      <c r="W927" s="29">
        <f t="shared" si="300"/>
        <v>0</v>
      </c>
      <c r="X927" s="29">
        <f t="shared" si="301"/>
        <v>0</v>
      </c>
      <c r="Y927" s="29">
        <f t="shared" si="302"/>
        <v>0</v>
      </c>
      <c r="Z927" s="29">
        <f t="shared" si="303"/>
        <v>969</v>
      </c>
    </row>
    <row r="928" spans="1:26" x14ac:dyDescent="0.3">
      <c r="A928" s="5" t="s">
        <v>2471</v>
      </c>
      <c r="B928" s="5" t="s">
        <v>2472</v>
      </c>
      <c r="C928" s="5">
        <v>8</v>
      </c>
      <c r="D928" s="6">
        <v>969</v>
      </c>
      <c r="E928" s="17">
        <f>VLOOKUP(A928,'forecast data dump'!$A$1:$H$3450,4,FALSE)</f>
        <v>44603</v>
      </c>
      <c r="F928" s="17">
        <f>VLOOKUP(A928,'forecast data dump'!$A$1:$H$3450,5,FALSE)</f>
        <v>44617</v>
      </c>
      <c r="G928" s="42">
        <f>VLOOKUP(A928,'forecast data dump'!$A$1:$H$3450,8,FALSE)</f>
        <v>0</v>
      </c>
      <c r="H928" s="5" t="s">
        <v>3745</v>
      </c>
      <c r="I928" s="39">
        <f t="shared" si="304"/>
        <v>8</v>
      </c>
      <c r="J928" s="5"/>
      <c r="K928" s="5"/>
      <c r="L928" s="33">
        <f t="shared" si="305"/>
        <v>969</v>
      </c>
      <c r="M928" s="33">
        <f t="shared" si="306"/>
        <v>969</v>
      </c>
      <c r="N928" s="33">
        <f t="shared" si="307"/>
        <v>0</v>
      </c>
      <c r="T928">
        <v>1</v>
      </c>
      <c r="U928" s="29">
        <f t="shared" si="298"/>
        <v>0</v>
      </c>
      <c r="V928" s="29">
        <f t="shared" si="299"/>
        <v>0</v>
      </c>
      <c r="W928" s="29">
        <f t="shared" si="300"/>
        <v>0</v>
      </c>
      <c r="X928" s="29">
        <f t="shared" si="301"/>
        <v>0</v>
      </c>
      <c r="Y928" s="29">
        <f t="shared" si="302"/>
        <v>0</v>
      </c>
      <c r="Z928" s="29">
        <f t="shared" si="303"/>
        <v>969</v>
      </c>
    </row>
    <row r="929" spans="1:26" x14ac:dyDescent="0.3">
      <c r="A929" s="5" t="s">
        <v>2471</v>
      </c>
      <c r="B929" s="5" t="s">
        <v>2472</v>
      </c>
      <c r="C929" s="5">
        <v>8</v>
      </c>
      <c r="D929" s="6">
        <v>969</v>
      </c>
      <c r="E929" s="17">
        <f>VLOOKUP(A929,'forecast data dump'!$A$1:$H$3450,4,FALSE)</f>
        <v>44603</v>
      </c>
      <c r="F929" s="17">
        <f>VLOOKUP(A929,'forecast data dump'!$A$1:$H$3450,5,FALSE)</f>
        <v>44617</v>
      </c>
      <c r="G929" s="42">
        <f>VLOOKUP(A929,'forecast data dump'!$A$1:$H$3450,8,FALSE)</f>
        <v>0</v>
      </c>
      <c r="H929" s="5" t="s">
        <v>3741</v>
      </c>
      <c r="I929" s="39">
        <f t="shared" si="304"/>
        <v>8</v>
      </c>
      <c r="J929" s="5"/>
      <c r="K929" s="5"/>
      <c r="L929" s="33">
        <f t="shared" si="305"/>
        <v>969</v>
      </c>
      <c r="M929" s="33">
        <f t="shared" si="306"/>
        <v>969</v>
      </c>
      <c r="N929" s="33">
        <f t="shared" si="307"/>
        <v>0</v>
      </c>
      <c r="T929">
        <v>1</v>
      </c>
      <c r="U929" s="29">
        <f t="shared" si="298"/>
        <v>0</v>
      </c>
      <c r="V929" s="29">
        <f t="shared" si="299"/>
        <v>0</v>
      </c>
      <c r="W929" s="29">
        <f t="shared" si="300"/>
        <v>0</v>
      </c>
      <c r="X929" s="29">
        <f t="shared" si="301"/>
        <v>0</v>
      </c>
      <c r="Y929" s="29">
        <f t="shared" si="302"/>
        <v>0</v>
      </c>
      <c r="Z929" s="29">
        <f t="shared" si="303"/>
        <v>969</v>
      </c>
    </row>
    <row r="930" spans="1:26" x14ac:dyDescent="0.3">
      <c r="A930" s="5" t="s">
        <v>2473</v>
      </c>
      <c r="B930" s="5" t="s">
        <v>2474</v>
      </c>
      <c r="C930" s="5">
        <v>8</v>
      </c>
      <c r="D930" s="6">
        <v>1250</v>
      </c>
      <c r="E930" s="17">
        <f>VLOOKUP(A930,'forecast data dump'!$A$1:$H$3450,4,FALSE)</f>
        <v>44620</v>
      </c>
      <c r="F930" s="17">
        <f>VLOOKUP(A930,'forecast data dump'!$A$1:$H$3450,5,FALSE)</f>
        <v>44631</v>
      </c>
      <c r="G930" s="42">
        <f>VLOOKUP(A930,'forecast data dump'!$A$1:$H$3450,8,FALSE)</f>
        <v>0</v>
      </c>
      <c r="H930" s="5" t="s">
        <v>3744</v>
      </c>
      <c r="I930" s="39">
        <f t="shared" si="304"/>
        <v>8</v>
      </c>
      <c r="J930" s="5"/>
      <c r="K930" s="5"/>
      <c r="L930" s="33">
        <f t="shared" si="305"/>
        <v>1250</v>
      </c>
      <c r="M930" s="33">
        <f t="shared" si="306"/>
        <v>1250</v>
      </c>
      <c r="N930" s="33">
        <f t="shared" si="307"/>
        <v>0</v>
      </c>
      <c r="T930">
        <v>1</v>
      </c>
      <c r="U930" s="29">
        <f t="shared" si="298"/>
        <v>0</v>
      </c>
      <c r="V930" s="29">
        <f t="shared" si="299"/>
        <v>0</v>
      </c>
      <c r="W930" s="29">
        <f t="shared" si="300"/>
        <v>0</v>
      </c>
      <c r="X930" s="29">
        <f t="shared" si="301"/>
        <v>0</v>
      </c>
      <c r="Y930" s="29">
        <f t="shared" si="302"/>
        <v>0</v>
      </c>
      <c r="Z930" s="29">
        <f t="shared" si="303"/>
        <v>1250</v>
      </c>
    </row>
    <row r="931" spans="1:26" x14ac:dyDescent="0.3">
      <c r="A931" s="5" t="s">
        <v>2473</v>
      </c>
      <c r="B931" s="5" t="s">
        <v>2474</v>
      </c>
      <c r="C931" s="5">
        <v>8</v>
      </c>
      <c r="D931" s="6">
        <v>1250</v>
      </c>
      <c r="E931" s="17">
        <f>VLOOKUP(A931,'forecast data dump'!$A$1:$H$3450,4,FALSE)</f>
        <v>44620</v>
      </c>
      <c r="F931" s="17">
        <f>VLOOKUP(A931,'forecast data dump'!$A$1:$H$3450,5,FALSE)</f>
        <v>44631</v>
      </c>
      <c r="G931" s="42">
        <f>VLOOKUP(A931,'forecast data dump'!$A$1:$H$3450,8,FALSE)</f>
        <v>0</v>
      </c>
      <c r="H931" s="5" t="s">
        <v>3733</v>
      </c>
      <c r="I931" s="39">
        <f t="shared" si="304"/>
        <v>8</v>
      </c>
      <c r="J931" s="5"/>
      <c r="K931" s="5"/>
      <c r="L931" s="33">
        <f t="shared" si="305"/>
        <v>1250</v>
      </c>
      <c r="M931" s="33">
        <f t="shared" si="306"/>
        <v>1250</v>
      </c>
      <c r="N931" s="33">
        <f t="shared" si="307"/>
        <v>0</v>
      </c>
      <c r="T931">
        <v>1</v>
      </c>
      <c r="U931" s="29">
        <f t="shared" ref="U931:U994" si="308">O931*M931</f>
        <v>0</v>
      </c>
      <c r="V931" s="29">
        <f t="shared" ref="V931:V994" si="309">P931*M931</f>
        <v>0</v>
      </c>
      <c r="W931" s="29">
        <f t="shared" ref="W931:W994" si="310">Q931*M931</f>
        <v>0</v>
      </c>
      <c r="X931" s="29">
        <f t="shared" ref="X931:X994" si="311">R931*M931</f>
        <v>0</v>
      </c>
      <c r="Y931" s="29">
        <f t="shared" ref="Y931:Y994" si="312">S931*M931</f>
        <v>0</v>
      </c>
      <c r="Z931" s="29">
        <f t="shared" ref="Z931:Z994" si="313">T931*M931</f>
        <v>1250</v>
      </c>
    </row>
    <row r="932" spans="1:26" x14ac:dyDescent="0.3">
      <c r="A932" s="5" t="s">
        <v>2473</v>
      </c>
      <c r="B932" s="5" t="s">
        <v>2474</v>
      </c>
      <c r="C932" s="5">
        <v>8</v>
      </c>
      <c r="D932" s="6">
        <v>969</v>
      </c>
      <c r="E932" s="17">
        <f>VLOOKUP(A932,'forecast data dump'!$A$1:$H$3450,4,FALSE)</f>
        <v>44620</v>
      </c>
      <c r="F932" s="17">
        <f>VLOOKUP(A932,'forecast data dump'!$A$1:$H$3450,5,FALSE)</f>
        <v>44631</v>
      </c>
      <c r="G932" s="42">
        <f>VLOOKUP(A932,'forecast data dump'!$A$1:$H$3450,8,FALSE)</f>
        <v>0</v>
      </c>
      <c r="H932" s="5" t="s">
        <v>3742</v>
      </c>
      <c r="I932" s="39">
        <f t="shared" si="304"/>
        <v>8</v>
      </c>
      <c r="J932" s="5"/>
      <c r="K932" s="5"/>
      <c r="L932" s="33">
        <f t="shared" si="305"/>
        <v>969</v>
      </c>
      <c r="M932" s="33">
        <f t="shared" si="306"/>
        <v>969</v>
      </c>
      <c r="N932" s="33">
        <f t="shared" si="307"/>
        <v>0</v>
      </c>
      <c r="T932">
        <v>1</v>
      </c>
      <c r="U932" s="29">
        <f t="shared" si="308"/>
        <v>0</v>
      </c>
      <c r="V932" s="29">
        <f t="shared" si="309"/>
        <v>0</v>
      </c>
      <c r="W932" s="29">
        <f t="shared" si="310"/>
        <v>0</v>
      </c>
      <c r="X932" s="29">
        <f t="shared" si="311"/>
        <v>0</v>
      </c>
      <c r="Y932" s="29">
        <f t="shared" si="312"/>
        <v>0</v>
      </c>
      <c r="Z932" s="29">
        <f t="shared" si="313"/>
        <v>969</v>
      </c>
    </row>
    <row r="933" spans="1:26" x14ac:dyDescent="0.3">
      <c r="A933" s="5" t="s">
        <v>2473</v>
      </c>
      <c r="B933" s="5" t="s">
        <v>2474</v>
      </c>
      <c r="C933" s="5">
        <v>8</v>
      </c>
      <c r="D933" s="6">
        <v>969</v>
      </c>
      <c r="E933" s="17">
        <f>VLOOKUP(A933,'forecast data dump'!$A$1:$H$3450,4,FALSE)</f>
        <v>44620</v>
      </c>
      <c r="F933" s="17">
        <f>VLOOKUP(A933,'forecast data dump'!$A$1:$H$3450,5,FALSE)</f>
        <v>44631</v>
      </c>
      <c r="G933" s="42">
        <f>VLOOKUP(A933,'forecast data dump'!$A$1:$H$3450,8,FALSE)</f>
        <v>0</v>
      </c>
      <c r="H933" s="5" t="s">
        <v>3745</v>
      </c>
      <c r="I933" s="39">
        <f t="shared" si="304"/>
        <v>8</v>
      </c>
      <c r="J933" s="5"/>
      <c r="K933" s="5"/>
      <c r="L933" s="33">
        <f t="shared" si="305"/>
        <v>969</v>
      </c>
      <c r="M933" s="33">
        <f t="shared" si="306"/>
        <v>969</v>
      </c>
      <c r="N933" s="33">
        <f t="shared" si="307"/>
        <v>0</v>
      </c>
      <c r="T933">
        <v>1</v>
      </c>
      <c r="U933" s="29">
        <f t="shared" si="308"/>
        <v>0</v>
      </c>
      <c r="V933" s="29">
        <f t="shared" si="309"/>
        <v>0</v>
      </c>
      <c r="W933" s="29">
        <f t="shared" si="310"/>
        <v>0</v>
      </c>
      <c r="X933" s="29">
        <f t="shared" si="311"/>
        <v>0</v>
      </c>
      <c r="Y933" s="29">
        <f t="shared" si="312"/>
        <v>0</v>
      </c>
      <c r="Z933" s="29">
        <f t="shared" si="313"/>
        <v>969</v>
      </c>
    </row>
    <row r="934" spans="1:26" x14ac:dyDescent="0.3">
      <c r="A934" s="5" t="s">
        <v>2473</v>
      </c>
      <c r="B934" s="5" t="s">
        <v>2474</v>
      </c>
      <c r="C934" s="5">
        <v>8</v>
      </c>
      <c r="D934" s="6">
        <v>969</v>
      </c>
      <c r="E934" s="17">
        <f>VLOOKUP(A934,'forecast data dump'!$A$1:$H$3450,4,FALSE)</f>
        <v>44620</v>
      </c>
      <c r="F934" s="17">
        <f>VLOOKUP(A934,'forecast data dump'!$A$1:$H$3450,5,FALSE)</f>
        <v>44631</v>
      </c>
      <c r="G934" s="42">
        <f>VLOOKUP(A934,'forecast data dump'!$A$1:$H$3450,8,FALSE)</f>
        <v>0</v>
      </c>
      <c r="H934" s="5" t="s">
        <v>3741</v>
      </c>
      <c r="I934" s="39">
        <f t="shared" si="304"/>
        <v>8</v>
      </c>
      <c r="J934" s="5"/>
      <c r="K934" s="5"/>
      <c r="L934" s="33">
        <f t="shared" si="305"/>
        <v>969</v>
      </c>
      <c r="M934" s="33">
        <f t="shared" si="306"/>
        <v>969</v>
      </c>
      <c r="N934" s="33">
        <f t="shared" si="307"/>
        <v>0</v>
      </c>
      <c r="T934">
        <v>1</v>
      </c>
      <c r="U934" s="29">
        <f t="shared" si="308"/>
        <v>0</v>
      </c>
      <c r="V934" s="29">
        <f t="shared" si="309"/>
        <v>0</v>
      </c>
      <c r="W934" s="29">
        <f t="shared" si="310"/>
        <v>0</v>
      </c>
      <c r="X934" s="29">
        <f t="shared" si="311"/>
        <v>0</v>
      </c>
      <c r="Y934" s="29">
        <f t="shared" si="312"/>
        <v>0</v>
      </c>
      <c r="Z934" s="29">
        <f t="shared" si="313"/>
        <v>969</v>
      </c>
    </row>
    <row r="935" spans="1:26" x14ac:dyDescent="0.3">
      <c r="A935" s="5" t="s">
        <v>2475</v>
      </c>
      <c r="B935" s="5" t="s">
        <v>2476</v>
      </c>
      <c r="C935" s="5">
        <v>320</v>
      </c>
      <c r="D935" s="6">
        <v>58428</v>
      </c>
      <c r="E935" s="17">
        <f>VLOOKUP(A935,'forecast data dump'!$A$1:$H$3450,4,FALSE)</f>
        <v>44634</v>
      </c>
      <c r="F935" s="17">
        <f>VLOOKUP(A935,'forecast data dump'!$A$1:$H$3450,5,FALSE)</f>
        <v>44638</v>
      </c>
      <c r="G935" s="42">
        <f>VLOOKUP(A935,'forecast data dump'!$A$1:$H$3450,8,FALSE)</f>
        <v>0</v>
      </c>
      <c r="H935" s="5" t="s">
        <v>3740</v>
      </c>
      <c r="I935" s="39">
        <f t="shared" si="304"/>
        <v>320</v>
      </c>
      <c r="J935" s="5"/>
      <c r="K935" s="5"/>
      <c r="L935" s="33">
        <f t="shared" si="305"/>
        <v>58428</v>
      </c>
      <c r="M935" s="33">
        <f t="shared" si="306"/>
        <v>58428</v>
      </c>
      <c r="N935" s="33">
        <f t="shared" si="307"/>
        <v>0</v>
      </c>
      <c r="T935">
        <v>1</v>
      </c>
      <c r="U935" s="29">
        <f t="shared" si="308"/>
        <v>0</v>
      </c>
      <c r="V935" s="29">
        <f t="shared" si="309"/>
        <v>0</v>
      </c>
      <c r="W935" s="29">
        <f t="shared" si="310"/>
        <v>0</v>
      </c>
      <c r="X935" s="29">
        <f t="shared" si="311"/>
        <v>0</v>
      </c>
      <c r="Y935" s="29">
        <f t="shared" si="312"/>
        <v>0</v>
      </c>
      <c r="Z935" s="29">
        <f t="shared" si="313"/>
        <v>58428</v>
      </c>
    </row>
    <row r="936" spans="1:26" x14ac:dyDescent="0.3">
      <c r="A936" s="5" t="s">
        <v>2475</v>
      </c>
      <c r="B936" s="5" t="s">
        <v>2476</v>
      </c>
      <c r="C936" s="5">
        <v>160</v>
      </c>
      <c r="D936" s="6">
        <v>24997</v>
      </c>
      <c r="E936" s="17">
        <f>VLOOKUP(A936,'forecast data dump'!$A$1:$H$3450,4,FALSE)</f>
        <v>44634</v>
      </c>
      <c r="F936" s="17">
        <f>VLOOKUP(A936,'forecast data dump'!$A$1:$H$3450,5,FALSE)</f>
        <v>44638</v>
      </c>
      <c r="G936" s="42">
        <f>VLOOKUP(A936,'forecast data dump'!$A$1:$H$3450,8,FALSE)</f>
        <v>0</v>
      </c>
      <c r="H936" s="5" t="s">
        <v>3744</v>
      </c>
      <c r="I936" s="39">
        <f t="shared" si="304"/>
        <v>160</v>
      </c>
      <c r="J936" s="5"/>
      <c r="K936" s="5"/>
      <c r="L936" s="33">
        <f t="shared" si="305"/>
        <v>24997</v>
      </c>
      <c r="M936" s="33">
        <f t="shared" si="306"/>
        <v>24997</v>
      </c>
      <c r="N936" s="33">
        <f t="shared" si="307"/>
        <v>0</v>
      </c>
      <c r="T936">
        <v>1</v>
      </c>
      <c r="U936" s="29">
        <f t="shared" si="308"/>
        <v>0</v>
      </c>
      <c r="V936" s="29">
        <f t="shared" si="309"/>
        <v>0</v>
      </c>
      <c r="W936" s="29">
        <f t="shared" si="310"/>
        <v>0</v>
      </c>
      <c r="X936" s="29">
        <f t="shared" si="311"/>
        <v>0</v>
      </c>
      <c r="Y936" s="29">
        <f t="shared" si="312"/>
        <v>0</v>
      </c>
      <c r="Z936" s="29">
        <f t="shared" si="313"/>
        <v>24997</v>
      </c>
    </row>
    <row r="937" spans="1:26" x14ac:dyDescent="0.3">
      <c r="A937" s="5" t="s">
        <v>2475</v>
      </c>
      <c r="B937" s="5" t="s">
        <v>2476</v>
      </c>
      <c r="C937" s="5">
        <v>160</v>
      </c>
      <c r="D937" s="6">
        <v>19372</v>
      </c>
      <c r="E937" s="17">
        <f>VLOOKUP(A937,'forecast data dump'!$A$1:$H$3450,4,FALSE)</f>
        <v>44634</v>
      </c>
      <c r="F937" s="17">
        <f>VLOOKUP(A937,'forecast data dump'!$A$1:$H$3450,5,FALSE)</f>
        <v>44638</v>
      </c>
      <c r="G937" s="42">
        <f>VLOOKUP(A937,'forecast data dump'!$A$1:$H$3450,8,FALSE)</f>
        <v>0</v>
      </c>
      <c r="H937" s="5" t="s">
        <v>3742</v>
      </c>
      <c r="I937" s="39">
        <f t="shared" si="304"/>
        <v>160</v>
      </c>
      <c r="J937" s="5"/>
      <c r="K937" s="5"/>
      <c r="L937" s="33">
        <f t="shared" si="305"/>
        <v>19372</v>
      </c>
      <c r="M937" s="33">
        <f t="shared" si="306"/>
        <v>19372</v>
      </c>
      <c r="N937" s="33">
        <f t="shared" si="307"/>
        <v>0</v>
      </c>
      <c r="T937">
        <v>1</v>
      </c>
      <c r="U937" s="29">
        <f t="shared" si="308"/>
        <v>0</v>
      </c>
      <c r="V937" s="29">
        <f t="shared" si="309"/>
        <v>0</v>
      </c>
      <c r="W937" s="29">
        <f t="shared" si="310"/>
        <v>0</v>
      </c>
      <c r="X937" s="29">
        <f t="shared" si="311"/>
        <v>0</v>
      </c>
      <c r="Y937" s="29">
        <f t="shared" si="312"/>
        <v>0</v>
      </c>
      <c r="Z937" s="29">
        <f t="shared" si="313"/>
        <v>19372</v>
      </c>
    </row>
    <row r="938" spans="1:26" x14ac:dyDescent="0.3">
      <c r="A938" s="5" t="s">
        <v>2475</v>
      </c>
      <c r="B938" s="5" t="s">
        <v>2476</v>
      </c>
      <c r="C938" s="5">
        <v>32</v>
      </c>
      <c r="D938" s="6">
        <v>3874</v>
      </c>
      <c r="E938" s="17">
        <f>VLOOKUP(A938,'forecast data dump'!$A$1:$H$3450,4,FALSE)</f>
        <v>44634</v>
      </c>
      <c r="F938" s="17">
        <f>VLOOKUP(A938,'forecast data dump'!$A$1:$H$3450,5,FALSE)</f>
        <v>44638</v>
      </c>
      <c r="G938" s="42">
        <f>VLOOKUP(A938,'forecast data dump'!$A$1:$H$3450,8,FALSE)</f>
        <v>0</v>
      </c>
      <c r="H938" s="5" t="s">
        <v>3741</v>
      </c>
      <c r="I938" s="39">
        <f t="shared" si="304"/>
        <v>32</v>
      </c>
      <c r="J938" s="5"/>
      <c r="K938" s="5"/>
      <c r="L938" s="33">
        <f t="shared" si="305"/>
        <v>3874</v>
      </c>
      <c r="M938" s="33">
        <f t="shared" si="306"/>
        <v>3874</v>
      </c>
      <c r="N938" s="33">
        <f t="shared" si="307"/>
        <v>0</v>
      </c>
      <c r="T938">
        <v>1</v>
      </c>
      <c r="U938" s="29">
        <f t="shared" si="308"/>
        <v>0</v>
      </c>
      <c r="V938" s="29">
        <f t="shared" si="309"/>
        <v>0</v>
      </c>
      <c r="W938" s="29">
        <f t="shared" si="310"/>
        <v>0</v>
      </c>
      <c r="X938" s="29">
        <f t="shared" si="311"/>
        <v>0</v>
      </c>
      <c r="Y938" s="29">
        <f t="shared" si="312"/>
        <v>0</v>
      </c>
      <c r="Z938" s="29">
        <f t="shared" si="313"/>
        <v>3874</v>
      </c>
    </row>
    <row r="939" spans="1:26" x14ac:dyDescent="0.3">
      <c r="A939" s="5" t="s">
        <v>2477</v>
      </c>
      <c r="B939" s="5" t="s">
        <v>2478</v>
      </c>
      <c r="C939" s="5">
        <v>80000</v>
      </c>
      <c r="D939" s="6">
        <v>91034</v>
      </c>
      <c r="E939" s="17" t="str">
        <f>VLOOKUP(A939,'forecast data dump'!$A$1:$H$3450,4,FALSE)</f>
        <v>21-Jul-21*</v>
      </c>
      <c r="F939" s="17">
        <f>VLOOKUP(A939,'forecast data dump'!$A$1:$H$3450,5,FALSE)</f>
        <v>44483</v>
      </c>
      <c r="G939" s="42">
        <f>VLOOKUP(A939,'forecast data dump'!$A$1:$H$3450,8,FALSE)</f>
        <v>0</v>
      </c>
      <c r="H939" s="5" t="s">
        <v>3762</v>
      </c>
      <c r="I939" s="39">
        <f t="shared" si="304"/>
        <v>80000</v>
      </c>
      <c r="J939" s="5"/>
      <c r="K939" s="5"/>
      <c r="L939" s="33">
        <f t="shared" si="305"/>
        <v>91034</v>
      </c>
      <c r="M939" s="33">
        <f t="shared" si="306"/>
        <v>91034</v>
      </c>
      <c r="N939" s="33">
        <f t="shared" si="307"/>
        <v>0</v>
      </c>
      <c r="O939">
        <v>1</v>
      </c>
      <c r="U939" s="29">
        <f t="shared" si="308"/>
        <v>91034</v>
      </c>
      <c r="V939" s="29">
        <f t="shared" si="309"/>
        <v>0</v>
      </c>
      <c r="W939" s="29">
        <f t="shared" si="310"/>
        <v>0</v>
      </c>
      <c r="X939" s="29">
        <f t="shared" si="311"/>
        <v>0</v>
      </c>
      <c r="Y939" s="29">
        <f t="shared" si="312"/>
        <v>0</v>
      </c>
      <c r="Z939" s="29">
        <f t="shared" si="313"/>
        <v>0</v>
      </c>
    </row>
    <row r="940" spans="1:26" x14ac:dyDescent="0.3">
      <c r="A940" s="5" t="s">
        <v>2481</v>
      </c>
      <c r="B940" s="5" t="s">
        <v>2482</v>
      </c>
      <c r="C940" s="5">
        <v>500</v>
      </c>
      <c r="D940" s="6">
        <v>580</v>
      </c>
      <c r="E940" s="17">
        <f>VLOOKUP(A940,'forecast data dump'!$A$1:$H$3450,4,FALSE)</f>
        <v>44545</v>
      </c>
      <c r="F940" s="17">
        <f>VLOOKUP(A940,'forecast data dump'!$A$1:$H$3450,5,FALSE)</f>
        <v>44550</v>
      </c>
      <c r="G940" s="42">
        <f>VLOOKUP(A940,'forecast data dump'!$A$1:$H$3450,8,FALSE)</f>
        <v>0</v>
      </c>
      <c r="H940" s="5" t="s">
        <v>3762</v>
      </c>
      <c r="I940" s="39">
        <f t="shared" si="304"/>
        <v>500</v>
      </c>
      <c r="J940" s="5"/>
      <c r="K940" s="5"/>
      <c r="L940" s="33">
        <f t="shared" si="305"/>
        <v>580</v>
      </c>
      <c r="M940" s="33">
        <f t="shared" si="306"/>
        <v>580</v>
      </c>
      <c r="N940" s="33">
        <f t="shared" si="307"/>
        <v>0</v>
      </c>
      <c r="Q940">
        <v>1</v>
      </c>
      <c r="U940" s="29">
        <f t="shared" si="308"/>
        <v>0</v>
      </c>
      <c r="V940" s="29">
        <f t="shared" si="309"/>
        <v>0</v>
      </c>
      <c r="W940" s="29">
        <f t="shared" si="310"/>
        <v>580</v>
      </c>
      <c r="X940" s="29">
        <f t="shared" si="311"/>
        <v>0</v>
      </c>
      <c r="Y940" s="29">
        <f t="shared" si="312"/>
        <v>0</v>
      </c>
      <c r="Z940" s="29">
        <f t="shared" si="313"/>
        <v>0</v>
      </c>
    </row>
    <row r="941" spans="1:26" x14ac:dyDescent="0.3">
      <c r="A941" s="5" t="s">
        <v>2483</v>
      </c>
      <c r="B941" s="5" t="s">
        <v>2484</v>
      </c>
      <c r="C941" s="5">
        <v>500</v>
      </c>
      <c r="D941" s="6">
        <v>580</v>
      </c>
      <c r="E941" s="17">
        <f>VLOOKUP(A941,'forecast data dump'!$A$1:$H$3450,4,FALSE)</f>
        <v>44551</v>
      </c>
      <c r="F941" s="17">
        <f>VLOOKUP(A941,'forecast data dump'!$A$1:$H$3450,5,FALSE)</f>
        <v>44557</v>
      </c>
      <c r="G941" s="42">
        <f>VLOOKUP(A941,'forecast data dump'!$A$1:$H$3450,8,FALSE)</f>
        <v>0</v>
      </c>
      <c r="H941" s="5" t="s">
        <v>3762</v>
      </c>
      <c r="I941" s="39">
        <f t="shared" si="304"/>
        <v>500</v>
      </c>
      <c r="J941" s="5"/>
      <c r="K941" s="5"/>
      <c r="L941" s="33">
        <f t="shared" si="305"/>
        <v>580</v>
      </c>
      <c r="M941" s="33">
        <f t="shared" si="306"/>
        <v>580</v>
      </c>
      <c r="N941" s="33">
        <f t="shared" si="307"/>
        <v>0</v>
      </c>
      <c r="Q941">
        <v>1</v>
      </c>
      <c r="U941" s="29">
        <f t="shared" si="308"/>
        <v>0</v>
      </c>
      <c r="V941" s="29">
        <f t="shared" si="309"/>
        <v>0</v>
      </c>
      <c r="W941" s="29">
        <f t="shared" si="310"/>
        <v>580</v>
      </c>
      <c r="X941" s="29">
        <f t="shared" si="311"/>
        <v>0</v>
      </c>
      <c r="Y941" s="29">
        <f t="shared" si="312"/>
        <v>0</v>
      </c>
      <c r="Z941" s="29">
        <f t="shared" si="313"/>
        <v>0</v>
      </c>
    </row>
    <row r="942" spans="1:26" x14ac:dyDescent="0.3">
      <c r="A942" s="5" t="s">
        <v>2485</v>
      </c>
      <c r="B942" s="5" t="s">
        <v>2486</v>
      </c>
      <c r="C942" s="5">
        <v>500</v>
      </c>
      <c r="D942" s="6">
        <v>592</v>
      </c>
      <c r="E942" s="17">
        <f>VLOOKUP(A942,'forecast data dump'!$A$1:$H$3450,4,FALSE)</f>
        <v>44558</v>
      </c>
      <c r="F942" s="17">
        <f>VLOOKUP(A942,'forecast data dump'!$A$1:$H$3450,5,FALSE)</f>
        <v>44559</v>
      </c>
      <c r="G942" s="42">
        <f>VLOOKUP(A942,'forecast data dump'!$A$1:$H$3450,8,FALSE)</f>
        <v>0</v>
      </c>
      <c r="H942" s="5" t="s">
        <v>3762</v>
      </c>
      <c r="I942" s="39">
        <f t="shared" si="304"/>
        <v>500</v>
      </c>
      <c r="J942" s="5"/>
      <c r="K942" s="5"/>
      <c r="L942" s="33">
        <f t="shared" si="305"/>
        <v>592</v>
      </c>
      <c r="M942" s="33">
        <f t="shared" si="306"/>
        <v>592</v>
      </c>
      <c r="N942" s="33">
        <f t="shared" si="307"/>
        <v>0</v>
      </c>
      <c r="Q942">
        <v>1</v>
      </c>
      <c r="U942" s="29">
        <f t="shared" si="308"/>
        <v>0</v>
      </c>
      <c r="V942" s="29">
        <f t="shared" si="309"/>
        <v>0</v>
      </c>
      <c r="W942" s="29">
        <f t="shared" si="310"/>
        <v>592</v>
      </c>
      <c r="X942" s="29">
        <f t="shared" si="311"/>
        <v>0</v>
      </c>
      <c r="Y942" s="29">
        <f t="shared" si="312"/>
        <v>0</v>
      </c>
      <c r="Z942" s="29">
        <f t="shared" si="313"/>
        <v>0</v>
      </c>
    </row>
    <row r="943" spans="1:26" x14ac:dyDescent="0.3">
      <c r="A943" s="5" t="s">
        <v>2487</v>
      </c>
      <c r="B943" s="5" t="s">
        <v>2488</v>
      </c>
      <c r="C943" s="5">
        <v>500</v>
      </c>
      <c r="D943" s="6">
        <v>592</v>
      </c>
      <c r="E943" s="17">
        <f>VLOOKUP(A943,'forecast data dump'!$A$1:$H$3450,4,FALSE)</f>
        <v>44560</v>
      </c>
      <c r="F943" s="17">
        <f>VLOOKUP(A943,'forecast data dump'!$A$1:$H$3450,5,FALSE)</f>
        <v>44564</v>
      </c>
      <c r="G943" s="42">
        <f>VLOOKUP(A943,'forecast data dump'!$A$1:$H$3450,8,FALSE)</f>
        <v>0</v>
      </c>
      <c r="H943" s="5" t="s">
        <v>3762</v>
      </c>
      <c r="I943" s="39">
        <f t="shared" si="304"/>
        <v>500</v>
      </c>
      <c r="J943" s="5"/>
      <c r="K943" s="5"/>
      <c r="L943" s="33">
        <f t="shared" si="305"/>
        <v>592</v>
      </c>
      <c r="M943" s="33">
        <f t="shared" si="306"/>
        <v>592</v>
      </c>
      <c r="N943" s="33">
        <f t="shared" si="307"/>
        <v>0</v>
      </c>
      <c r="Q943">
        <v>1</v>
      </c>
      <c r="U943" s="29">
        <f t="shared" si="308"/>
        <v>0</v>
      </c>
      <c r="V943" s="29">
        <f t="shared" si="309"/>
        <v>0</v>
      </c>
      <c r="W943" s="29">
        <f t="shared" si="310"/>
        <v>592</v>
      </c>
      <c r="X943" s="29">
        <f t="shared" si="311"/>
        <v>0</v>
      </c>
      <c r="Y943" s="29">
        <f t="shared" si="312"/>
        <v>0</v>
      </c>
      <c r="Z943" s="29">
        <f t="shared" si="313"/>
        <v>0</v>
      </c>
    </row>
    <row r="944" spans="1:26" x14ac:dyDescent="0.3">
      <c r="A944" s="5" t="s">
        <v>2489</v>
      </c>
      <c r="B944" s="5" t="s">
        <v>2490</v>
      </c>
      <c r="C944" s="5">
        <v>500</v>
      </c>
      <c r="D944" s="6">
        <v>592</v>
      </c>
      <c r="E944" s="17">
        <f>VLOOKUP(A944,'forecast data dump'!$A$1:$H$3450,4,FALSE)</f>
        <v>44565</v>
      </c>
      <c r="F944" s="17">
        <f>VLOOKUP(A944,'forecast data dump'!$A$1:$H$3450,5,FALSE)</f>
        <v>44566</v>
      </c>
      <c r="G944" s="42">
        <f>VLOOKUP(A944,'forecast data dump'!$A$1:$H$3450,8,FALSE)</f>
        <v>0</v>
      </c>
      <c r="H944" s="5" t="s">
        <v>3762</v>
      </c>
      <c r="I944" s="39">
        <f t="shared" si="304"/>
        <v>500</v>
      </c>
      <c r="J944" s="5"/>
      <c r="K944" s="5"/>
      <c r="L944" s="33">
        <f t="shared" si="305"/>
        <v>592</v>
      </c>
      <c r="M944" s="33">
        <f t="shared" si="306"/>
        <v>592</v>
      </c>
      <c r="N944" s="33">
        <f t="shared" si="307"/>
        <v>0</v>
      </c>
      <c r="Q944">
        <v>1</v>
      </c>
      <c r="U944" s="29">
        <f t="shared" si="308"/>
        <v>0</v>
      </c>
      <c r="V944" s="29">
        <f t="shared" si="309"/>
        <v>0</v>
      </c>
      <c r="W944" s="29">
        <f t="shared" si="310"/>
        <v>592</v>
      </c>
      <c r="X944" s="29">
        <f t="shared" si="311"/>
        <v>0</v>
      </c>
      <c r="Y944" s="29">
        <f t="shared" si="312"/>
        <v>0</v>
      </c>
      <c r="Z944" s="29">
        <f t="shared" si="313"/>
        <v>0</v>
      </c>
    </row>
    <row r="945" spans="1:26" x14ac:dyDescent="0.3">
      <c r="A945" s="5" t="s">
        <v>2491</v>
      </c>
      <c r="B945" s="5" t="s">
        <v>2492</v>
      </c>
      <c r="C945" s="5">
        <v>500</v>
      </c>
      <c r="D945" s="6">
        <v>592</v>
      </c>
      <c r="E945" s="17">
        <f>VLOOKUP(A945,'forecast data dump'!$A$1:$H$3450,4,FALSE)</f>
        <v>44567</v>
      </c>
      <c r="F945" s="17">
        <f>VLOOKUP(A945,'forecast data dump'!$A$1:$H$3450,5,FALSE)</f>
        <v>44573</v>
      </c>
      <c r="G945" s="42">
        <f>VLOOKUP(A945,'forecast data dump'!$A$1:$H$3450,8,FALSE)</f>
        <v>0</v>
      </c>
      <c r="H945" s="5" t="s">
        <v>3762</v>
      </c>
      <c r="I945" s="39">
        <f t="shared" si="304"/>
        <v>500</v>
      </c>
      <c r="J945" s="5"/>
      <c r="K945" s="5"/>
      <c r="L945" s="33">
        <f t="shared" si="305"/>
        <v>592</v>
      </c>
      <c r="M945" s="33">
        <f t="shared" si="306"/>
        <v>592</v>
      </c>
      <c r="N945" s="33">
        <f t="shared" si="307"/>
        <v>0</v>
      </c>
      <c r="Q945">
        <v>1</v>
      </c>
      <c r="U945" s="29">
        <f t="shared" si="308"/>
        <v>0</v>
      </c>
      <c r="V945" s="29">
        <f t="shared" si="309"/>
        <v>0</v>
      </c>
      <c r="W945" s="29">
        <f t="shared" si="310"/>
        <v>592</v>
      </c>
      <c r="X945" s="29">
        <f t="shared" si="311"/>
        <v>0</v>
      </c>
      <c r="Y945" s="29">
        <f t="shared" si="312"/>
        <v>0</v>
      </c>
      <c r="Z945" s="29">
        <f t="shared" si="313"/>
        <v>0</v>
      </c>
    </row>
    <row r="946" spans="1:26" x14ac:dyDescent="0.3">
      <c r="A946" s="5" t="s">
        <v>2493</v>
      </c>
      <c r="B946" s="5" t="s">
        <v>2494</v>
      </c>
      <c r="C946" s="5">
        <v>500</v>
      </c>
      <c r="D946" s="6">
        <v>592</v>
      </c>
      <c r="E946" s="17">
        <f>VLOOKUP(A946,'forecast data dump'!$A$1:$H$3450,4,FALSE)</f>
        <v>44574</v>
      </c>
      <c r="F946" s="17">
        <f>VLOOKUP(A946,'forecast data dump'!$A$1:$H$3450,5,FALSE)</f>
        <v>44602</v>
      </c>
      <c r="G946" s="42">
        <f>VLOOKUP(A946,'forecast data dump'!$A$1:$H$3450,8,FALSE)</f>
        <v>0</v>
      </c>
      <c r="H946" s="5" t="s">
        <v>3762</v>
      </c>
      <c r="I946" s="39">
        <f t="shared" si="304"/>
        <v>500</v>
      </c>
      <c r="J946" s="5"/>
      <c r="K946" s="5"/>
      <c r="L946" s="33">
        <f t="shared" si="305"/>
        <v>592</v>
      </c>
      <c r="M946" s="33">
        <f t="shared" si="306"/>
        <v>592</v>
      </c>
      <c r="N946" s="33">
        <f t="shared" si="307"/>
        <v>0</v>
      </c>
      <c r="Q946">
        <v>1</v>
      </c>
      <c r="U946" s="29">
        <f t="shared" si="308"/>
        <v>0</v>
      </c>
      <c r="V946" s="29">
        <f t="shared" si="309"/>
        <v>0</v>
      </c>
      <c r="W946" s="29">
        <f t="shared" si="310"/>
        <v>592</v>
      </c>
      <c r="X946" s="29">
        <f t="shared" si="311"/>
        <v>0</v>
      </c>
      <c r="Y946" s="29">
        <f t="shared" si="312"/>
        <v>0</v>
      </c>
      <c r="Z946" s="29">
        <f t="shared" si="313"/>
        <v>0</v>
      </c>
    </row>
    <row r="947" spans="1:26" x14ac:dyDescent="0.3">
      <c r="A947" s="5" t="s">
        <v>2495</v>
      </c>
      <c r="B947" s="5" t="s">
        <v>2496</v>
      </c>
      <c r="C947" s="5">
        <v>500</v>
      </c>
      <c r="D947" s="6">
        <v>592</v>
      </c>
      <c r="E947" s="17">
        <f>VLOOKUP(A947,'forecast data dump'!$A$1:$H$3450,4,FALSE)</f>
        <v>44634</v>
      </c>
      <c r="F947" s="17">
        <f>VLOOKUP(A947,'forecast data dump'!$A$1:$H$3450,5,FALSE)</f>
        <v>44638</v>
      </c>
      <c r="G947" s="42">
        <f>VLOOKUP(A947,'forecast data dump'!$A$1:$H$3450,8,FALSE)</f>
        <v>0</v>
      </c>
      <c r="H947" s="5" t="s">
        <v>3762</v>
      </c>
      <c r="I947" s="39">
        <f t="shared" si="304"/>
        <v>500</v>
      </c>
      <c r="J947" s="5"/>
      <c r="K947" s="5"/>
      <c r="L947" s="33">
        <f t="shared" si="305"/>
        <v>592</v>
      </c>
      <c r="M947" s="33">
        <f t="shared" si="306"/>
        <v>592</v>
      </c>
      <c r="N947" s="33">
        <f t="shared" si="307"/>
        <v>0</v>
      </c>
      <c r="Q947">
        <v>1</v>
      </c>
      <c r="U947" s="29">
        <f t="shared" si="308"/>
        <v>0</v>
      </c>
      <c r="V947" s="29">
        <f t="shared" si="309"/>
        <v>0</v>
      </c>
      <c r="W947" s="29">
        <f t="shared" si="310"/>
        <v>592</v>
      </c>
      <c r="X947" s="29">
        <f t="shared" si="311"/>
        <v>0</v>
      </c>
      <c r="Y947" s="29">
        <f t="shared" si="312"/>
        <v>0</v>
      </c>
      <c r="Z947" s="29">
        <f t="shared" si="313"/>
        <v>0</v>
      </c>
    </row>
    <row r="948" spans="1:26" x14ac:dyDescent="0.3">
      <c r="A948" s="5" t="s">
        <v>2497</v>
      </c>
      <c r="B948" s="5" t="s">
        <v>2498</v>
      </c>
      <c r="C948" s="5">
        <v>60</v>
      </c>
      <c r="D948" s="6">
        <v>8836</v>
      </c>
      <c r="E948" s="17" t="str">
        <f>VLOOKUP(A948,'forecast data dump'!$A$1:$H$3450,4,FALSE)</f>
        <v>01-Oct-19 A</v>
      </c>
      <c r="F948" s="17">
        <f>VLOOKUP(A948,'forecast data dump'!$A$1:$H$3450,5,FALSE)</f>
        <v>44397</v>
      </c>
      <c r="G948" s="42">
        <f>VLOOKUP(A948,'forecast data dump'!$A$1:$H$3450,8,FALSE)</f>
        <v>0.95</v>
      </c>
      <c r="H948" s="5" t="s">
        <v>3733</v>
      </c>
      <c r="I948" s="39">
        <f t="shared" si="304"/>
        <v>3.0000000000000027</v>
      </c>
      <c r="J948" s="5"/>
      <c r="K948" s="5"/>
      <c r="L948" s="33">
        <f t="shared" si="305"/>
        <v>441.80000000000041</v>
      </c>
      <c r="M948" s="33">
        <f t="shared" si="306"/>
        <v>441.80000000000041</v>
      </c>
      <c r="N948" s="33">
        <f t="shared" si="307"/>
        <v>0</v>
      </c>
      <c r="R948">
        <v>1</v>
      </c>
      <c r="U948" s="29">
        <f t="shared" si="308"/>
        <v>0</v>
      </c>
      <c r="V948" s="29">
        <f t="shared" si="309"/>
        <v>0</v>
      </c>
      <c r="W948" s="29">
        <f t="shared" si="310"/>
        <v>0</v>
      </c>
      <c r="X948" s="29">
        <f t="shared" si="311"/>
        <v>441.80000000000041</v>
      </c>
      <c r="Y948" s="29">
        <f t="shared" si="312"/>
        <v>0</v>
      </c>
      <c r="Z948" s="29">
        <f t="shared" si="313"/>
        <v>0</v>
      </c>
    </row>
    <row r="949" spans="1:26" x14ac:dyDescent="0.3">
      <c r="A949" s="5" t="s">
        <v>2497</v>
      </c>
      <c r="B949" s="5" t="s">
        <v>2498</v>
      </c>
      <c r="C949" s="5">
        <v>120</v>
      </c>
      <c r="D949" s="6">
        <v>13695</v>
      </c>
      <c r="E949" s="17" t="str">
        <f>VLOOKUP(A949,'forecast data dump'!$A$1:$H$3450,4,FALSE)</f>
        <v>01-Oct-19 A</v>
      </c>
      <c r="F949" s="17">
        <f>VLOOKUP(A949,'forecast data dump'!$A$1:$H$3450,5,FALSE)</f>
        <v>44397</v>
      </c>
      <c r="G949" s="42">
        <f>VLOOKUP(A949,'forecast data dump'!$A$1:$H$3450,8,FALSE)</f>
        <v>0.95</v>
      </c>
      <c r="H949" s="5" t="s">
        <v>3745</v>
      </c>
      <c r="I949" s="39">
        <f t="shared" si="304"/>
        <v>6.0000000000000053</v>
      </c>
      <c r="J949" s="5"/>
      <c r="K949" s="5"/>
      <c r="L949" s="33">
        <f t="shared" si="305"/>
        <v>684.75000000000057</v>
      </c>
      <c r="M949" s="33">
        <f t="shared" si="306"/>
        <v>684.75000000000057</v>
      </c>
      <c r="N949" s="33">
        <f t="shared" si="307"/>
        <v>0</v>
      </c>
      <c r="R949">
        <v>1</v>
      </c>
      <c r="U949" s="29">
        <f t="shared" si="308"/>
        <v>0</v>
      </c>
      <c r="V949" s="29">
        <f t="shared" si="309"/>
        <v>0</v>
      </c>
      <c r="W949" s="29">
        <f t="shared" si="310"/>
        <v>0</v>
      </c>
      <c r="X949" s="29">
        <f t="shared" si="311"/>
        <v>684.75000000000057</v>
      </c>
      <c r="Y949" s="29">
        <f t="shared" si="312"/>
        <v>0</v>
      </c>
      <c r="Z949" s="29">
        <f t="shared" si="313"/>
        <v>0</v>
      </c>
    </row>
    <row r="950" spans="1:26" x14ac:dyDescent="0.3">
      <c r="A950" s="5" t="s">
        <v>2500</v>
      </c>
      <c r="B950" s="5" t="s">
        <v>2501</v>
      </c>
      <c r="C950" s="5">
        <v>80</v>
      </c>
      <c r="D950" s="6">
        <v>10615</v>
      </c>
      <c r="E950" s="17">
        <f>VLOOKUP(A950,'forecast data dump'!$A$1:$H$3450,4,FALSE)</f>
        <v>44567</v>
      </c>
      <c r="F950" s="17">
        <f>VLOOKUP(A950,'forecast data dump'!$A$1:$H$3450,5,FALSE)</f>
        <v>44573</v>
      </c>
      <c r="G950" s="42">
        <f>VLOOKUP(A950,'forecast data dump'!$A$1:$H$3450,8,FALSE)</f>
        <v>0</v>
      </c>
      <c r="H950" s="5" t="s">
        <v>3752</v>
      </c>
      <c r="I950" s="39">
        <f t="shared" si="304"/>
        <v>80</v>
      </c>
      <c r="J950" s="5"/>
      <c r="K950" s="5"/>
      <c r="L950" s="33">
        <f t="shared" si="305"/>
        <v>10615</v>
      </c>
      <c r="M950" s="33">
        <f t="shared" si="306"/>
        <v>10615</v>
      </c>
      <c r="N950" s="33">
        <f t="shared" si="307"/>
        <v>0</v>
      </c>
      <c r="T950">
        <v>1</v>
      </c>
      <c r="U950" s="29">
        <f t="shared" si="308"/>
        <v>0</v>
      </c>
      <c r="V950" s="29">
        <f t="shared" si="309"/>
        <v>0</v>
      </c>
      <c r="W950" s="29">
        <f t="shared" si="310"/>
        <v>0</v>
      </c>
      <c r="X950" s="29">
        <f t="shared" si="311"/>
        <v>0</v>
      </c>
      <c r="Y950" s="29">
        <f t="shared" si="312"/>
        <v>0</v>
      </c>
      <c r="Z950" s="29">
        <f t="shared" si="313"/>
        <v>10615</v>
      </c>
    </row>
    <row r="951" spans="1:26" x14ac:dyDescent="0.3">
      <c r="A951" s="5" t="s">
        <v>2500</v>
      </c>
      <c r="B951" s="5" t="s">
        <v>2501</v>
      </c>
      <c r="C951" s="5">
        <v>60</v>
      </c>
      <c r="D951" s="6">
        <v>7264</v>
      </c>
      <c r="E951" s="17">
        <f>VLOOKUP(A951,'forecast data dump'!$A$1:$H$3450,4,FALSE)</f>
        <v>44567</v>
      </c>
      <c r="F951" s="17">
        <f>VLOOKUP(A951,'forecast data dump'!$A$1:$H$3450,5,FALSE)</f>
        <v>44573</v>
      </c>
      <c r="G951" s="42">
        <f>VLOOKUP(A951,'forecast data dump'!$A$1:$H$3450,8,FALSE)</f>
        <v>0</v>
      </c>
      <c r="H951" s="5" t="s">
        <v>3759</v>
      </c>
      <c r="I951" s="39">
        <f t="shared" si="304"/>
        <v>60</v>
      </c>
      <c r="J951" s="5"/>
      <c r="K951" s="5"/>
      <c r="L951" s="33">
        <f t="shared" si="305"/>
        <v>7264</v>
      </c>
      <c r="M951" s="33">
        <f t="shared" si="306"/>
        <v>7264</v>
      </c>
      <c r="N951" s="33">
        <f t="shared" si="307"/>
        <v>0</v>
      </c>
      <c r="T951">
        <v>1</v>
      </c>
      <c r="U951" s="29">
        <f t="shared" si="308"/>
        <v>0</v>
      </c>
      <c r="V951" s="29">
        <f t="shared" si="309"/>
        <v>0</v>
      </c>
      <c r="W951" s="29">
        <f t="shared" si="310"/>
        <v>0</v>
      </c>
      <c r="X951" s="29">
        <f t="shared" si="311"/>
        <v>0</v>
      </c>
      <c r="Y951" s="29">
        <f t="shared" si="312"/>
        <v>0</v>
      </c>
      <c r="Z951" s="29">
        <f t="shared" si="313"/>
        <v>7264</v>
      </c>
    </row>
    <row r="952" spans="1:26" x14ac:dyDescent="0.3">
      <c r="A952" s="5" t="s">
        <v>2500</v>
      </c>
      <c r="B952" s="5" t="s">
        <v>2501</v>
      </c>
      <c r="C952" s="5">
        <v>60</v>
      </c>
      <c r="D952" s="6">
        <v>8313</v>
      </c>
      <c r="E952" s="17">
        <f>VLOOKUP(A952,'forecast data dump'!$A$1:$H$3450,4,FALSE)</f>
        <v>44567</v>
      </c>
      <c r="F952" s="17">
        <f>VLOOKUP(A952,'forecast data dump'!$A$1:$H$3450,5,FALSE)</f>
        <v>44573</v>
      </c>
      <c r="G952" s="42">
        <f>VLOOKUP(A952,'forecast data dump'!$A$1:$H$3450,8,FALSE)</f>
        <v>0</v>
      </c>
      <c r="H952" s="5" t="s">
        <v>3765</v>
      </c>
      <c r="I952" s="39">
        <f t="shared" si="304"/>
        <v>60</v>
      </c>
      <c r="J952" s="5"/>
      <c r="K952" s="5"/>
      <c r="L952" s="33">
        <f t="shared" si="305"/>
        <v>8313</v>
      </c>
      <c r="M952" s="33">
        <f t="shared" si="306"/>
        <v>8313</v>
      </c>
      <c r="N952" s="33">
        <f t="shared" si="307"/>
        <v>0</v>
      </c>
      <c r="T952">
        <v>1</v>
      </c>
      <c r="U952" s="29">
        <f t="shared" si="308"/>
        <v>0</v>
      </c>
      <c r="V952" s="29">
        <f t="shared" si="309"/>
        <v>0</v>
      </c>
      <c r="W952" s="29">
        <f t="shared" si="310"/>
        <v>0</v>
      </c>
      <c r="X952" s="29">
        <f t="shared" si="311"/>
        <v>0</v>
      </c>
      <c r="Y952" s="29">
        <f t="shared" si="312"/>
        <v>0</v>
      </c>
      <c r="Z952" s="29">
        <f t="shared" si="313"/>
        <v>8313</v>
      </c>
    </row>
    <row r="953" spans="1:26" x14ac:dyDescent="0.3">
      <c r="A953" s="5" t="s">
        <v>2504</v>
      </c>
      <c r="B953" s="5" t="s">
        <v>2505</v>
      </c>
      <c r="C953" s="5">
        <v>8</v>
      </c>
      <c r="D953" s="6">
        <v>1250</v>
      </c>
      <c r="E953" s="17">
        <f>VLOOKUP(A953,'forecast data dump'!$A$1:$H$3450,4,FALSE)</f>
        <v>44560</v>
      </c>
      <c r="F953" s="17">
        <f>VLOOKUP(A953,'forecast data dump'!$A$1:$H$3450,5,FALSE)</f>
        <v>44564</v>
      </c>
      <c r="G953" s="42">
        <f>VLOOKUP(A953,'forecast data dump'!$A$1:$H$3450,8,FALSE)</f>
        <v>0</v>
      </c>
      <c r="H953" s="5" t="s">
        <v>3733</v>
      </c>
      <c r="I953" s="39">
        <f t="shared" si="304"/>
        <v>8</v>
      </c>
      <c r="J953" s="5"/>
      <c r="K953" s="5"/>
      <c r="L953" s="33">
        <f t="shared" si="305"/>
        <v>1250</v>
      </c>
      <c r="M953" s="33">
        <f t="shared" si="306"/>
        <v>1250</v>
      </c>
      <c r="N953" s="33">
        <f t="shared" si="307"/>
        <v>0</v>
      </c>
      <c r="T953">
        <v>1</v>
      </c>
      <c r="U953" s="29">
        <f t="shared" si="308"/>
        <v>0</v>
      </c>
      <c r="V953" s="29">
        <f t="shared" si="309"/>
        <v>0</v>
      </c>
      <c r="W953" s="29">
        <f t="shared" si="310"/>
        <v>0</v>
      </c>
      <c r="X953" s="29">
        <f t="shared" si="311"/>
        <v>0</v>
      </c>
      <c r="Y953" s="29">
        <f t="shared" si="312"/>
        <v>0</v>
      </c>
      <c r="Z953" s="29">
        <f t="shared" si="313"/>
        <v>1250</v>
      </c>
    </row>
    <row r="954" spans="1:26" x14ac:dyDescent="0.3">
      <c r="A954" s="5" t="s">
        <v>2504</v>
      </c>
      <c r="B954" s="5" t="s">
        <v>2505</v>
      </c>
      <c r="C954" s="5">
        <v>2</v>
      </c>
      <c r="D954" s="6">
        <v>242</v>
      </c>
      <c r="E954" s="17">
        <f>VLOOKUP(A954,'forecast data dump'!$A$1:$H$3450,4,FALSE)</f>
        <v>44560</v>
      </c>
      <c r="F954" s="17">
        <f>VLOOKUP(A954,'forecast data dump'!$A$1:$H$3450,5,FALSE)</f>
        <v>44564</v>
      </c>
      <c r="G954" s="42">
        <f>VLOOKUP(A954,'forecast data dump'!$A$1:$H$3450,8,FALSE)</f>
        <v>0</v>
      </c>
      <c r="H954" s="5" t="s">
        <v>3745</v>
      </c>
      <c r="I954" s="39">
        <f t="shared" si="304"/>
        <v>2</v>
      </c>
      <c r="J954" s="5"/>
      <c r="K954" s="5"/>
      <c r="L954" s="33">
        <f t="shared" si="305"/>
        <v>242</v>
      </c>
      <c r="M954" s="33">
        <f t="shared" si="306"/>
        <v>242</v>
      </c>
      <c r="N954" s="33">
        <f t="shared" si="307"/>
        <v>0</v>
      </c>
      <c r="T954">
        <v>1</v>
      </c>
      <c r="U954" s="29">
        <f t="shared" si="308"/>
        <v>0</v>
      </c>
      <c r="V954" s="29">
        <f t="shared" si="309"/>
        <v>0</v>
      </c>
      <c r="W954" s="29">
        <f t="shared" si="310"/>
        <v>0</v>
      </c>
      <c r="X954" s="29">
        <f t="shared" si="311"/>
        <v>0</v>
      </c>
      <c r="Y954" s="29">
        <f t="shared" si="312"/>
        <v>0</v>
      </c>
      <c r="Z954" s="29">
        <f t="shared" si="313"/>
        <v>242</v>
      </c>
    </row>
    <row r="955" spans="1:26" x14ac:dyDescent="0.3">
      <c r="A955" s="5" t="s">
        <v>2504</v>
      </c>
      <c r="B955" s="5" t="s">
        <v>2505</v>
      </c>
      <c r="C955" s="5">
        <v>32</v>
      </c>
      <c r="D955" s="6">
        <v>3874</v>
      </c>
      <c r="E955" s="17">
        <f>VLOOKUP(A955,'forecast data dump'!$A$1:$H$3450,4,FALSE)</f>
        <v>44560</v>
      </c>
      <c r="F955" s="17">
        <f>VLOOKUP(A955,'forecast data dump'!$A$1:$H$3450,5,FALSE)</f>
        <v>44564</v>
      </c>
      <c r="G955" s="42">
        <f>VLOOKUP(A955,'forecast data dump'!$A$1:$H$3450,8,FALSE)</f>
        <v>0</v>
      </c>
      <c r="H955" s="5" t="s">
        <v>3741</v>
      </c>
      <c r="I955" s="39">
        <f t="shared" si="304"/>
        <v>32</v>
      </c>
      <c r="J955" s="5"/>
      <c r="K955" s="5"/>
      <c r="L955" s="33">
        <f t="shared" si="305"/>
        <v>3874</v>
      </c>
      <c r="M955" s="33">
        <f t="shared" si="306"/>
        <v>3874</v>
      </c>
      <c r="N955" s="33">
        <f t="shared" si="307"/>
        <v>0</v>
      </c>
      <c r="T955">
        <v>1</v>
      </c>
      <c r="U955" s="29">
        <f t="shared" si="308"/>
        <v>0</v>
      </c>
      <c r="V955" s="29">
        <f t="shared" si="309"/>
        <v>0</v>
      </c>
      <c r="W955" s="29">
        <f t="shared" si="310"/>
        <v>0</v>
      </c>
      <c r="X955" s="29">
        <f t="shared" si="311"/>
        <v>0</v>
      </c>
      <c r="Y955" s="29">
        <f t="shared" si="312"/>
        <v>0</v>
      </c>
      <c r="Z955" s="29">
        <f t="shared" si="313"/>
        <v>3874</v>
      </c>
    </row>
    <row r="956" spans="1:26" x14ac:dyDescent="0.3">
      <c r="A956" s="3" t="s">
        <v>7896</v>
      </c>
      <c r="B956" s="3"/>
      <c r="C956" s="3"/>
      <c r="D956" s="4"/>
      <c r="E956" s="15"/>
      <c r="F956" s="15"/>
      <c r="G956" s="41"/>
      <c r="H956" s="3"/>
      <c r="I956" s="38"/>
      <c r="J956" s="3"/>
      <c r="K956" s="3"/>
      <c r="L956" s="32"/>
      <c r="M956" s="32"/>
      <c r="N956" s="32"/>
      <c r="U956" s="29"/>
      <c r="V956" s="29"/>
      <c r="W956" s="29"/>
      <c r="X956" s="29"/>
      <c r="Y956" s="29"/>
      <c r="Z956" s="29"/>
    </row>
    <row r="957" spans="1:26" x14ac:dyDescent="0.3">
      <c r="A957" s="5" t="s">
        <v>2408</v>
      </c>
      <c r="B957" s="5" t="s">
        <v>2409</v>
      </c>
      <c r="C957" s="5">
        <v>120</v>
      </c>
      <c r="D957" s="6">
        <v>18202</v>
      </c>
      <c r="E957" s="17" t="str">
        <f>VLOOKUP(A957,'forecast data dump'!$A$1:$H$3450,4,FALSE)</f>
        <v>01-Feb-21 A</v>
      </c>
      <c r="F957" s="17">
        <f>VLOOKUP(A957,'forecast data dump'!$A$1:$H$3450,5,FALSE)</f>
        <v>44407</v>
      </c>
      <c r="G957" s="42">
        <v>0.6</v>
      </c>
      <c r="H957" s="5" t="s">
        <v>3733</v>
      </c>
      <c r="I957" s="39">
        <f t="shared" ref="I957:I997" si="314">C957*(1-G957)</f>
        <v>48</v>
      </c>
      <c r="J957" s="5"/>
      <c r="K957" s="5"/>
      <c r="L957" s="33">
        <f t="shared" ref="L957:L997" si="315">D957*(1-G957)</f>
        <v>7280.8</v>
      </c>
      <c r="M957" s="33">
        <f t="shared" ref="M957:M997" si="316">IF(J957="",L957,(D957/C957)*J957)</f>
        <v>7280.8</v>
      </c>
      <c r="N957" s="33">
        <f t="shared" ref="N957:N997" si="317">L957-M957</f>
        <v>0</v>
      </c>
      <c r="R957">
        <v>1</v>
      </c>
      <c r="U957" s="29">
        <f t="shared" si="308"/>
        <v>0</v>
      </c>
      <c r="V957" s="29">
        <f t="shared" si="309"/>
        <v>0</v>
      </c>
      <c r="W957" s="29">
        <f t="shared" si="310"/>
        <v>0</v>
      </c>
      <c r="X957" s="29">
        <f t="shared" si="311"/>
        <v>7280.8</v>
      </c>
      <c r="Y957" s="29">
        <f t="shared" si="312"/>
        <v>0</v>
      </c>
      <c r="Z957" s="29">
        <f t="shared" si="313"/>
        <v>0</v>
      </c>
    </row>
    <row r="958" spans="1:26" x14ac:dyDescent="0.3">
      <c r="A958" s="5" t="s">
        <v>2408</v>
      </c>
      <c r="B958" s="5" t="s">
        <v>2409</v>
      </c>
      <c r="C958" s="5">
        <v>48</v>
      </c>
      <c r="D958" s="6">
        <v>5642</v>
      </c>
      <c r="E958" s="17" t="str">
        <f>VLOOKUP(A958,'forecast data dump'!$A$1:$H$3450,4,FALSE)</f>
        <v>01-Feb-21 A</v>
      </c>
      <c r="F958" s="17">
        <f>VLOOKUP(A958,'forecast data dump'!$A$1:$H$3450,5,FALSE)</f>
        <v>44407</v>
      </c>
      <c r="G958" s="42">
        <v>0.6</v>
      </c>
      <c r="H958" s="5" t="s">
        <v>3741</v>
      </c>
      <c r="I958" s="39">
        <f t="shared" si="314"/>
        <v>19.200000000000003</v>
      </c>
      <c r="J958" s="5"/>
      <c r="K958" s="5"/>
      <c r="L958" s="33">
        <f t="shared" si="315"/>
        <v>2256.8000000000002</v>
      </c>
      <c r="M958" s="33">
        <f t="shared" si="316"/>
        <v>2256.8000000000002</v>
      </c>
      <c r="N958" s="33">
        <f t="shared" si="317"/>
        <v>0</v>
      </c>
      <c r="R958">
        <v>1</v>
      </c>
      <c r="U958" s="29">
        <f t="shared" si="308"/>
        <v>0</v>
      </c>
      <c r="V958" s="29">
        <f t="shared" si="309"/>
        <v>0</v>
      </c>
      <c r="W958" s="29">
        <f t="shared" si="310"/>
        <v>0</v>
      </c>
      <c r="X958" s="29">
        <f t="shared" si="311"/>
        <v>2256.8000000000002</v>
      </c>
      <c r="Y958" s="29">
        <f t="shared" si="312"/>
        <v>0</v>
      </c>
      <c r="Z958" s="29">
        <f t="shared" si="313"/>
        <v>0</v>
      </c>
    </row>
    <row r="959" spans="1:26" x14ac:dyDescent="0.3">
      <c r="A959" s="5" t="s">
        <v>2408</v>
      </c>
      <c r="B959" s="5" t="s">
        <v>2409</v>
      </c>
      <c r="C959" s="5">
        <v>40</v>
      </c>
      <c r="D959" s="6">
        <v>4702</v>
      </c>
      <c r="E959" s="17" t="str">
        <f>VLOOKUP(A959,'forecast data dump'!$A$1:$H$3450,4,FALSE)</f>
        <v>01-Feb-21 A</v>
      </c>
      <c r="F959" s="17">
        <f>VLOOKUP(A959,'forecast data dump'!$A$1:$H$3450,5,FALSE)</f>
        <v>44407</v>
      </c>
      <c r="G959" s="42">
        <v>0.6</v>
      </c>
      <c r="H959" s="5" t="s">
        <v>3745</v>
      </c>
      <c r="I959" s="39">
        <f t="shared" si="314"/>
        <v>16</v>
      </c>
      <c r="J959" s="5"/>
      <c r="K959" s="5"/>
      <c r="L959" s="33">
        <f t="shared" si="315"/>
        <v>1880.8000000000002</v>
      </c>
      <c r="M959" s="33">
        <f t="shared" si="316"/>
        <v>1880.8000000000002</v>
      </c>
      <c r="N959" s="33">
        <f t="shared" si="317"/>
        <v>0</v>
      </c>
      <c r="R959">
        <v>1</v>
      </c>
      <c r="U959" s="29">
        <f t="shared" si="308"/>
        <v>0</v>
      </c>
      <c r="V959" s="29">
        <f t="shared" si="309"/>
        <v>0</v>
      </c>
      <c r="W959" s="29">
        <f t="shared" si="310"/>
        <v>0</v>
      </c>
      <c r="X959" s="29">
        <f t="shared" si="311"/>
        <v>1880.8000000000002</v>
      </c>
      <c r="Y959" s="29">
        <f t="shared" si="312"/>
        <v>0</v>
      </c>
      <c r="Z959" s="29">
        <f t="shared" si="313"/>
        <v>0</v>
      </c>
    </row>
    <row r="960" spans="1:26" x14ac:dyDescent="0.3">
      <c r="A960" s="5" t="s">
        <v>2410</v>
      </c>
      <c r="B960" s="5" t="s">
        <v>2411</v>
      </c>
      <c r="C960" s="5">
        <v>80</v>
      </c>
      <c r="D960" s="6">
        <v>12135</v>
      </c>
      <c r="E960" s="17" t="str">
        <f>VLOOKUP(A960,'forecast data dump'!$A$1:$H$3450,4,FALSE)</f>
        <v>01-Feb-21 A</v>
      </c>
      <c r="F960" s="17">
        <f>VLOOKUP(A960,'forecast data dump'!$A$1:$H$3450,5,FALSE)</f>
        <v>44421</v>
      </c>
      <c r="G960" s="42">
        <v>0.6</v>
      </c>
      <c r="H960" s="5" t="s">
        <v>3733</v>
      </c>
      <c r="I960" s="39">
        <f t="shared" si="314"/>
        <v>32</v>
      </c>
      <c r="J960" s="5"/>
      <c r="K960" s="5"/>
      <c r="L960" s="33">
        <f t="shared" si="315"/>
        <v>4854</v>
      </c>
      <c r="M960" s="33">
        <f t="shared" si="316"/>
        <v>4854</v>
      </c>
      <c r="N960" s="33">
        <f t="shared" si="317"/>
        <v>0</v>
      </c>
      <c r="R960">
        <v>1</v>
      </c>
      <c r="U960" s="29">
        <f t="shared" si="308"/>
        <v>0</v>
      </c>
      <c r="V960" s="29">
        <f t="shared" si="309"/>
        <v>0</v>
      </c>
      <c r="W960" s="29">
        <f t="shared" si="310"/>
        <v>0</v>
      </c>
      <c r="X960" s="29">
        <f t="shared" si="311"/>
        <v>4854</v>
      </c>
      <c r="Y960" s="29">
        <f t="shared" si="312"/>
        <v>0</v>
      </c>
      <c r="Z960" s="29">
        <f t="shared" si="313"/>
        <v>0</v>
      </c>
    </row>
    <row r="961" spans="1:26" x14ac:dyDescent="0.3">
      <c r="A961" s="5" t="s">
        <v>2410</v>
      </c>
      <c r="B961" s="5" t="s">
        <v>2411</v>
      </c>
      <c r="C961" s="5">
        <v>8</v>
      </c>
      <c r="D961" s="6">
        <v>940</v>
      </c>
      <c r="E961" s="17" t="str">
        <f>VLOOKUP(A961,'forecast data dump'!$A$1:$H$3450,4,FALSE)</f>
        <v>01-Feb-21 A</v>
      </c>
      <c r="F961" s="17">
        <f>VLOOKUP(A961,'forecast data dump'!$A$1:$H$3450,5,FALSE)</f>
        <v>44421</v>
      </c>
      <c r="G961" s="42">
        <v>0.6</v>
      </c>
      <c r="H961" s="5" t="s">
        <v>3741</v>
      </c>
      <c r="I961" s="39">
        <f t="shared" si="314"/>
        <v>3.2</v>
      </c>
      <c r="J961" s="5"/>
      <c r="K961" s="5"/>
      <c r="L961" s="33">
        <f t="shared" si="315"/>
        <v>376</v>
      </c>
      <c r="M961" s="33">
        <f t="shared" si="316"/>
        <v>376</v>
      </c>
      <c r="N961" s="33">
        <f t="shared" si="317"/>
        <v>0</v>
      </c>
      <c r="R961">
        <v>1</v>
      </c>
      <c r="U961" s="29">
        <f t="shared" si="308"/>
        <v>0</v>
      </c>
      <c r="V961" s="29">
        <f t="shared" si="309"/>
        <v>0</v>
      </c>
      <c r="W961" s="29">
        <f t="shared" si="310"/>
        <v>0</v>
      </c>
      <c r="X961" s="29">
        <f t="shared" si="311"/>
        <v>376</v>
      </c>
      <c r="Y961" s="29">
        <f t="shared" si="312"/>
        <v>0</v>
      </c>
      <c r="Z961" s="29">
        <f t="shared" si="313"/>
        <v>0</v>
      </c>
    </row>
    <row r="962" spans="1:26" x14ac:dyDescent="0.3">
      <c r="A962" s="5" t="s">
        <v>2410</v>
      </c>
      <c r="B962" s="5" t="s">
        <v>2411</v>
      </c>
      <c r="C962" s="5">
        <v>40</v>
      </c>
      <c r="D962" s="6">
        <v>4702</v>
      </c>
      <c r="E962" s="17" t="str">
        <f>VLOOKUP(A962,'forecast data dump'!$A$1:$H$3450,4,FALSE)</f>
        <v>01-Feb-21 A</v>
      </c>
      <c r="F962" s="17">
        <f>VLOOKUP(A962,'forecast data dump'!$A$1:$H$3450,5,FALSE)</f>
        <v>44421</v>
      </c>
      <c r="G962" s="42">
        <v>0.6</v>
      </c>
      <c r="H962" s="5" t="s">
        <v>3745</v>
      </c>
      <c r="I962" s="39">
        <f t="shared" si="314"/>
        <v>16</v>
      </c>
      <c r="J962" s="5"/>
      <c r="K962" s="5"/>
      <c r="L962" s="33">
        <f t="shared" si="315"/>
        <v>1880.8000000000002</v>
      </c>
      <c r="M962" s="33">
        <f t="shared" si="316"/>
        <v>1880.8000000000002</v>
      </c>
      <c r="N962" s="33">
        <f t="shared" si="317"/>
        <v>0</v>
      </c>
      <c r="R962">
        <v>1</v>
      </c>
      <c r="U962" s="29">
        <f t="shared" si="308"/>
        <v>0</v>
      </c>
      <c r="V962" s="29">
        <f t="shared" si="309"/>
        <v>0</v>
      </c>
      <c r="W962" s="29">
        <f t="shared" si="310"/>
        <v>0</v>
      </c>
      <c r="X962" s="29">
        <f t="shared" si="311"/>
        <v>1880.8000000000002</v>
      </c>
      <c r="Y962" s="29">
        <f t="shared" si="312"/>
        <v>0</v>
      </c>
      <c r="Z962" s="29">
        <f t="shared" si="313"/>
        <v>0</v>
      </c>
    </row>
    <row r="963" spans="1:26" x14ac:dyDescent="0.3">
      <c r="A963" s="5" t="s">
        <v>2416</v>
      </c>
      <c r="B963" s="5" t="s">
        <v>2417</v>
      </c>
      <c r="C963" s="5">
        <v>8</v>
      </c>
      <c r="D963" s="6">
        <v>1250</v>
      </c>
      <c r="E963" s="17">
        <f>VLOOKUP(A963,'forecast data dump'!$A$1:$H$3450,4,FALSE)</f>
        <v>44574</v>
      </c>
      <c r="F963" s="17">
        <f>VLOOKUP(A963,'forecast data dump'!$A$1:$H$3450,5,FALSE)</f>
        <v>44609</v>
      </c>
      <c r="G963" s="42">
        <f>VLOOKUP(A963,'forecast data dump'!$A$1:$H$3450,8,FALSE)</f>
        <v>0</v>
      </c>
      <c r="H963" s="5" t="s">
        <v>3763</v>
      </c>
      <c r="I963" s="39">
        <f t="shared" si="314"/>
        <v>8</v>
      </c>
      <c r="J963" s="5"/>
      <c r="K963" s="5"/>
      <c r="L963" s="33">
        <f t="shared" si="315"/>
        <v>1250</v>
      </c>
      <c r="M963" s="33">
        <f t="shared" si="316"/>
        <v>1250</v>
      </c>
      <c r="N963" s="33">
        <f t="shared" si="317"/>
        <v>0</v>
      </c>
      <c r="T963">
        <v>1</v>
      </c>
      <c r="U963" s="29">
        <f t="shared" si="308"/>
        <v>0</v>
      </c>
      <c r="V963" s="29">
        <f t="shared" si="309"/>
        <v>0</v>
      </c>
      <c r="W963" s="29">
        <f t="shared" si="310"/>
        <v>0</v>
      </c>
      <c r="X963" s="29">
        <f t="shared" si="311"/>
        <v>0</v>
      </c>
      <c r="Y963" s="29">
        <f t="shared" si="312"/>
        <v>0</v>
      </c>
      <c r="Z963" s="29">
        <f t="shared" si="313"/>
        <v>1250</v>
      </c>
    </row>
    <row r="964" spans="1:26" x14ac:dyDescent="0.3">
      <c r="A964" s="5" t="s">
        <v>2418</v>
      </c>
      <c r="B964" s="5" t="s">
        <v>2419</v>
      </c>
      <c r="C964" s="5">
        <v>64</v>
      </c>
      <c r="D964" s="6">
        <v>9999</v>
      </c>
      <c r="E964" s="17">
        <f>VLOOKUP(A964,'forecast data dump'!$A$1:$H$3450,4,FALSE)</f>
        <v>44575</v>
      </c>
      <c r="F964" s="17">
        <f>VLOOKUP(A964,'forecast data dump'!$A$1:$H$3450,5,FALSE)</f>
        <v>44599</v>
      </c>
      <c r="G964" s="42">
        <f>VLOOKUP(A964,'forecast data dump'!$A$1:$H$3450,8,FALSE)</f>
        <v>0</v>
      </c>
      <c r="H964" s="5" t="s">
        <v>3733</v>
      </c>
      <c r="I964" s="39">
        <f t="shared" si="314"/>
        <v>64</v>
      </c>
      <c r="J964" s="5"/>
      <c r="K964" s="5"/>
      <c r="L964" s="33">
        <f t="shared" si="315"/>
        <v>9999</v>
      </c>
      <c r="M964" s="33">
        <f t="shared" si="316"/>
        <v>9999</v>
      </c>
      <c r="N964" s="33">
        <f t="shared" si="317"/>
        <v>0</v>
      </c>
      <c r="T964">
        <v>1</v>
      </c>
      <c r="U964" s="29">
        <f t="shared" si="308"/>
        <v>0</v>
      </c>
      <c r="V964" s="29">
        <f t="shared" si="309"/>
        <v>0</v>
      </c>
      <c r="W964" s="29">
        <f t="shared" si="310"/>
        <v>0</v>
      </c>
      <c r="X964" s="29">
        <f t="shared" si="311"/>
        <v>0</v>
      </c>
      <c r="Y964" s="29">
        <f t="shared" si="312"/>
        <v>0</v>
      </c>
      <c r="Z964" s="29">
        <f t="shared" si="313"/>
        <v>9999</v>
      </c>
    </row>
    <row r="965" spans="1:26" x14ac:dyDescent="0.3">
      <c r="A965" s="5" t="s">
        <v>2418</v>
      </c>
      <c r="B965" s="5" t="s">
        <v>2419</v>
      </c>
      <c r="C965" s="5">
        <v>64</v>
      </c>
      <c r="D965" s="6">
        <v>7749</v>
      </c>
      <c r="E965" s="17">
        <f>VLOOKUP(A965,'forecast data dump'!$A$1:$H$3450,4,FALSE)</f>
        <v>44575</v>
      </c>
      <c r="F965" s="17">
        <f>VLOOKUP(A965,'forecast data dump'!$A$1:$H$3450,5,FALSE)</f>
        <v>44599</v>
      </c>
      <c r="G965" s="42">
        <f>VLOOKUP(A965,'forecast data dump'!$A$1:$H$3450,8,FALSE)</f>
        <v>0</v>
      </c>
      <c r="H965" s="5" t="s">
        <v>3745</v>
      </c>
      <c r="I965" s="39">
        <f t="shared" si="314"/>
        <v>64</v>
      </c>
      <c r="J965" s="5"/>
      <c r="K965" s="5"/>
      <c r="L965" s="33">
        <f t="shared" si="315"/>
        <v>7749</v>
      </c>
      <c r="M965" s="33">
        <f t="shared" si="316"/>
        <v>7749</v>
      </c>
      <c r="N965" s="33">
        <f t="shared" si="317"/>
        <v>0</v>
      </c>
      <c r="T965">
        <v>1</v>
      </c>
      <c r="U965" s="29">
        <f t="shared" si="308"/>
        <v>0</v>
      </c>
      <c r="V965" s="29">
        <f t="shared" si="309"/>
        <v>0</v>
      </c>
      <c r="W965" s="29">
        <f t="shared" si="310"/>
        <v>0</v>
      </c>
      <c r="X965" s="29">
        <f t="shared" si="311"/>
        <v>0</v>
      </c>
      <c r="Y965" s="29">
        <f t="shared" si="312"/>
        <v>0</v>
      </c>
      <c r="Z965" s="29">
        <f t="shared" si="313"/>
        <v>7749</v>
      </c>
    </row>
    <row r="966" spans="1:26" x14ac:dyDescent="0.3">
      <c r="A966" s="5" t="s">
        <v>2418</v>
      </c>
      <c r="B966" s="5" t="s">
        <v>2419</v>
      </c>
      <c r="C966" s="5">
        <v>512</v>
      </c>
      <c r="D966" s="6">
        <v>61989</v>
      </c>
      <c r="E966" s="17">
        <f>VLOOKUP(A966,'forecast data dump'!$A$1:$H$3450,4,FALSE)</f>
        <v>44575</v>
      </c>
      <c r="F966" s="17">
        <f>VLOOKUP(A966,'forecast data dump'!$A$1:$H$3450,5,FALSE)</f>
        <v>44599</v>
      </c>
      <c r="G966" s="42">
        <f>VLOOKUP(A966,'forecast data dump'!$A$1:$H$3450,8,FALSE)</f>
        <v>0</v>
      </c>
      <c r="H966" s="5" t="s">
        <v>3741</v>
      </c>
      <c r="I966" s="39">
        <f t="shared" si="314"/>
        <v>512</v>
      </c>
      <c r="J966" s="5"/>
      <c r="K966" s="5"/>
      <c r="L966" s="33">
        <f t="shared" si="315"/>
        <v>61989</v>
      </c>
      <c r="M966" s="33">
        <f t="shared" si="316"/>
        <v>61989</v>
      </c>
      <c r="N966" s="33">
        <f t="shared" si="317"/>
        <v>0</v>
      </c>
      <c r="T966">
        <v>1</v>
      </c>
      <c r="U966" s="29">
        <f t="shared" si="308"/>
        <v>0</v>
      </c>
      <c r="V966" s="29">
        <f t="shared" si="309"/>
        <v>0</v>
      </c>
      <c r="W966" s="29">
        <f t="shared" si="310"/>
        <v>0</v>
      </c>
      <c r="X966" s="29">
        <f t="shared" si="311"/>
        <v>0</v>
      </c>
      <c r="Y966" s="29">
        <f t="shared" si="312"/>
        <v>0</v>
      </c>
      <c r="Z966" s="29">
        <f t="shared" si="313"/>
        <v>61989</v>
      </c>
    </row>
    <row r="967" spans="1:26" x14ac:dyDescent="0.3">
      <c r="A967" s="5" t="s">
        <v>2420</v>
      </c>
      <c r="B967" s="5" t="s">
        <v>2421</v>
      </c>
      <c r="C967" s="5">
        <v>20</v>
      </c>
      <c r="D967" s="6">
        <v>2421</v>
      </c>
      <c r="E967" s="17">
        <f>VLOOKUP(A967,'forecast data dump'!$A$1:$H$3450,4,FALSE)</f>
        <v>44600</v>
      </c>
      <c r="F967" s="17">
        <f>VLOOKUP(A967,'forecast data dump'!$A$1:$H$3450,5,FALSE)</f>
        <v>44608</v>
      </c>
      <c r="G967" s="42">
        <f>VLOOKUP(A967,'forecast data dump'!$A$1:$H$3450,8,FALSE)</f>
        <v>0</v>
      </c>
      <c r="H967" s="5" t="s">
        <v>3741</v>
      </c>
      <c r="I967" s="39">
        <f t="shared" si="314"/>
        <v>20</v>
      </c>
      <c r="J967" s="5"/>
      <c r="K967" s="5"/>
      <c r="L967" s="33">
        <f t="shared" si="315"/>
        <v>2421</v>
      </c>
      <c r="M967" s="33">
        <f t="shared" si="316"/>
        <v>2421</v>
      </c>
      <c r="N967" s="33">
        <f t="shared" si="317"/>
        <v>0</v>
      </c>
      <c r="T967">
        <v>1</v>
      </c>
      <c r="U967" s="29">
        <f t="shared" si="308"/>
        <v>0</v>
      </c>
      <c r="V967" s="29">
        <f t="shared" si="309"/>
        <v>0</v>
      </c>
      <c r="W967" s="29">
        <f t="shared" si="310"/>
        <v>0</v>
      </c>
      <c r="X967" s="29">
        <f t="shared" si="311"/>
        <v>0</v>
      </c>
      <c r="Y967" s="29">
        <f t="shared" si="312"/>
        <v>0</v>
      </c>
      <c r="Z967" s="29">
        <f t="shared" si="313"/>
        <v>2421</v>
      </c>
    </row>
    <row r="968" spans="1:26" x14ac:dyDescent="0.3">
      <c r="A968" s="5" t="s">
        <v>2422</v>
      </c>
      <c r="B968" s="5" t="s">
        <v>2423</v>
      </c>
      <c r="C968" s="5">
        <v>160</v>
      </c>
      <c r="D968" s="6">
        <v>19372</v>
      </c>
      <c r="E968" s="17">
        <f>VLOOKUP(A968,'forecast data dump'!$A$1:$H$3450,4,FALSE)</f>
        <v>44609</v>
      </c>
      <c r="F968" s="17">
        <f>VLOOKUP(A968,'forecast data dump'!$A$1:$H$3450,5,FALSE)</f>
        <v>44628</v>
      </c>
      <c r="G968" s="42">
        <f>VLOOKUP(A968,'forecast data dump'!$A$1:$H$3450,8,FALSE)</f>
        <v>0</v>
      </c>
      <c r="H968" s="5" t="s">
        <v>3742</v>
      </c>
      <c r="I968" s="39">
        <f t="shared" si="314"/>
        <v>160</v>
      </c>
      <c r="J968" s="5"/>
      <c r="K968" s="5"/>
      <c r="L968" s="33">
        <f t="shared" si="315"/>
        <v>19372</v>
      </c>
      <c r="M968" s="33">
        <f t="shared" si="316"/>
        <v>19372</v>
      </c>
      <c r="N968" s="33">
        <f t="shared" si="317"/>
        <v>0</v>
      </c>
      <c r="T968">
        <v>1</v>
      </c>
      <c r="U968" s="29">
        <f t="shared" si="308"/>
        <v>0</v>
      </c>
      <c r="V968" s="29">
        <f t="shared" si="309"/>
        <v>0</v>
      </c>
      <c r="W968" s="29">
        <f t="shared" si="310"/>
        <v>0</v>
      </c>
      <c r="X968" s="29">
        <f t="shared" si="311"/>
        <v>0</v>
      </c>
      <c r="Y968" s="29">
        <f t="shared" si="312"/>
        <v>0</v>
      </c>
      <c r="Z968" s="29">
        <f t="shared" si="313"/>
        <v>19372</v>
      </c>
    </row>
    <row r="969" spans="1:26" x14ac:dyDescent="0.3">
      <c r="A969" s="5" t="s">
        <v>2422</v>
      </c>
      <c r="B969" s="5" t="s">
        <v>2423</v>
      </c>
      <c r="C969" s="5">
        <v>64</v>
      </c>
      <c r="D969" s="6">
        <v>7749</v>
      </c>
      <c r="E969" s="17">
        <f>VLOOKUP(A969,'forecast data dump'!$A$1:$H$3450,4,FALSE)</f>
        <v>44609</v>
      </c>
      <c r="F969" s="17">
        <f>VLOOKUP(A969,'forecast data dump'!$A$1:$H$3450,5,FALSE)</f>
        <v>44628</v>
      </c>
      <c r="G969" s="42">
        <f>VLOOKUP(A969,'forecast data dump'!$A$1:$H$3450,8,FALSE)</f>
        <v>0</v>
      </c>
      <c r="H969" s="5" t="s">
        <v>3741</v>
      </c>
      <c r="I969" s="39">
        <f t="shared" si="314"/>
        <v>64</v>
      </c>
      <c r="J969" s="5"/>
      <c r="K969" s="5"/>
      <c r="L969" s="33">
        <f t="shared" si="315"/>
        <v>7749</v>
      </c>
      <c r="M969" s="33">
        <f t="shared" si="316"/>
        <v>7749</v>
      </c>
      <c r="N969" s="33">
        <f t="shared" si="317"/>
        <v>0</v>
      </c>
      <c r="T969">
        <v>1</v>
      </c>
      <c r="U969" s="29">
        <f t="shared" si="308"/>
        <v>0</v>
      </c>
      <c r="V969" s="29">
        <f t="shared" si="309"/>
        <v>0</v>
      </c>
      <c r="W969" s="29">
        <f t="shared" si="310"/>
        <v>0</v>
      </c>
      <c r="X969" s="29">
        <f t="shared" si="311"/>
        <v>0</v>
      </c>
      <c r="Y969" s="29">
        <f t="shared" si="312"/>
        <v>0</v>
      </c>
      <c r="Z969" s="29">
        <f t="shared" si="313"/>
        <v>7749</v>
      </c>
    </row>
    <row r="970" spans="1:26" x14ac:dyDescent="0.3">
      <c r="A970" s="5" t="s">
        <v>2422</v>
      </c>
      <c r="B970" s="5" t="s">
        <v>2423</v>
      </c>
      <c r="C970" s="5">
        <v>32</v>
      </c>
      <c r="D970" s="6">
        <v>4999</v>
      </c>
      <c r="E970" s="17">
        <f>VLOOKUP(A970,'forecast data dump'!$A$1:$H$3450,4,FALSE)</f>
        <v>44609</v>
      </c>
      <c r="F970" s="17">
        <f>VLOOKUP(A970,'forecast data dump'!$A$1:$H$3450,5,FALSE)</f>
        <v>44628</v>
      </c>
      <c r="G970" s="42">
        <f>VLOOKUP(A970,'forecast data dump'!$A$1:$H$3450,8,FALSE)</f>
        <v>0</v>
      </c>
      <c r="H970" s="5" t="s">
        <v>3733</v>
      </c>
      <c r="I970" s="39">
        <f t="shared" si="314"/>
        <v>32</v>
      </c>
      <c r="J970" s="5"/>
      <c r="K970" s="5"/>
      <c r="L970" s="33">
        <f t="shared" si="315"/>
        <v>4999</v>
      </c>
      <c r="M970" s="33">
        <f t="shared" si="316"/>
        <v>4999</v>
      </c>
      <c r="N970" s="33">
        <f t="shared" si="317"/>
        <v>0</v>
      </c>
      <c r="T970">
        <v>1</v>
      </c>
      <c r="U970" s="29">
        <f t="shared" si="308"/>
        <v>0</v>
      </c>
      <c r="V970" s="29">
        <f t="shared" si="309"/>
        <v>0</v>
      </c>
      <c r="W970" s="29">
        <f t="shared" si="310"/>
        <v>0</v>
      </c>
      <c r="X970" s="29">
        <f t="shared" si="311"/>
        <v>0</v>
      </c>
      <c r="Y970" s="29">
        <f t="shared" si="312"/>
        <v>0</v>
      </c>
      <c r="Z970" s="29">
        <f t="shared" si="313"/>
        <v>4999</v>
      </c>
    </row>
    <row r="971" spans="1:26" x14ac:dyDescent="0.3">
      <c r="A971" s="5" t="s">
        <v>2422</v>
      </c>
      <c r="B971" s="5" t="s">
        <v>2423</v>
      </c>
      <c r="C971" s="5">
        <v>32</v>
      </c>
      <c r="D971" s="6">
        <v>3874</v>
      </c>
      <c r="E971" s="17">
        <f>VLOOKUP(A971,'forecast data dump'!$A$1:$H$3450,4,FALSE)</f>
        <v>44609</v>
      </c>
      <c r="F971" s="17">
        <f>VLOOKUP(A971,'forecast data dump'!$A$1:$H$3450,5,FALSE)</f>
        <v>44628</v>
      </c>
      <c r="G971" s="42">
        <f>VLOOKUP(A971,'forecast data dump'!$A$1:$H$3450,8,FALSE)</f>
        <v>0</v>
      </c>
      <c r="H971" s="5" t="s">
        <v>3745</v>
      </c>
      <c r="I971" s="39">
        <f t="shared" si="314"/>
        <v>32</v>
      </c>
      <c r="J971" s="5"/>
      <c r="K971" s="5"/>
      <c r="L971" s="33">
        <f t="shared" si="315"/>
        <v>3874</v>
      </c>
      <c r="M971" s="33">
        <f t="shared" si="316"/>
        <v>3874</v>
      </c>
      <c r="N971" s="33">
        <f t="shared" si="317"/>
        <v>0</v>
      </c>
      <c r="T971">
        <v>1</v>
      </c>
      <c r="U971" s="29">
        <f t="shared" si="308"/>
        <v>0</v>
      </c>
      <c r="V971" s="29">
        <f t="shared" si="309"/>
        <v>0</v>
      </c>
      <c r="W971" s="29">
        <f t="shared" si="310"/>
        <v>0</v>
      </c>
      <c r="X971" s="29">
        <f t="shared" si="311"/>
        <v>0</v>
      </c>
      <c r="Y971" s="29">
        <f t="shared" si="312"/>
        <v>0</v>
      </c>
      <c r="Z971" s="29">
        <f t="shared" si="313"/>
        <v>3874</v>
      </c>
    </row>
    <row r="972" spans="1:26" x14ac:dyDescent="0.3">
      <c r="A972" s="5" t="s">
        <v>2422</v>
      </c>
      <c r="B972" s="5" t="s">
        <v>2423</v>
      </c>
      <c r="C972" s="5">
        <v>320</v>
      </c>
      <c r="D972" s="6">
        <v>42460</v>
      </c>
      <c r="E972" s="17">
        <f>VLOOKUP(A972,'forecast data dump'!$A$1:$H$3450,4,FALSE)</f>
        <v>44609</v>
      </c>
      <c r="F972" s="17">
        <f>VLOOKUP(A972,'forecast data dump'!$A$1:$H$3450,5,FALSE)</f>
        <v>44628</v>
      </c>
      <c r="G972" s="42">
        <f>VLOOKUP(A972,'forecast data dump'!$A$1:$H$3450,8,FALSE)</f>
        <v>0</v>
      </c>
      <c r="H972" s="5" t="s">
        <v>3752</v>
      </c>
      <c r="I972" s="39">
        <f t="shared" si="314"/>
        <v>320</v>
      </c>
      <c r="J972" s="5"/>
      <c r="K972" s="5"/>
      <c r="L972" s="33">
        <f t="shared" si="315"/>
        <v>42460</v>
      </c>
      <c r="M972" s="33">
        <f t="shared" si="316"/>
        <v>42460</v>
      </c>
      <c r="N972" s="33">
        <f t="shared" si="317"/>
        <v>0</v>
      </c>
      <c r="T972">
        <v>1</v>
      </c>
      <c r="U972" s="29">
        <f t="shared" si="308"/>
        <v>0</v>
      </c>
      <c r="V972" s="29">
        <f t="shared" si="309"/>
        <v>0</v>
      </c>
      <c r="W972" s="29">
        <f t="shared" si="310"/>
        <v>0</v>
      </c>
      <c r="X972" s="29">
        <f t="shared" si="311"/>
        <v>0</v>
      </c>
      <c r="Y972" s="29">
        <f t="shared" si="312"/>
        <v>0</v>
      </c>
      <c r="Z972" s="29">
        <f t="shared" si="313"/>
        <v>42460</v>
      </c>
    </row>
    <row r="973" spans="1:26" x14ac:dyDescent="0.3">
      <c r="A973" s="5" t="s">
        <v>2424</v>
      </c>
      <c r="B973" s="5" t="s">
        <v>2425</v>
      </c>
      <c r="C973" s="5">
        <v>8</v>
      </c>
      <c r="D973" s="6">
        <v>1250</v>
      </c>
      <c r="E973" s="17">
        <f>VLOOKUP(A973,'forecast data dump'!$A$1:$H$3450,4,FALSE)</f>
        <v>44629</v>
      </c>
      <c r="F973" s="17">
        <f>VLOOKUP(A973,'forecast data dump'!$A$1:$H$3450,5,FALSE)</f>
        <v>44635</v>
      </c>
      <c r="G973" s="42">
        <f>VLOOKUP(A973,'forecast data dump'!$A$1:$H$3450,8,FALSE)</f>
        <v>0</v>
      </c>
      <c r="H973" s="5" t="s">
        <v>3733</v>
      </c>
      <c r="I973" s="39">
        <f t="shared" si="314"/>
        <v>8</v>
      </c>
      <c r="J973" s="5"/>
      <c r="K973" s="5"/>
      <c r="L973" s="33">
        <f t="shared" si="315"/>
        <v>1250</v>
      </c>
      <c r="M973" s="33">
        <f t="shared" si="316"/>
        <v>1250</v>
      </c>
      <c r="N973" s="33">
        <f t="shared" si="317"/>
        <v>0</v>
      </c>
      <c r="T973">
        <v>1</v>
      </c>
      <c r="U973" s="29">
        <f t="shared" si="308"/>
        <v>0</v>
      </c>
      <c r="V973" s="29">
        <f t="shared" si="309"/>
        <v>0</v>
      </c>
      <c r="W973" s="29">
        <f t="shared" si="310"/>
        <v>0</v>
      </c>
      <c r="X973" s="29">
        <f t="shared" si="311"/>
        <v>0</v>
      </c>
      <c r="Y973" s="29">
        <f t="shared" si="312"/>
        <v>0</v>
      </c>
      <c r="Z973" s="29">
        <f t="shared" si="313"/>
        <v>1250</v>
      </c>
    </row>
    <row r="974" spans="1:26" x14ac:dyDescent="0.3">
      <c r="A974" s="5" t="s">
        <v>2424</v>
      </c>
      <c r="B974" s="5" t="s">
        <v>2425</v>
      </c>
      <c r="C974" s="5">
        <v>8</v>
      </c>
      <c r="D974" s="6">
        <v>969</v>
      </c>
      <c r="E974" s="17">
        <f>VLOOKUP(A974,'forecast data dump'!$A$1:$H$3450,4,FALSE)</f>
        <v>44629</v>
      </c>
      <c r="F974" s="17">
        <f>VLOOKUP(A974,'forecast data dump'!$A$1:$H$3450,5,FALSE)</f>
        <v>44635</v>
      </c>
      <c r="G974" s="42">
        <f>VLOOKUP(A974,'forecast data dump'!$A$1:$H$3450,8,FALSE)</f>
        <v>0</v>
      </c>
      <c r="H974" s="5" t="s">
        <v>3742</v>
      </c>
      <c r="I974" s="39">
        <f t="shared" si="314"/>
        <v>8</v>
      </c>
      <c r="J974" s="5"/>
      <c r="K974" s="5"/>
      <c r="L974" s="33">
        <f t="shared" si="315"/>
        <v>969</v>
      </c>
      <c r="M974" s="33">
        <f t="shared" si="316"/>
        <v>969</v>
      </c>
      <c r="N974" s="33">
        <f t="shared" si="317"/>
        <v>0</v>
      </c>
      <c r="T974">
        <v>1</v>
      </c>
      <c r="U974" s="29">
        <f t="shared" si="308"/>
        <v>0</v>
      </c>
      <c r="V974" s="29">
        <f t="shared" si="309"/>
        <v>0</v>
      </c>
      <c r="W974" s="29">
        <f t="shared" si="310"/>
        <v>0</v>
      </c>
      <c r="X974" s="29">
        <f t="shared" si="311"/>
        <v>0</v>
      </c>
      <c r="Y974" s="29">
        <f t="shared" si="312"/>
        <v>0</v>
      </c>
      <c r="Z974" s="29">
        <f t="shared" si="313"/>
        <v>969</v>
      </c>
    </row>
    <row r="975" spans="1:26" x14ac:dyDescent="0.3">
      <c r="A975" s="5" t="s">
        <v>2424</v>
      </c>
      <c r="B975" s="5" t="s">
        <v>2425</v>
      </c>
      <c r="C975" s="5">
        <v>8</v>
      </c>
      <c r="D975" s="6">
        <v>969</v>
      </c>
      <c r="E975" s="17">
        <f>VLOOKUP(A975,'forecast data dump'!$A$1:$H$3450,4,FALSE)</f>
        <v>44629</v>
      </c>
      <c r="F975" s="17">
        <f>VLOOKUP(A975,'forecast data dump'!$A$1:$H$3450,5,FALSE)</f>
        <v>44635</v>
      </c>
      <c r="G975" s="42">
        <f>VLOOKUP(A975,'forecast data dump'!$A$1:$H$3450,8,FALSE)</f>
        <v>0</v>
      </c>
      <c r="H975" s="5" t="s">
        <v>3745</v>
      </c>
      <c r="I975" s="39">
        <f t="shared" si="314"/>
        <v>8</v>
      </c>
      <c r="J975" s="5"/>
      <c r="K975" s="5"/>
      <c r="L975" s="33">
        <f t="shared" si="315"/>
        <v>969</v>
      </c>
      <c r="M975" s="33">
        <f t="shared" si="316"/>
        <v>969</v>
      </c>
      <c r="N975" s="33">
        <f t="shared" si="317"/>
        <v>0</v>
      </c>
      <c r="T975">
        <v>1</v>
      </c>
      <c r="U975" s="29">
        <f t="shared" si="308"/>
        <v>0</v>
      </c>
      <c r="V975" s="29">
        <f t="shared" si="309"/>
        <v>0</v>
      </c>
      <c r="W975" s="29">
        <f t="shared" si="310"/>
        <v>0</v>
      </c>
      <c r="X975" s="29">
        <f t="shared" si="311"/>
        <v>0</v>
      </c>
      <c r="Y975" s="29">
        <f t="shared" si="312"/>
        <v>0</v>
      </c>
      <c r="Z975" s="29">
        <f t="shared" si="313"/>
        <v>969</v>
      </c>
    </row>
    <row r="976" spans="1:26" x14ac:dyDescent="0.3">
      <c r="A976" s="5" t="s">
        <v>2424</v>
      </c>
      <c r="B976" s="5" t="s">
        <v>2425</v>
      </c>
      <c r="C976" s="5">
        <v>8</v>
      </c>
      <c r="D976" s="6">
        <v>969</v>
      </c>
      <c r="E976" s="17">
        <f>VLOOKUP(A976,'forecast data dump'!$A$1:$H$3450,4,FALSE)</f>
        <v>44629</v>
      </c>
      <c r="F976" s="17">
        <f>VLOOKUP(A976,'forecast data dump'!$A$1:$H$3450,5,FALSE)</f>
        <v>44635</v>
      </c>
      <c r="G976" s="42">
        <f>VLOOKUP(A976,'forecast data dump'!$A$1:$H$3450,8,FALSE)</f>
        <v>0</v>
      </c>
      <c r="H976" s="5" t="s">
        <v>3741</v>
      </c>
      <c r="I976" s="39">
        <f t="shared" si="314"/>
        <v>8</v>
      </c>
      <c r="J976" s="5"/>
      <c r="K976" s="5"/>
      <c r="L976" s="33">
        <f t="shared" si="315"/>
        <v>969</v>
      </c>
      <c r="M976" s="33">
        <f t="shared" si="316"/>
        <v>969</v>
      </c>
      <c r="N976" s="33">
        <f t="shared" si="317"/>
        <v>0</v>
      </c>
      <c r="T976">
        <v>1</v>
      </c>
      <c r="U976" s="29">
        <f t="shared" si="308"/>
        <v>0</v>
      </c>
      <c r="V976" s="29">
        <f t="shared" si="309"/>
        <v>0</v>
      </c>
      <c r="W976" s="29">
        <f t="shared" si="310"/>
        <v>0</v>
      </c>
      <c r="X976" s="29">
        <f t="shared" si="311"/>
        <v>0</v>
      </c>
      <c r="Y976" s="29">
        <f t="shared" si="312"/>
        <v>0</v>
      </c>
      <c r="Z976" s="29">
        <f t="shared" si="313"/>
        <v>969</v>
      </c>
    </row>
    <row r="977" spans="1:26" x14ac:dyDescent="0.3">
      <c r="A977" s="5" t="s">
        <v>2426</v>
      </c>
      <c r="B977" s="5" t="s">
        <v>2427</v>
      </c>
      <c r="C977" s="5">
        <v>8</v>
      </c>
      <c r="D977" s="6">
        <v>1250</v>
      </c>
      <c r="E977" s="17">
        <f>VLOOKUP(A977,'forecast data dump'!$A$1:$H$3450,4,FALSE)</f>
        <v>44636</v>
      </c>
      <c r="F977" s="17">
        <f>VLOOKUP(A977,'forecast data dump'!$A$1:$H$3450,5,FALSE)</f>
        <v>44649</v>
      </c>
      <c r="G977" s="42">
        <f>VLOOKUP(A977,'forecast data dump'!$A$1:$H$3450,8,FALSE)</f>
        <v>0</v>
      </c>
      <c r="H977" s="5" t="s">
        <v>3733</v>
      </c>
      <c r="I977" s="39">
        <f t="shared" si="314"/>
        <v>8</v>
      </c>
      <c r="J977" s="5"/>
      <c r="K977" s="5"/>
      <c r="L977" s="33">
        <f t="shared" si="315"/>
        <v>1250</v>
      </c>
      <c r="M977" s="33">
        <f t="shared" si="316"/>
        <v>1250</v>
      </c>
      <c r="N977" s="33">
        <f t="shared" si="317"/>
        <v>0</v>
      </c>
      <c r="T977">
        <v>1</v>
      </c>
      <c r="U977" s="29">
        <f t="shared" si="308"/>
        <v>0</v>
      </c>
      <c r="V977" s="29">
        <f t="shared" si="309"/>
        <v>0</v>
      </c>
      <c r="W977" s="29">
        <f t="shared" si="310"/>
        <v>0</v>
      </c>
      <c r="X977" s="29">
        <f t="shared" si="311"/>
        <v>0</v>
      </c>
      <c r="Y977" s="29">
        <f t="shared" si="312"/>
        <v>0</v>
      </c>
      <c r="Z977" s="29">
        <f t="shared" si="313"/>
        <v>1250</v>
      </c>
    </row>
    <row r="978" spans="1:26" x14ac:dyDescent="0.3">
      <c r="A978" s="5" t="s">
        <v>2426</v>
      </c>
      <c r="B978" s="5" t="s">
        <v>2427</v>
      </c>
      <c r="C978" s="5">
        <v>8</v>
      </c>
      <c r="D978" s="6">
        <v>969</v>
      </c>
      <c r="E978" s="17">
        <f>VLOOKUP(A978,'forecast data dump'!$A$1:$H$3450,4,FALSE)</f>
        <v>44636</v>
      </c>
      <c r="F978" s="17">
        <f>VLOOKUP(A978,'forecast data dump'!$A$1:$H$3450,5,FALSE)</f>
        <v>44649</v>
      </c>
      <c r="G978" s="42">
        <f>VLOOKUP(A978,'forecast data dump'!$A$1:$H$3450,8,FALSE)</f>
        <v>0</v>
      </c>
      <c r="H978" s="5" t="s">
        <v>3742</v>
      </c>
      <c r="I978" s="39">
        <f t="shared" si="314"/>
        <v>8</v>
      </c>
      <c r="J978" s="5"/>
      <c r="K978" s="5"/>
      <c r="L978" s="33">
        <f t="shared" si="315"/>
        <v>969</v>
      </c>
      <c r="M978" s="33">
        <f t="shared" si="316"/>
        <v>969</v>
      </c>
      <c r="N978" s="33">
        <f t="shared" si="317"/>
        <v>0</v>
      </c>
      <c r="T978">
        <v>1</v>
      </c>
      <c r="U978" s="29">
        <f t="shared" si="308"/>
        <v>0</v>
      </c>
      <c r="V978" s="29">
        <f t="shared" si="309"/>
        <v>0</v>
      </c>
      <c r="W978" s="29">
        <f t="shared" si="310"/>
        <v>0</v>
      </c>
      <c r="X978" s="29">
        <f t="shared" si="311"/>
        <v>0</v>
      </c>
      <c r="Y978" s="29">
        <f t="shared" si="312"/>
        <v>0</v>
      </c>
      <c r="Z978" s="29">
        <f t="shared" si="313"/>
        <v>969</v>
      </c>
    </row>
    <row r="979" spans="1:26" x14ac:dyDescent="0.3">
      <c r="A979" s="5" t="s">
        <v>2426</v>
      </c>
      <c r="B979" s="5" t="s">
        <v>2427</v>
      </c>
      <c r="C979" s="5">
        <v>8</v>
      </c>
      <c r="D979" s="6">
        <v>969</v>
      </c>
      <c r="E979" s="17">
        <f>VLOOKUP(A979,'forecast data dump'!$A$1:$H$3450,4,FALSE)</f>
        <v>44636</v>
      </c>
      <c r="F979" s="17">
        <f>VLOOKUP(A979,'forecast data dump'!$A$1:$H$3450,5,FALSE)</f>
        <v>44649</v>
      </c>
      <c r="G979" s="42">
        <f>VLOOKUP(A979,'forecast data dump'!$A$1:$H$3450,8,FALSE)</f>
        <v>0</v>
      </c>
      <c r="H979" s="5" t="s">
        <v>3745</v>
      </c>
      <c r="I979" s="39">
        <f t="shared" si="314"/>
        <v>8</v>
      </c>
      <c r="J979" s="5"/>
      <c r="K979" s="5"/>
      <c r="L979" s="33">
        <f t="shared" si="315"/>
        <v>969</v>
      </c>
      <c r="M979" s="33">
        <f t="shared" si="316"/>
        <v>969</v>
      </c>
      <c r="N979" s="33">
        <f t="shared" si="317"/>
        <v>0</v>
      </c>
      <c r="T979">
        <v>1</v>
      </c>
      <c r="U979" s="29">
        <f t="shared" si="308"/>
        <v>0</v>
      </c>
      <c r="V979" s="29">
        <f t="shared" si="309"/>
        <v>0</v>
      </c>
      <c r="W979" s="29">
        <f t="shared" si="310"/>
        <v>0</v>
      </c>
      <c r="X979" s="29">
        <f t="shared" si="311"/>
        <v>0</v>
      </c>
      <c r="Y979" s="29">
        <f t="shared" si="312"/>
        <v>0</v>
      </c>
      <c r="Z979" s="29">
        <f t="shared" si="313"/>
        <v>969</v>
      </c>
    </row>
    <row r="980" spans="1:26" x14ac:dyDescent="0.3">
      <c r="A980" s="5" t="s">
        <v>2426</v>
      </c>
      <c r="B980" s="5" t="s">
        <v>2427</v>
      </c>
      <c r="C980" s="5">
        <v>8</v>
      </c>
      <c r="D980" s="6">
        <v>969</v>
      </c>
      <c r="E980" s="17">
        <f>VLOOKUP(A980,'forecast data dump'!$A$1:$H$3450,4,FALSE)</f>
        <v>44636</v>
      </c>
      <c r="F980" s="17">
        <f>VLOOKUP(A980,'forecast data dump'!$A$1:$H$3450,5,FALSE)</f>
        <v>44649</v>
      </c>
      <c r="G980" s="42">
        <f>VLOOKUP(A980,'forecast data dump'!$A$1:$H$3450,8,FALSE)</f>
        <v>0</v>
      </c>
      <c r="H980" s="5" t="s">
        <v>3741</v>
      </c>
      <c r="I980" s="39">
        <f t="shared" si="314"/>
        <v>8</v>
      </c>
      <c r="J980" s="5"/>
      <c r="K980" s="5"/>
      <c r="L980" s="33">
        <f t="shared" si="315"/>
        <v>969</v>
      </c>
      <c r="M980" s="33">
        <f t="shared" si="316"/>
        <v>969</v>
      </c>
      <c r="N980" s="33">
        <f t="shared" si="317"/>
        <v>0</v>
      </c>
      <c r="T980">
        <v>1</v>
      </c>
      <c r="U980" s="29">
        <f t="shared" si="308"/>
        <v>0</v>
      </c>
      <c r="V980" s="29">
        <f t="shared" si="309"/>
        <v>0</v>
      </c>
      <c r="W980" s="29">
        <f t="shared" si="310"/>
        <v>0</v>
      </c>
      <c r="X980" s="29">
        <f t="shared" si="311"/>
        <v>0</v>
      </c>
      <c r="Y980" s="29">
        <f t="shared" si="312"/>
        <v>0</v>
      </c>
      <c r="Z980" s="29">
        <f t="shared" si="313"/>
        <v>969</v>
      </c>
    </row>
    <row r="981" spans="1:26" x14ac:dyDescent="0.3">
      <c r="A981" s="5" t="s">
        <v>2428</v>
      </c>
      <c r="B981" s="5" t="s">
        <v>2429</v>
      </c>
      <c r="C981" s="5">
        <v>400</v>
      </c>
      <c r="D981" s="6">
        <v>73035</v>
      </c>
      <c r="E981" s="17">
        <f>VLOOKUP(A981,'forecast data dump'!$A$1:$H$3450,4,FALSE)</f>
        <v>44650</v>
      </c>
      <c r="F981" s="17">
        <f>VLOOKUP(A981,'forecast data dump'!$A$1:$H$3450,5,FALSE)</f>
        <v>44684</v>
      </c>
      <c r="G981" s="42">
        <f>VLOOKUP(A981,'forecast data dump'!$A$1:$H$3450,8,FALSE)</f>
        <v>0</v>
      </c>
      <c r="H981" s="5" t="s">
        <v>3740</v>
      </c>
      <c r="I981" s="39">
        <f t="shared" si="314"/>
        <v>400</v>
      </c>
      <c r="J981" s="5"/>
      <c r="K981" s="5"/>
      <c r="L981" s="33">
        <f t="shared" si="315"/>
        <v>73035</v>
      </c>
      <c r="M981" s="33">
        <f t="shared" si="316"/>
        <v>73035</v>
      </c>
      <c r="N981" s="33">
        <f t="shared" si="317"/>
        <v>0</v>
      </c>
      <c r="T981">
        <v>1</v>
      </c>
      <c r="U981" s="29">
        <f t="shared" si="308"/>
        <v>0</v>
      </c>
      <c r="V981" s="29">
        <f t="shared" si="309"/>
        <v>0</v>
      </c>
      <c r="W981" s="29">
        <f t="shared" si="310"/>
        <v>0</v>
      </c>
      <c r="X981" s="29">
        <f t="shared" si="311"/>
        <v>0</v>
      </c>
      <c r="Y981" s="29">
        <f t="shared" si="312"/>
        <v>0</v>
      </c>
      <c r="Z981" s="29">
        <f t="shared" si="313"/>
        <v>73035</v>
      </c>
    </row>
    <row r="982" spans="1:26" x14ac:dyDescent="0.3">
      <c r="A982" s="5" t="s">
        <v>2428</v>
      </c>
      <c r="B982" s="5" t="s">
        <v>2429</v>
      </c>
      <c r="C982" s="5">
        <v>40</v>
      </c>
      <c r="D982" s="6">
        <v>6249</v>
      </c>
      <c r="E982" s="17">
        <f>VLOOKUP(A982,'forecast data dump'!$A$1:$H$3450,4,FALSE)</f>
        <v>44650</v>
      </c>
      <c r="F982" s="17">
        <f>VLOOKUP(A982,'forecast data dump'!$A$1:$H$3450,5,FALSE)</f>
        <v>44684</v>
      </c>
      <c r="G982" s="42">
        <f>VLOOKUP(A982,'forecast data dump'!$A$1:$H$3450,8,FALSE)</f>
        <v>0</v>
      </c>
      <c r="H982" s="5" t="s">
        <v>3744</v>
      </c>
      <c r="I982" s="39">
        <f t="shared" si="314"/>
        <v>40</v>
      </c>
      <c r="J982" s="5"/>
      <c r="K982" s="5"/>
      <c r="L982" s="33">
        <f t="shared" si="315"/>
        <v>6249</v>
      </c>
      <c r="M982" s="33">
        <f t="shared" si="316"/>
        <v>6249</v>
      </c>
      <c r="N982" s="33">
        <f t="shared" si="317"/>
        <v>0</v>
      </c>
      <c r="T982">
        <v>1</v>
      </c>
      <c r="U982" s="29">
        <f t="shared" si="308"/>
        <v>0</v>
      </c>
      <c r="V982" s="29">
        <f t="shared" si="309"/>
        <v>0</v>
      </c>
      <c r="W982" s="29">
        <f t="shared" si="310"/>
        <v>0</v>
      </c>
      <c r="X982" s="29">
        <f t="shared" si="311"/>
        <v>0</v>
      </c>
      <c r="Y982" s="29">
        <f t="shared" si="312"/>
        <v>0</v>
      </c>
      <c r="Z982" s="29">
        <f t="shared" si="313"/>
        <v>6249</v>
      </c>
    </row>
    <row r="983" spans="1:26" x14ac:dyDescent="0.3">
      <c r="A983" s="5" t="s">
        <v>2428</v>
      </c>
      <c r="B983" s="5" t="s">
        <v>2429</v>
      </c>
      <c r="C983" s="5">
        <v>40</v>
      </c>
      <c r="D983" s="6">
        <v>4843</v>
      </c>
      <c r="E983" s="17">
        <f>VLOOKUP(A983,'forecast data dump'!$A$1:$H$3450,4,FALSE)</f>
        <v>44650</v>
      </c>
      <c r="F983" s="17">
        <f>VLOOKUP(A983,'forecast data dump'!$A$1:$H$3450,5,FALSE)</f>
        <v>44684</v>
      </c>
      <c r="G983" s="42">
        <f>VLOOKUP(A983,'forecast data dump'!$A$1:$H$3450,8,FALSE)</f>
        <v>0</v>
      </c>
      <c r="H983" s="5" t="s">
        <v>3742</v>
      </c>
      <c r="I983" s="39">
        <f t="shared" si="314"/>
        <v>40</v>
      </c>
      <c r="J983" s="5"/>
      <c r="K983" s="5"/>
      <c r="L983" s="33">
        <f t="shared" si="315"/>
        <v>4843</v>
      </c>
      <c r="M983" s="33">
        <f t="shared" si="316"/>
        <v>4843</v>
      </c>
      <c r="N983" s="33">
        <f t="shared" si="317"/>
        <v>0</v>
      </c>
      <c r="T983">
        <v>1</v>
      </c>
      <c r="U983" s="29">
        <f t="shared" si="308"/>
        <v>0</v>
      </c>
      <c r="V983" s="29">
        <f t="shared" si="309"/>
        <v>0</v>
      </c>
      <c r="W983" s="29">
        <f t="shared" si="310"/>
        <v>0</v>
      </c>
      <c r="X983" s="29">
        <f t="shared" si="311"/>
        <v>0</v>
      </c>
      <c r="Y983" s="29">
        <f t="shared" si="312"/>
        <v>0</v>
      </c>
      <c r="Z983" s="29">
        <f t="shared" si="313"/>
        <v>4843</v>
      </c>
    </row>
    <row r="984" spans="1:26" x14ac:dyDescent="0.3">
      <c r="A984" s="5" t="s">
        <v>2428</v>
      </c>
      <c r="B984" s="5" t="s">
        <v>2429</v>
      </c>
      <c r="C984" s="5">
        <v>40</v>
      </c>
      <c r="D984" s="6">
        <v>6249</v>
      </c>
      <c r="E984" s="17">
        <f>VLOOKUP(A984,'forecast data dump'!$A$1:$H$3450,4,FALSE)</f>
        <v>44650</v>
      </c>
      <c r="F984" s="17">
        <f>VLOOKUP(A984,'forecast data dump'!$A$1:$H$3450,5,FALSE)</f>
        <v>44684</v>
      </c>
      <c r="G984" s="42">
        <f>VLOOKUP(A984,'forecast data dump'!$A$1:$H$3450,8,FALSE)</f>
        <v>0</v>
      </c>
      <c r="H984" s="5" t="s">
        <v>3733</v>
      </c>
      <c r="I984" s="39">
        <f t="shared" si="314"/>
        <v>40</v>
      </c>
      <c r="J984" s="5"/>
      <c r="K984" s="5"/>
      <c r="L984" s="33">
        <f t="shared" si="315"/>
        <v>6249</v>
      </c>
      <c r="M984" s="33">
        <f t="shared" si="316"/>
        <v>6249</v>
      </c>
      <c r="N984" s="33">
        <f t="shared" si="317"/>
        <v>0</v>
      </c>
      <c r="T984">
        <v>1</v>
      </c>
      <c r="U984" s="29">
        <f t="shared" si="308"/>
        <v>0</v>
      </c>
      <c r="V984" s="29">
        <f t="shared" si="309"/>
        <v>0</v>
      </c>
      <c r="W984" s="29">
        <f t="shared" si="310"/>
        <v>0</v>
      </c>
      <c r="X984" s="29">
        <f t="shared" si="311"/>
        <v>0</v>
      </c>
      <c r="Y984" s="29">
        <f t="shared" si="312"/>
        <v>0</v>
      </c>
      <c r="Z984" s="29">
        <f t="shared" si="313"/>
        <v>6249</v>
      </c>
    </row>
    <row r="985" spans="1:26" x14ac:dyDescent="0.3">
      <c r="A985" s="5" t="s">
        <v>2428</v>
      </c>
      <c r="B985" s="5" t="s">
        <v>2429</v>
      </c>
      <c r="C985" s="5">
        <v>40</v>
      </c>
      <c r="D985" s="6">
        <v>4843</v>
      </c>
      <c r="E985" s="17">
        <f>VLOOKUP(A985,'forecast data dump'!$A$1:$H$3450,4,FALSE)</f>
        <v>44650</v>
      </c>
      <c r="F985" s="17">
        <f>VLOOKUP(A985,'forecast data dump'!$A$1:$H$3450,5,FALSE)</f>
        <v>44684</v>
      </c>
      <c r="G985" s="42">
        <f>VLOOKUP(A985,'forecast data dump'!$A$1:$H$3450,8,FALSE)</f>
        <v>0</v>
      </c>
      <c r="H985" s="5" t="s">
        <v>3745</v>
      </c>
      <c r="I985" s="39">
        <f t="shared" si="314"/>
        <v>40</v>
      </c>
      <c r="J985" s="5"/>
      <c r="K985" s="5"/>
      <c r="L985" s="33">
        <f t="shared" si="315"/>
        <v>4843</v>
      </c>
      <c r="M985" s="33">
        <f t="shared" si="316"/>
        <v>4843</v>
      </c>
      <c r="N985" s="33">
        <f t="shared" si="317"/>
        <v>0</v>
      </c>
      <c r="T985">
        <v>1</v>
      </c>
      <c r="U985" s="29">
        <f t="shared" si="308"/>
        <v>0</v>
      </c>
      <c r="V985" s="29">
        <f t="shared" si="309"/>
        <v>0</v>
      </c>
      <c r="W985" s="29">
        <f t="shared" si="310"/>
        <v>0</v>
      </c>
      <c r="X985" s="29">
        <f t="shared" si="311"/>
        <v>0</v>
      </c>
      <c r="Y985" s="29">
        <f t="shared" si="312"/>
        <v>0</v>
      </c>
      <c r="Z985" s="29">
        <f t="shared" si="313"/>
        <v>4843</v>
      </c>
    </row>
    <row r="986" spans="1:26" x14ac:dyDescent="0.3">
      <c r="A986" s="5" t="s">
        <v>2428</v>
      </c>
      <c r="B986" s="5" t="s">
        <v>2429</v>
      </c>
      <c r="C986" s="5">
        <v>40</v>
      </c>
      <c r="D986" s="6">
        <v>4843</v>
      </c>
      <c r="E986" s="17">
        <f>VLOOKUP(A986,'forecast data dump'!$A$1:$H$3450,4,FALSE)</f>
        <v>44650</v>
      </c>
      <c r="F986" s="17">
        <f>VLOOKUP(A986,'forecast data dump'!$A$1:$H$3450,5,FALSE)</f>
        <v>44684</v>
      </c>
      <c r="G986" s="42">
        <f>VLOOKUP(A986,'forecast data dump'!$A$1:$H$3450,8,FALSE)</f>
        <v>0</v>
      </c>
      <c r="H986" s="5" t="s">
        <v>3741</v>
      </c>
      <c r="I986" s="39">
        <f t="shared" si="314"/>
        <v>40</v>
      </c>
      <c r="J986" s="5"/>
      <c r="K986" s="5"/>
      <c r="L986" s="33">
        <f t="shared" si="315"/>
        <v>4843</v>
      </c>
      <c r="M986" s="33">
        <f t="shared" si="316"/>
        <v>4843</v>
      </c>
      <c r="N986" s="33">
        <f t="shared" si="317"/>
        <v>0</v>
      </c>
      <c r="T986">
        <v>1</v>
      </c>
      <c r="U986" s="29">
        <f t="shared" si="308"/>
        <v>0</v>
      </c>
      <c r="V986" s="29">
        <f t="shared" si="309"/>
        <v>0</v>
      </c>
      <c r="W986" s="29">
        <f t="shared" si="310"/>
        <v>0</v>
      </c>
      <c r="X986" s="29">
        <f t="shared" si="311"/>
        <v>0</v>
      </c>
      <c r="Y986" s="29">
        <f t="shared" si="312"/>
        <v>0</v>
      </c>
      <c r="Z986" s="29">
        <f t="shared" si="313"/>
        <v>4843</v>
      </c>
    </row>
    <row r="987" spans="1:26" x14ac:dyDescent="0.3">
      <c r="A987" s="5" t="s">
        <v>2430</v>
      </c>
      <c r="B987" s="5" t="s">
        <v>2431</v>
      </c>
      <c r="C987" s="5">
        <v>30000</v>
      </c>
      <c r="D987" s="6">
        <v>34821</v>
      </c>
      <c r="E987" s="17" t="str">
        <f>VLOOKUP(A987,'forecast data dump'!$A$1:$H$3450,4,FALSE)</f>
        <v>01-Feb-21 A</v>
      </c>
      <c r="F987" s="17">
        <f>VLOOKUP(A987,'forecast data dump'!$A$1:$H$3450,5,FALSE)</f>
        <v>44407</v>
      </c>
      <c r="G987" s="42">
        <v>0.6</v>
      </c>
      <c r="H987" s="5" t="s">
        <v>3762</v>
      </c>
      <c r="I987" s="39">
        <f t="shared" si="314"/>
        <v>12000</v>
      </c>
      <c r="J987" s="5"/>
      <c r="K987" s="5"/>
      <c r="L987" s="33">
        <f t="shared" si="315"/>
        <v>13928.400000000001</v>
      </c>
      <c r="M987" s="33">
        <f t="shared" si="316"/>
        <v>13928.400000000001</v>
      </c>
      <c r="N987" s="33">
        <f t="shared" si="317"/>
        <v>0</v>
      </c>
      <c r="O987">
        <v>1</v>
      </c>
      <c r="U987" s="29">
        <f t="shared" si="308"/>
        <v>13928.400000000001</v>
      </c>
      <c r="V987" s="29">
        <f t="shared" si="309"/>
        <v>0</v>
      </c>
      <c r="W987" s="29">
        <f t="shared" si="310"/>
        <v>0</v>
      </c>
      <c r="X987" s="29">
        <f t="shared" si="311"/>
        <v>0</v>
      </c>
      <c r="Y987" s="29">
        <f t="shared" si="312"/>
        <v>0</v>
      </c>
      <c r="Z987" s="29">
        <f t="shared" si="313"/>
        <v>0</v>
      </c>
    </row>
    <row r="988" spans="1:26" x14ac:dyDescent="0.3">
      <c r="A988" s="5" t="s">
        <v>2432</v>
      </c>
      <c r="B988" s="5" t="s">
        <v>2433</v>
      </c>
      <c r="C988" s="5">
        <v>500</v>
      </c>
      <c r="D988" s="6">
        <v>592</v>
      </c>
      <c r="E988" s="17">
        <f>VLOOKUP(A988,'forecast data dump'!$A$1:$H$3450,4,FALSE)</f>
        <v>44574</v>
      </c>
      <c r="F988" s="17">
        <f>VLOOKUP(A988,'forecast data dump'!$A$1:$H$3450,5,FALSE)</f>
        <v>44609</v>
      </c>
      <c r="G988" s="42">
        <f>VLOOKUP(A988,'forecast data dump'!$A$1:$H$3450,8,FALSE)</f>
        <v>0</v>
      </c>
      <c r="H988" s="5" t="s">
        <v>3762</v>
      </c>
      <c r="I988" s="39">
        <f t="shared" si="314"/>
        <v>500</v>
      </c>
      <c r="J988" s="5"/>
      <c r="K988" s="5"/>
      <c r="L988" s="33">
        <f t="shared" si="315"/>
        <v>592</v>
      </c>
      <c r="M988" s="33">
        <f t="shared" si="316"/>
        <v>592</v>
      </c>
      <c r="N988" s="33">
        <f t="shared" si="317"/>
        <v>0</v>
      </c>
      <c r="Q988">
        <v>1</v>
      </c>
      <c r="U988" s="29">
        <f t="shared" si="308"/>
        <v>0</v>
      </c>
      <c r="V988" s="29">
        <f t="shared" si="309"/>
        <v>0</v>
      </c>
      <c r="W988" s="29">
        <f t="shared" si="310"/>
        <v>592</v>
      </c>
      <c r="X988" s="29">
        <f t="shared" si="311"/>
        <v>0</v>
      </c>
      <c r="Y988" s="29">
        <f t="shared" si="312"/>
        <v>0</v>
      </c>
      <c r="Z988" s="29">
        <f t="shared" si="313"/>
        <v>0</v>
      </c>
    </row>
    <row r="989" spans="1:26" x14ac:dyDescent="0.3">
      <c r="A989" s="5" t="s">
        <v>2434</v>
      </c>
      <c r="B989" s="5" t="s">
        <v>2435</v>
      </c>
      <c r="C989" s="5">
        <v>500</v>
      </c>
      <c r="D989" s="6">
        <v>592</v>
      </c>
      <c r="E989" s="17">
        <f>VLOOKUP(A989,'forecast data dump'!$A$1:$H$3450,4,FALSE)</f>
        <v>44575</v>
      </c>
      <c r="F989" s="17">
        <f>VLOOKUP(A989,'forecast data dump'!$A$1:$H$3450,5,FALSE)</f>
        <v>44599</v>
      </c>
      <c r="G989" s="42">
        <f>VLOOKUP(A989,'forecast data dump'!$A$1:$H$3450,8,FALSE)</f>
        <v>0</v>
      </c>
      <c r="H989" s="5" t="s">
        <v>3762</v>
      </c>
      <c r="I989" s="39">
        <f t="shared" si="314"/>
        <v>500</v>
      </c>
      <c r="J989" s="5"/>
      <c r="K989" s="5"/>
      <c r="L989" s="33">
        <f t="shared" si="315"/>
        <v>592</v>
      </c>
      <c r="M989" s="33">
        <f t="shared" si="316"/>
        <v>592</v>
      </c>
      <c r="N989" s="33">
        <f t="shared" si="317"/>
        <v>0</v>
      </c>
      <c r="Q989">
        <v>1</v>
      </c>
      <c r="U989" s="29">
        <f t="shared" si="308"/>
        <v>0</v>
      </c>
      <c r="V989" s="29">
        <f t="shared" si="309"/>
        <v>0</v>
      </c>
      <c r="W989" s="29">
        <f t="shared" si="310"/>
        <v>592</v>
      </c>
      <c r="X989" s="29">
        <f t="shared" si="311"/>
        <v>0</v>
      </c>
      <c r="Y989" s="29">
        <f t="shared" si="312"/>
        <v>0</v>
      </c>
      <c r="Z989" s="29">
        <f t="shared" si="313"/>
        <v>0</v>
      </c>
    </row>
    <row r="990" spans="1:26" x14ac:dyDescent="0.3">
      <c r="A990" s="5" t="s">
        <v>2436</v>
      </c>
      <c r="B990" s="5" t="s">
        <v>2437</v>
      </c>
      <c r="C990" s="5">
        <v>500</v>
      </c>
      <c r="D990" s="6">
        <v>592</v>
      </c>
      <c r="E990" s="17">
        <f>VLOOKUP(A990,'forecast data dump'!$A$1:$H$3450,4,FALSE)</f>
        <v>44600</v>
      </c>
      <c r="F990" s="17">
        <f>VLOOKUP(A990,'forecast data dump'!$A$1:$H$3450,5,FALSE)</f>
        <v>44608</v>
      </c>
      <c r="G990" s="42">
        <f>VLOOKUP(A990,'forecast data dump'!$A$1:$H$3450,8,FALSE)</f>
        <v>0</v>
      </c>
      <c r="H990" s="5" t="s">
        <v>3762</v>
      </c>
      <c r="I990" s="39">
        <f t="shared" si="314"/>
        <v>500</v>
      </c>
      <c r="J990" s="5"/>
      <c r="K990" s="5"/>
      <c r="L990" s="33">
        <f t="shared" si="315"/>
        <v>592</v>
      </c>
      <c r="M990" s="33">
        <f t="shared" si="316"/>
        <v>592</v>
      </c>
      <c r="N990" s="33">
        <f t="shared" si="317"/>
        <v>0</v>
      </c>
      <c r="Q990">
        <v>1</v>
      </c>
      <c r="U990" s="29">
        <f t="shared" si="308"/>
        <v>0</v>
      </c>
      <c r="V990" s="29">
        <f t="shared" si="309"/>
        <v>0</v>
      </c>
      <c r="W990" s="29">
        <f t="shared" si="310"/>
        <v>592</v>
      </c>
      <c r="X990" s="29">
        <f t="shared" si="311"/>
        <v>0</v>
      </c>
      <c r="Y990" s="29">
        <f t="shared" si="312"/>
        <v>0</v>
      </c>
      <c r="Z990" s="29">
        <f t="shared" si="313"/>
        <v>0</v>
      </c>
    </row>
    <row r="991" spans="1:26" x14ac:dyDescent="0.3">
      <c r="A991" s="5" t="s">
        <v>2438</v>
      </c>
      <c r="B991" s="5" t="s">
        <v>2439</v>
      </c>
      <c r="C991" s="5">
        <v>500</v>
      </c>
      <c r="D991" s="6">
        <v>592</v>
      </c>
      <c r="E991" s="17">
        <f>VLOOKUP(A991,'forecast data dump'!$A$1:$H$3450,4,FALSE)</f>
        <v>44609</v>
      </c>
      <c r="F991" s="17">
        <f>VLOOKUP(A991,'forecast data dump'!$A$1:$H$3450,5,FALSE)</f>
        <v>44628</v>
      </c>
      <c r="G991" s="42">
        <f>VLOOKUP(A991,'forecast data dump'!$A$1:$H$3450,8,FALSE)</f>
        <v>0</v>
      </c>
      <c r="H991" s="5" t="s">
        <v>3762</v>
      </c>
      <c r="I991" s="39">
        <f t="shared" si="314"/>
        <v>500</v>
      </c>
      <c r="J991" s="5"/>
      <c r="K991" s="5"/>
      <c r="L991" s="33">
        <f t="shared" si="315"/>
        <v>592</v>
      </c>
      <c r="M991" s="33">
        <f t="shared" si="316"/>
        <v>592</v>
      </c>
      <c r="N991" s="33">
        <f t="shared" si="317"/>
        <v>0</v>
      </c>
      <c r="Q991">
        <v>1</v>
      </c>
      <c r="U991" s="29">
        <f t="shared" si="308"/>
        <v>0</v>
      </c>
      <c r="V991" s="29">
        <f t="shared" si="309"/>
        <v>0</v>
      </c>
      <c r="W991" s="29">
        <f t="shared" si="310"/>
        <v>592</v>
      </c>
      <c r="X991" s="29">
        <f t="shared" si="311"/>
        <v>0</v>
      </c>
      <c r="Y991" s="29">
        <f t="shared" si="312"/>
        <v>0</v>
      </c>
      <c r="Z991" s="29">
        <f t="shared" si="313"/>
        <v>0</v>
      </c>
    </row>
    <row r="992" spans="1:26" x14ac:dyDescent="0.3">
      <c r="A992" s="5" t="s">
        <v>2440</v>
      </c>
      <c r="B992" s="5" t="s">
        <v>2441</v>
      </c>
      <c r="C992" s="5">
        <v>500</v>
      </c>
      <c r="D992" s="6">
        <v>592</v>
      </c>
      <c r="E992" s="17">
        <f>VLOOKUP(A992,'forecast data dump'!$A$1:$H$3450,4,FALSE)</f>
        <v>44650</v>
      </c>
      <c r="F992" s="17">
        <f>VLOOKUP(A992,'forecast data dump'!$A$1:$H$3450,5,FALSE)</f>
        <v>44684</v>
      </c>
      <c r="G992" s="42">
        <f>VLOOKUP(A992,'forecast data dump'!$A$1:$H$3450,8,FALSE)</f>
        <v>0</v>
      </c>
      <c r="H992" s="5" t="s">
        <v>3762</v>
      </c>
      <c r="I992" s="39">
        <f t="shared" si="314"/>
        <v>500</v>
      </c>
      <c r="J992" s="5"/>
      <c r="K992" s="5"/>
      <c r="L992" s="33">
        <f t="shared" si="315"/>
        <v>592</v>
      </c>
      <c r="M992" s="33">
        <f t="shared" si="316"/>
        <v>592</v>
      </c>
      <c r="N992" s="33">
        <f t="shared" si="317"/>
        <v>0</v>
      </c>
      <c r="Q992">
        <v>1</v>
      </c>
      <c r="U992" s="29">
        <f t="shared" si="308"/>
        <v>0</v>
      </c>
      <c r="V992" s="29">
        <f t="shared" si="309"/>
        <v>0</v>
      </c>
      <c r="W992" s="29">
        <f t="shared" si="310"/>
        <v>592</v>
      </c>
      <c r="X992" s="29">
        <f t="shared" si="311"/>
        <v>0</v>
      </c>
      <c r="Y992" s="29">
        <f t="shared" si="312"/>
        <v>0</v>
      </c>
      <c r="Z992" s="29">
        <f t="shared" si="313"/>
        <v>0</v>
      </c>
    </row>
    <row r="993" spans="1:26" x14ac:dyDescent="0.3">
      <c r="A993" s="5" t="s">
        <v>2443</v>
      </c>
      <c r="B993" s="5" t="s">
        <v>2444</v>
      </c>
      <c r="C993" s="5">
        <v>80</v>
      </c>
      <c r="D993" s="6">
        <v>10615</v>
      </c>
      <c r="E993" s="17">
        <f>VLOOKUP(A993,'forecast data dump'!$A$1:$H$3450,4,FALSE)</f>
        <v>44600</v>
      </c>
      <c r="F993" s="17">
        <f>VLOOKUP(A993,'forecast data dump'!$A$1:$H$3450,5,FALSE)</f>
        <v>44608</v>
      </c>
      <c r="G993" s="42">
        <f>VLOOKUP(A993,'forecast data dump'!$A$1:$H$3450,8,FALSE)</f>
        <v>0</v>
      </c>
      <c r="H993" s="5" t="s">
        <v>3752</v>
      </c>
      <c r="I993" s="39">
        <f t="shared" si="314"/>
        <v>80</v>
      </c>
      <c r="J993" s="5"/>
      <c r="K993" s="5"/>
      <c r="L993" s="33">
        <f t="shared" si="315"/>
        <v>10615</v>
      </c>
      <c r="M993" s="33">
        <f t="shared" si="316"/>
        <v>10615</v>
      </c>
      <c r="N993" s="33">
        <f t="shared" si="317"/>
        <v>0</v>
      </c>
      <c r="T993">
        <v>1</v>
      </c>
      <c r="U993" s="29">
        <f t="shared" si="308"/>
        <v>0</v>
      </c>
      <c r="V993" s="29">
        <f t="shared" si="309"/>
        <v>0</v>
      </c>
      <c r="W993" s="29">
        <f t="shared" si="310"/>
        <v>0</v>
      </c>
      <c r="X993" s="29">
        <f t="shared" si="311"/>
        <v>0</v>
      </c>
      <c r="Y993" s="29">
        <f t="shared" si="312"/>
        <v>0</v>
      </c>
      <c r="Z993" s="29">
        <f t="shared" si="313"/>
        <v>10615</v>
      </c>
    </row>
    <row r="994" spans="1:26" x14ac:dyDescent="0.3">
      <c r="A994" s="5" t="s">
        <v>2443</v>
      </c>
      <c r="B994" s="5" t="s">
        <v>2444</v>
      </c>
      <c r="C994" s="5">
        <v>60</v>
      </c>
      <c r="D994" s="6">
        <v>7264</v>
      </c>
      <c r="E994" s="17">
        <f>VLOOKUP(A994,'forecast data dump'!$A$1:$H$3450,4,FALSE)</f>
        <v>44600</v>
      </c>
      <c r="F994" s="17">
        <f>VLOOKUP(A994,'forecast data dump'!$A$1:$H$3450,5,FALSE)</f>
        <v>44608</v>
      </c>
      <c r="G994" s="42">
        <f>VLOOKUP(A994,'forecast data dump'!$A$1:$H$3450,8,FALSE)</f>
        <v>0</v>
      </c>
      <c r="H994" s="5" t="s">
        <v>3759</v>
      </c>
      <c r="I994" s="39">
        <f t="shared" si="314"/>
        <v>60</v>
      </c>
      <c r="J994" s="5"/>
      <c r="K994" s="5"/>
      <c r="L994" s="33">
        <f t="shared" si="315"/>
        <v>7264</v>
      </c>
      <c r="M994" s="33">
        <f t="shared" si="316"/>
        <v>7264</v>
      </c>
      <c r="N994" s="33">
        <f t="shared" si="317"/>
        <v>0</v>
      </c>
      <c r="T994">
        <v>1</v>
      </c>
      <c r="U994" s="29">
        <f t="shared" si="308"/>
        <v>0</v>
      </c>
      <c r="V994" s="29">
        <f t="shared" si="309"/>
        <v>0</v>
      </c>
      <c r="W994" s="29">
        <f t="shared" si="310"/>
        <v>0</v>
      </c>
      <c r="X994" s="29">
        <f t="shared" si="311"/>
        <v>0</v>
      </c>
      <c r="Y994" s="29">
        <f t="shared" si="312"/>
        <v>0</v>
      </c>
      <c r="Z994" s="29">
        <f t="shared" si="313"/>
        <v>7264</v>
      </c>
    </row>
    <row r="995" spans="1:26" x14ac:dyDescent="0.3">
      <c r="A995" s="5" t="s">
        <v>2443</v>
      </c>
      <c r="B995" s="5" t="s">
        <v>2444</v>
      </c>
      <c r="C995" s="5">
        <v>60</v>
      </c>
      <c r="D995" s="6">
        <v>8313</v>
      </c>
      <c r="E995" s="17">
        <f>VLOOKUP(A995,'forecast data dump'!$A$1:$H$3450,4,FALSE)</f>
        <v>44600</v>
      </c>
      <c r="F995" s="17">
        <f>VLOOKUP(A995,'forecast data dump'!$A$1:$H$3450,5,FALSE)</f>
        <v>44608</v>
      </c>
      <c r="G995" s="42">
        <f>VLOOKUP(A995,'forecast data dump'!$A$1:$H$3450,8,FALSE)</f>
        <v>0</v>
      </c>
      <c r="H995" s="5" t="s">
        <v>3765</v>
      </c>
      <c r="I995" s="39">
        <f t="shared" si="314"/>
        <v>60</v>
      </c>
      <c r="J995" s="5"/>
      <c r="K995" s="5"/>
      <c r="L995" s="33">
        <f t="shared" si="315"/>
        <v>8313</v>
      </c>
      <c r="M995" s="33">
        <f t="shared" si="316"/>
        <v>8313</v>
      </c>
      <c r="N995" s="33">
        <f t="shared" si="317"/>
        <v>0</v>
      </c>
      <c r="T995">
        <v>1</v>
      </c>
      <c r="U995" s="29">
        <f t="shared" ref="U995:U1058" si="318">O995*M995</f>
        <v>0</v>
      </c>
      <c r="V995" s="29">
        <f t="shared" ref="V995:V1058" si="319">P995*M995</f>
        <v>0</v>
      </c>
      <c r="W995" s="29">
        <f t="shared" ref="W995:W1058" si="320">Q995*M995</f>
        <v>0</v>
      </c>
      <c r="X995" s="29">
        <f t="shared" ref="X995:X1058" si="321">R995*M995</f>
        <v>0</v>
      </c>
      <c r="Y995" s="29">
        <f t="shared" ref="Y995:Y1058" si="322">S995*M995</f>
        <v>0</v>
      </c>
      <c r="Z995" s="29">
        <f t="shared" ref="Z995:Z1058" si="323">T995*M995</f>
        <v>8313</v>
      </c>
    </row>
    <row r="996" spans="1:26" x14ac:dyDescent="0.3">
      <c r="A996" s="5" t="s">
        <v>2445</v>
      </c>
      <c r="B996" s="5" t="s">
        <v>2446</v>
      </c>
      <c r="C996" s="5">
        <v>120</v>
      </c>
      <c r="D996" s="6">
        <v>15923</v>
      </c>
      <c r="E996" s="17">
        <f>VLOOKUP(A996,'forecast data dump'!$A$1:$H$3450,4,FALSE)</f>
        <v>44574</v>
      </c>
      <c r="F996" s="17">
        <f>VLOOKUP(A996,'forecast data dump'!$A$1:$H$3450,5,FALSE)</f>
        <v>44609</v>
      </c>
      <c r="G996" s="42">
        <f>VLOOKUP(A996,'forecast data dump'!$A$1:$H$3450,8,FALSE)</f>
        <v>0</v>
      </c>
      <c r="H996" s="5" t="s">
        <v>3752</v>
      </c>
      <c r="I996" s="39">
        <f t="shared" si="314"/>
        <v>120</v>
      </c>
      <c r="J996" s="5"/>
      <c r="K996" s="5"/>
      <c r="L996" s="33">
        <f t="shared" si="315"/>
        <v>15923</v>
      </c>
      <c r="M996" s="33">
        <f t="shared" si="316"/>
        <v>15923</v>
      </c>
      <c r="N996" s="33">
        <f t="shared" si="317"/>
        <v>0</v>
      </c>
      <c r="T996">
        <v>1</v>
      </c>
      <c r="U996" s="29">
        <f t="shared" si="318"/>
        <v>0</v>
      </c>
      <c r="V996" s="29">
        <f t="shared" si="319"/>
        <v>0</v>
      </c>
      <c r="W996" s="29">
        <f t="shared" si="320"/>
        <v>0</v>
      </c>
      <c r="X996" s="29">
        <f t="shared" si="321"/>
        <v>0</v>
      </c>
      <c r="Y996" s="29">
        <f t="shared" si="322"/>
        <v>0</v>
      </c>
      <c r="Z996" s="29">
        <f t="shared" si="323"/>
        <v>15923</v>
      </c>
    </row>
    <row r="997" spans="1:26" x14ac:dyDescent="0.3">
      <c r="A997" s="5" t="s">
        <v>2445</v>
      </c>
      <c r="B997" s="5" t="s">
        <v>2446</v>
      </c>
      <c r="C997" s="5">
        <v>64</v>
      </c>
      <c r="D997" s="6">
        <v>7749</v>
      </c>
      <c r="E997" s="17">
        <f>VLOOKUP(A997,'forecast data dump'!$A$1:$H$3450,4,FALSE)</f>
        <v>44574</v>
      </c>
      <c r="F997" s="17">
        <f>VLOOKUP(A997,'forecast data dump'!$A$1:$H$3450,5,FALSE)</f>
        <v>44609</v>
      </c>
      <c r="G997" s="42">
        <f>VLOOKUP(A997,'forecast data dump'!$A$1:$H$3450,8,FALSE)</f>
        <v>0</v>
      </c>
      <c r="H997" s="5" t="s">
        <v>3741</v>
      </c>
      <c r="I997" s="39">
        <f t="shared" si="314"/>
        <v>64</v>
      </c>
      <c r="J997" s="5"/>
      <c r="K997" s="5"/>
      <c r="L997" s="33">
        <f t="shared" si="315"/>
        <v>7749</v>
      </c>
      <c r="M997" s="33">
        <f t="shared" si="316"/>
        <v>7749</v>
      </c>
      <c r="N997" s="33">
        <f t="shared" si="317"/>
        <v>0</v>
      </c>
      <c r="T997">
        <v>1</v>
      </c>
      <c r="U997" s="29">
        <f t="shared" si="318"/>
        <v>0</v>
      </c>
      <c r="V997" s="29">
        <f t="shared" si="319"/>
        <v>0</v>
      </c>
      <c r="W997" s="29">
        <f t="shared" si="320"/>
        <v>0</v>
      </c>
      <c r="X997" s="29">
        <f t="shared" si="321"/>
        <v>0</v>
      </c>
      <c r="Y997" s="29">
        <f t="shared" si="322"/>
        <v>0</v>
      </c>
      <c r="Z997" s="29">
        <f t="shared" si="323"/>
        <v>7749</v>
      </c>
    </row>
    <row r="998" spans="1:26" x14ac:dyDescent="0.3">
      <c r="A998" s="3" t="s">
        <v>7897</v>
      </c>
      <c r="B998" s="3"/>
      <c r="C998" s="3"/>
      <c r="D998" s="4"/>
      <c r="E998" s="15"/>
      <c r="F998" s="15"/>
      <c r="G998" s="41"/>
      <c r="H998" s="3"/>
      <c r="I998" s="38"/>
      <c r="J998" s="3"/>
      <c r="K998" s="3"/>
      <c r="L998" s="32"/>
      <c r="M998" s="32"/>
      <c r="N998" s="32"/>
      <c r="U998" s="29"/>
      <c r="V998" s="29"/>
      <c r="W998" s="29"/>
      <c r="X998" s="29"/>
      <c r="Y998" s="29"/>
      <c r="Z998" s="29"/>
    </row>
    <row r="999" spans="1:26" x14ac:dyDescent="0.3">
      <c r="A999" s="5" t="s">
        <v>2602</v>
      </c>
      <c r="B999" s="5" t="s">
        <v>2603</v>
      </c>
      <c r="C999" s="5">
        <v>60</v>
      </c>
      <c r="D999" s="6">
        <v>9101</v>
      </c>
      <c r="E999" s="17">
        <f>VLOOKUP(A999,'forecast data dump'!$A$1:$H$3450,4,FALSE)</f>
        <v>44392</v>
      </c>
      <c r="F999" s="17">
        <f>VLOOKUP(A999,'forecast data dump'!$A$1:$H$3450,5,FALSE)</f>
        <v>44522</v>
      </c>
      <c r="G999" s="42">
        <f>VLOOKUP(A999,'forecast data dump'!$A$1:$H$3450,8,FALSE)</f>
        <v>0</v>
      </c>
      <c r="H999" s="5" t="s">
        <v>3733</v>
      </c>
      <c r="I999" s="39">
        <f t="shared" ref="I999:I1056" si="324">C999*(1-G999)</f>
        <v>60</v>
      </c>
      <c r="J999" s="5"/>
      <c r="K999" s="5"/>
      <c r="L999" s="33">
        <f t="shared" ref="L999:L1056" si="325">D999*(1-G999)</f>
        <v>9101</v>
      </c>
      <c r="M999" s="33">
        <f t="shared" ref="M999:M1056" si="326">IF(J999="",L999,(D999/C999)*J999)</f>
        <v>9101</v>
      </c>
      <c r="N999" s="33">
        <f t="shared" ref="N999:N1056" si="327">L999-M999</f>
        <v>0</v>
      </c>
      <c r="T999">
        <v>1</v>
      </c>
      <c r="U999" s="29">
        <f t="shared" si="318"/>
        <v>0</v>
      </c>
      <c r="V999" s="29">
        <f t="shared" si="319"/>
        <v>0</v>
      </c>
      <c r="W999" s="29">
        <f t="shared" si="320"/>
        <v>0</v>
      </c>
      <c r="X999" s="29">
        <f t="shared" si="321"/>
        <v>0</v>
      </c>
      <c r="Y999" s="29">
        <f t="shared" si="322"/>
        <v>0</v>
      </c>
      <c r="Z999" s="29">
        <f t="shared" si="323"/>
        <v>9101</v>
      </c>
    </row>
    <row r="1000" spans="1:26" x14ac:dyDescent="0.3">
      <c r="A1000" s="5" t="s">
        <v>2602</v>
      </c>
      <c r="B1000" s="5" t="s">
        <v>2603</v>
      </c>
      <c r="C1000" s="5">
        <v>20</v>
      </c>
      <c r="D1000" s="6">
        <v>2351</v>
      </c>
      <c r="E1000" s="17">
        <f>VLOOKUP(A1000,'forecast data dump'!$A$1:$H$3450,4,FALSE)</f>
        <v>44392</v>
      </c>
      <c r="F1000" s="17">
        <f>VLOOKUP(A1000,'forecast data dump'!$A$1:$H$3450,5,FALSE)</f>
        <v>44522</v>
      </c>
      <c r="G1000" s="42">
        <f>VLOOKUP(A1000,'forecast data dump'!$A$1:$H$3450,8,FALSE)</f>
        <v>0</v>
      </c>
      <c r="H1000" s="5" t="s">
        <v>3745</v>
      </c>
      <c r="I1000" s="39">
        <f t="shared" si="324"/>
        <v>20</v>
      </c>
      <c r="J1000" s="5"/>
      <c r="K1000" s="5"/>
      <c r="L1000" s="33">
        <f t="shared" si="325"/>
        <v>2351</v>
      </c>
      <c r="M1000" s="33">
        <f t="shared" si="326"/>
        <v>2351</v>
      </c>
      <c r="N1000" s="33">
        <f t="shared" si="327"/>
        <v>0</v>
      </c>
      <c r="T1000">
        <v>1</v>
      </c>
      <c r="U1000" s="29">
        <f t="shared" si="318"/>
        <v>0</v>
      </c>
      <c r="V1000" s="29">
        <f t="shared" si="319"/>
        <v>0</v>
      </c>
      <c r="W1000" s="29">
        <f t="shared" si="320"/>
        <v>0</v>
      </c>
      <c r="X1000" s="29">
        <f t="shared" si="321"/>
        <v>0</v>
      </c>
      <c r="Y1000" s="29">
        <f t="shared" si="322"/>
        <v>0</v>
      </c>
      <c r="Z1000" s="29">
        <f t="shared" si="323"/>
        <v>2351</v>
      </c>
    </row>
    <row r="1001" spans="1:26" x14ac:dyDescent="0.3">
      <c r="A1001" s="5" t="s">
        <v>2604</v>
      </c>
      <c r="B1001" s="5" t="s">
        <v>2605</v>
      </c>
      <c r="C1001" s="5">
        <v>40</v>
      </c>
      <c r="D1001" s="6">
        <v>6067</v>
      </c>
      <c r="E1001" s="17" t="str">
        <f>VLOOKUP(A1001,'forecast data dump'!$A$1:$H$3450,4,FALSE)</f>
        <v>10-Feb-21 A</v>
      </c>
      <c r="F1001" s="17">
        <f>VLOOKUP(A1001,'forecast data dump'!$A$1:$H$3450,5,FALSE)</f>
        <v>44538</v>
      </c>
      <c r="G1001" s="42">
        <v>0.65</v>
      </c>
      <c r="H1001" s="5" t="s">
        <v>3733</v>
      </c>
      <c r="I1001" s="39">
        <f t="shared" si="324"/>
        <v>14</v>
      </c>
      <c r="J1001" s="5"/>
      <c r="K1001" s="5"/>
      <c r="L1001" s="33">
        <f t="shared" si="325"/>
        <v>2123.4499999999998</v>
      </c>
      <c r="M1001" s="33">
        <f t="shared" si="326"/>
        <v>2123.4499999999998</v>
      </c>
      <c r="N1001" s="33">
        <f t="shared" si="327"/>
        <v>0</v>
      </c>
      <c r="R1001">
        <v>1</v>
      </c>
      <c r="U1001" s="29">
        <f t="shared" si="318"/>
        <v>0</v>
      </c>
      <c r="V1001" s="29">
        <f t="shared" si="319"/>
        <v>0</v>
      </c>
      <c r="W1001" s="29">
        <f t="shared" si="320"/>
        <v>0</v>
      </c>
      <c r="X1001" s="29">
        <f t="shared" si="321"/>
        <v>2123.4499999999998</v>
      </c>
      <c r="Y1001" s="29">
        <f t="shared" si="322"/>
        <v>0</v>
      </c>
      <c r="Z1001" s="29">
        <f t="shared" si="323"/>
        <v>0</v>
      </c>
    </row>
    <row r="1002" spans="1:26" x14ac:dyDescent="0.3">
      <c r="A1002" s="5" t="s">
        <v>2604</v>
      </c>
      <c r="B1002" s="5" t="s">
        <v>2605</v>
      </c>
      <c r="C1002" s="5">
        <v>8</v>
      </c>
      <c r="D1002" s="6">
        <v>940</v>
      </c>
      <c r="E1002" s="17" t="str">
        <f>VLOOKUP(A1002,'forecast data dump'!$A$1:$H$3450,4,FALSE)</f>
        <v>10-Feb-21 A</v>
      </c>
      <c r="F1002" s="17">
        <f>VLOOKUP(A1002,'forecast data dump'!$A$1:$H$3450,5,FALSE)</f>
        <v>44538</v>
      </c>
      <c r="G1002" s="42">
        <v>0.65</v>
      </c>
      <c r="H1002" s="5" t="s">
        <v>3741</v>
      </c>
      <c r="I1002" s="39">
        <f t="shared" si="324"/>
        <v>2.8</v>
      </c>
      <c r="J1002" s="5"/>
      <c r="K1002" s="5"/>
      <c r="L1002" s="33">
        <f t="shared" si="325"/>
        <v>329</v>
      </c>
      <c r="M1002" s="33">
        <f t="shared" si="326"/>
        <v>329</v>
      </c>
      <c r="N1002" s="33">
        <f t="shared" si="327"/>
        <v>0</v>
      </c>
      <c r="R1002">
        <v>1</v>
      </c>
      <c r="U1002" s="29">
        <f t="shared" si="318"/>
        <v>0</v>
      </c>
      <c r="V1002" s="29">
        <f t="shared" si="319"/>
        <v>0</v>
      </c>
      <c r="W1002" s="29">
        <f t="shared" si="320"/>
        <v>0</v>
      </c>
      <c r="X1002" s="29">
        <f t="shared" si="321"/>
        <v>329</v>
      </c>
      <c r="Y1002" s="29">
        <f t="shared" si="322"/>
        <v>0</v>
      </c>
      <c r="Z1002" s="29">
        <f t="shared" si="323"/>
        <v>0</v>
      </c>
    </row>
    <row r="1003" spans="1:26" x14ac:dyDescent="0.3">
      <c r="A1003" s="5" t="s">
        <v>2604</v>
      </c>
      <c r="B1003" s="5" t="s">
        <v>2605</v>
      </c>
      <c r="C1003" s="5">
        <v>20</v>
      </c>
      <c r="D1003" s="6">
        <v>2351</v>
      </c>
      <c r="E1003" s="17" t="str">
        <f>VLOOKUP(A1003,'forecast data dump'!$A$1:$H$3450,4,FALSE)</f>
        <v>10-Feb-21 A</v>
      </c>
      <c r="F1003" s="17">
        <f>VLOOKUP(A1003,'forecast data dump'!$A$1:$H$3450,5,FALSE)</f>
        <v>44538</v>
      </c>
      <c r="G1003" s="42">
        <v>0.65</v>
      </c>
      <c r="H1003" s="5" t="s">
        <v>3745</v>
      </c>
      <c r="I1003" s="39">
        <f t="shared" si="324"/>
        <v>7</v>
      </c>
      <c r="J1003" s="5"/>
      <c r="K1003" s="5"/>
      <c r="L1003" s="33">
        <f t="shared" si="325"/>
        <v>822.84999999999991</v>
      </c>
      <c r="M1003" s="33">
        <f t="shared" si="326"/>
        <v>822.84999999999991</v>
      </c>
      <c r="N1003" s="33">
        <f t="shared" si="327"/>
        <v>0</v>
      </c>
      <c r="R1003">
        <v>1</v>
      </c>
      <c r="U1003" s="29">
        <f t="shared" si="318"/>
        <v>0</v>
      </c>
      <c r="V1003" s="29">
        <f t="shared" si="319"/>
        <v>0</v>
      </c>
      <c r="W1003" s="29">
        <f t="shared" si="320"/>
        <v>0</v>
      </c>
      <c r="X1003" s="29">
        <f t="shared" si="321"/>
        <v>822.84999999999991</v>
      </c>
      <c r="Y1003" s="29">
        <f t="shared" si="322"/>
        <v>0</v>
      </c>
      <c r="Z1003" s="29">
        <f t="shared" si="323"/>
        <v>0</v>
      </c>
    </row>
    <row r="1004" spans="1:26" x14ac:dyDescent="0.3">
      <c r="A1004" s="5" t="s">
        <v>2606</v>
      </c>
      <c r="B1004" s="5" t="s">
        <v>2607</v>
      </c>
      <c r="C1004" s="5">
        <v>8</v>
      </c>
      <c r="D1004" s="6">
        <v>1213</v>
      </c>
      <c r="E1004" s="17">
        <f>VLOOKUP(A1004,'forecast data dump'!$A$1:$H$3450,4,FALSE)</f>
        <v>44539</v>
      </c>
      <c r="F1004" s="17">
        <f>VLOOKUP(A1004,'forecast data dump'!$A$1:$H$3450,5,FALSE)</f>
        <v>44552</v>
      </c>
      <c r="G1004" s="42">
        <f>VLOOKUP(A1004,'forecast data dump'!$A$1:$H$3450,8,FALSE)</f>
        <v>0</v>
      </c>
      <c r="H1004" s="5" t="s">
        <v>3733</v>
      </c>
      <c r="I1004" s="39">
        <f t="shared" si="324"/>
        <v>8</v>
      </c>
      <c r="J1004" s="5"/>
      <c r="K1004" s="5"/>
      <c r="L1004" s="33">
        <f t="shared" si="325"/>
        <v>1213</v>
      </c>
      <c r="M1004" s="33">
        <f t="shared" si="326"/>
        <v>1213</v>
      </c>
      <c r="N1004" s="33">
        <f t="shared" si="327"/>
        <v>0</v>
      </c>
      <c r="T1004">
        <v>1</v>
      </c>
      <c r="U1004" s="29">
        <f t="shared" si="318"/>
        <v>0</v>
      </c>
      <c r="V1004" s="29">
        <f t="shared" si="319"/>
        <v>0</v>
      </c>
      <c r="W1004" s="29">
        <f t="shared" si="320"/>
        <v>0</v>
      </c>
      <c r="X1004" s="29">
        <f t="shared" si="321"/>
        <v>0</v>
      </c>
      <c r="Y1004" s="29">
        <f t="shared" si="322"/>
        <v>0</v>
      </c>
      <c r="Z1004" s="29">
        <f t="shared" si="323"/>
        <v>1213</v>
      </c>
    </row>
    <row r="1005" spans="1:26" x14ac:dyDescent="0.3">
      <c r="A1005" s="5" t="s">
        <v>2606</v>
      </c>
      <c r="B1005" s="5" t="s">
        <v>2607</v>
      </c>
      <c r="C1005" s="5">
        <v>8</v>
      </c>
      <c r="D1005" s="6">
        <v>940</v>
      </c>
      <c r="E1005" s="17">
        <f>VLOOKUP(A1005,'forecast data dump'!$A$1:$H$3450,4,FALSE)</f>
        <v>44539</v>
      </c>
      <c r="F1005" s="17">
        <f>VLOOKUP(A1005,'forecast data dump'!$A$1:$H$3450,5,FALSE)</f>
        <v>44552</v>
      </c>
      <c r="G1005" s="42">
        <f>VLOOKUP(A1005,'forecast data dump'!$A$1:$H$3450,8,FALSE)</f>
        <v>0</v>
      </c>
      <c r="H1005" s="5" t="s">
        <v>3741</v>
      </c>
      <c r="I1005" s="39">
        <f t="shared" si="324"/>
        <v>8</v>
      </c>
      <c r="J1005" s="5"/>
      <c r="K1005" s="5"/>
      <c r="L1005" s="33">
        <f t="shared" si="325"/>
        <v>940</v>
      </c>
      <c r="M1005" s="33">
        <f t="shared" si="326"/>
        <v>940</v>
      </c>
      <c r="N1005" s="33">
        <f t="shared" si="327"/>
        <v>0</v>
      </c>
      <c r="T1005">
        <v>1</v>
      </c>
      <c r="U1005" s="29">
        <f t="shared" si="318"/>
        <v>0</v>
      </c>
      <c r="V1005" s="29">
        <f t="shared" si="319"/>
        <v>0</v>
      </c>
      <c r="W1005" s="29">
        <f t="shared" si="320"/>
        <v>0</v>
      </c>
      <c r="X1005" s="29">
        <f t="shared" si="321"/>
        <v>0</v>
      </c>
      <c r="Y1005" s="29">
        <f t="shared" si="322"/>
        <v>0</v>
      </c>
      <c r="Z1005" s="29">
        <f t="shared" si="323"/>
        <v>940</v>
      </c>
    </row>
    <row r="1006" spans="1:26" x14ac:dyDescent="0.3">
      <c r="A1006" s="5" t="s">
        <v>2606</v>
      </c>
      <c r="B1006" s="5" t="s">
        <v>2607</v>
      </c>
      <c r="C1006" s="5">
        <v>8</v>
      </c>
      <c r="D1006" s="6">
        <v>940</v>
      </c>
      <c r="E1006" s="17">
        <f>VLOOKUP(A1006,'forecast data dump'!$A$1:$H$3450,4,FALSE)</f>
        <v>44539</v>
      </c>
      <c r="F1006" s="17">
        <f>VLOOKUP(A1006,'forecast data dump'!$A$1:$H$3450,5,FALSE)</f>
        <v>44552</v>
      </c>
      <c r="G1006" s="42">
        <f>VLOOKUP(A1006,'forecast data dump'!$A$1:$H$3450,8,FALSE)</f>
        <v>0</v>
      </c>
      <c r="H1006" s="5" t="s">
        <v>3745</v>
      </c>
      <c r="I1006" s="39">
        <f t="shared" si="324"/>
        <v>8</v>
      </c>
      <c r="J1006" s="5"/>
      <c r="K1006" s="5"/>
      <c r="L1006" s="33">
        <f t="shared" si="325"/>
        <v>940</v>
      </c>
      <c r="M1006" s="33">
        <f t="shared" si="326"/>
        <v>940</v>
      </c>
      <c r="N1006" s="33">
        <f t="shared" si="327"/>
        <v>0</v>
      </c>
      <c r="T1006">
        <v>1</v>
      </c>
      <c r="U1006" s="29">
        <f t="shared" si="318"/>
        <v>0</v>
      </c>
      <c r="V1006" s="29">
        <f t="shared" si="319"/>
        <v>0</v>
      </c>
      <c r="W1006" s="29">
        <f t="shared" si="320"/>
        <v>0</v>
      </c>
      <c r="X1006" s="29">
        <f t="shared" si="321"/>
        <v>0</v>
      </c>
      <c r="Y1006" s="29">
        <f t="shared" si="322"/>
        <v>0</v>
      </c>
      <c r="Z1006" s="29">
        <f t="shared" si="323"/>
        <v>940</v>
      </c>
    </row>
    <row r="1007" spans="1:26" x14ac:dyDescent="0.3">
      <c r="A1007" s="5" t="s">
        <v>2608</v>
      </c>
      <c r="B1007" s="5" t="s">
        <v>2609</v>
      </c>
      <c r="C1007" s="5">
        <v>8</v>
      </c>
      <c r="D1007" s="6">
        <v>1213</v>
      </c>
      <c r="E1007" s="17">
        <f>VLOOKUP(A1007,'forecast data dump'!$A$1:$H$3450,4,FALSE)</f>
        <v>44553</v>
      </c>
      <c r="F1007" s="17">
        <f>VLOOKUP(A1007,'forecast data dump'!$A$1:$H$3450,5,FALSE)</f>
        <v>44568</v>
      </c>
      <c r="G1007" s="42">
        <f>VLOOKUP(A1007,'forecast data dump'!$A$1:$H$3450,8,FALSE)</f>
        <v>0</v>
      </c>
      <c r="H1007" s="5" t="s">
        <v>3733</v>
      </c>
      <c r="I1007" s="39">
        <f t="shared" si="324"/>
        <v>8</v>
      </c>
      <c r="J1007" s="5"/>
      <c r="K1007" s="5"/>
      <c r="L1007" s="33">
        <f t="shared" si="325"/>
        <v>1213</v>
      </c>
      <c r="M1007" s="33">
        <f t="shared" si="326"/>
        <v>1213</v>
      </c>
      <c r="N1007" s="33">
        <f t="shared" si="327"/>
        <v>0</v>
      </c>
      <c r="T1007">
        <v>1</v>
      </c>
      <c r="U1007" s="29">
        <f t="shared" si="318"/>
        <v>0</v>
      </c>
      <c r="V1007" s="29">
        <f t="shared" si="319"/>
        <v>0</v>
      </c>
      <c r="W1007" s="29">
        <f t="shared" si="320"/>
        <v>0</v>
      </c>
      <c r="X1007" s="29">
        <f t="shared" si="321"/>
        <v>0</v>
      </c>
      <c r="Y1007" s="29">
        <f t="shared" si="322"/>
        <v>0</v>
      </c>
      <c r="Z1007" s="29">
        <f t="shared" si="323"/>
        <v>1213</v>
      </c>
    </row>
    <row r="1008" spans="1:26" x14ac:dyDescent="0.3">
      <c r="A1008" s="5" t="s">
        <v>2608</v>
      </c>
      <c r="B1008" s="5" t="s">
        <v>2609</v>
      </c>
      <c r="C1008" s="5">
        <v>8</v>
      </c>
      <c r="D1008" s="6">
        <v>940</v>
      </c>
      <c r="E1008" s="17">
        <f>VLOOKUP(A1008,'forecast data dump'!$A$1:$H$3450,4,FALSE)</f>
        <v>44553</v>
      </c>
      <c r="F1008" s="17">
        <f>VLOOKUP(A1008,'forecast data dump'!$A$1:$H$3450,5,FALSE)</f>
        <v>44568</v>
      </c>
      <c r="G1008" s="42">
        <f>VLOOKUP(A1008,'forecast data dump'!$A$1:$H$3450,8,FALSE)</f>
        <v>0</v>
      </c>
      <c r="H1008" s="5" t="s">
        <v>3741</v>
      </c>
      <c r="I1008" s="39">
        <f t="shared" si="324"/>
        <v>8</v>
      </c>
      <c r="J1008" s="5"/>
      <c r="K1008" s="5"/>
      <c r="L1008" s="33">
        <f t="shared" si="325"/>
        <v>940</v>
      </c>
      <c r="M1008" s="33">
        <f t="shared" si="326"/>
        <v>940</v>
      </c>
      <c r="N1008" s="33">
        <f t="shared" si="327"/>
        <v>0</v>
      </c>
      <c r="T1008">
        <v>1</v>
      </c>
      <c r="U1008" s="29">
        <f t="shared" si="318"/>
        <v>0</v>
      </c>
      <c r="V1008" s="29">
        <f t="shared" si="319"/>
        <v>0</v>
      </c>
      <c r="W1008" s="29">
        <f t="shared" si="320"/>
        <v>0</v>
      </c>
      <c r="X1008" s="29">
        <f t="shared" si="321"/>
        <v>0</v>
      </c>
      <c r="Y1008" s="29">
        <f t="shared" si="322"/>
        <v>0</v>
      </c>
      <c r="Z1008" s="29">
        <f t="shared" si="323"/>
        <v>940</v>
      </c>
    </row>
    <row r="1009" spans="1:26" x14ac:dyDescent="0.3">
      <c r="A1009" s="5" t="s">
        <v>2608</v>
      </c>
      <c r="B1009" s="5" t="s">
        <v>2609</v>
      </c>
      <c r="C1009" s="5">
        <v>8</v>
      </c>
      <c r="D1009" s="6">
        <v>940</v>
      </c>
      <c r="E1009" s="17">
        <f>VLOOKUP(A1009,'forecast data dump'!$A$1:$H$3450,4,FALSE)</f>
        <v>44553</v>
      </c>
      <c r="F1009" s="17">
        <f>VLOOKUP(A1009,'forecast data dump'!$A$1:$H$3450,5,FALSE)</f>
        <v>44568</v>
      </c>
      <c r="G1009" s="42">
        <f>VLOOKUP(A1009,'forecast data dump'!$A$1:$H$3450,8,FALSE)</f>
        <v>0</v>
      </c>
      <c r="H1009" s="5" t="s">
        <v>3745</v>
      </c>
      <c r="I1009" s="39">
        <f t="shared" si="324"/>
        <v>8</v>
      </c>
      <c r="J1009" s="5"/>
      <c r="K1009" s="5"/>
      <c r="L1009" s="33">
        <f t="shared" si="325"/>
        <v>940</v>
      </c>
      <c r="M1009" s="33">
        <f t="shared" si="326"/>
        <v>940</v>
      </c>
      <c r="N1009" s="33">
        <f t="shared" si="327"/>
        <v>0</v>
      </c>
      <c r="T1009">
        <v>1</v>
      </c>
      <c r="U1009" s="29">
        <f t="shared" si="318"/>
        <v>0</v>
      </c>
      <c r="V1009" s="29">
        <f t="shared" si="319"/>
        <v>0</v>
      </c>
      <c r="W1009" s="29">
        <f t="shared" si="320"/>
        <v>0</v>
      </c>
      <c r="X1009" s="29">
        <f t="shared" si="321"/>
        <v>0</v>
      </c>
      <c r="Y1009" s="29">
        <f t="shared" si="322"/>
        <v>0</v>
      </c>
      <c r="Z1009" s="29">
        <f t="shared" si="323"/>
        <v>940</v>
      </c>
    </row>
    <row r="1010" spans="1:26" x14ac:dyDescent="0.3">
      <c r="A1010" s="5" t="s">
        <v>2610</v>
      </c>
      <c r="B1010" s="5" t="s">
        <v>2611</v>
      </c>
      <c r="C1010" s="5">
        <v>8</v>
      </c>
      <c r="D1010" s="6">
        <v>1250</v>
      </c>
      <c r="E1010" s="17">
        <f>VLOOKUP(A1010,'forecast data dump'!$A$1:$H$3450,4,FALSE)</f>
        <v>44742</v>
      </c>
      <c r="F1010" s="17">
        <f>VLOOKUP(A1010,'forecast data dump'!$A$1:$H$3450,5,FALSE)</f>
        <v>44749</v>
      </c>
      <c r="G1010" s="42">
        <f>VLOOKUP(A1010,'forecast data dump'!$A$1:$H$3450,8,FALSE)</f>
        <v>0</v>
      </c>
      <c r="H1010" s="5" t="s">
        <v>3733</v>
      </c>
      <c r="I1010" s="39">
        <f t="shared" si="324"/>
        <v>8</v>
      </c>
      <c r="J1010" s="5"/>
      <c r="K1010" s="5"/>
      <c r="L1010" s="33">
        <f t="shared" si="325"/>
        <v>1250</v>
      </c>
      <c r="M1010" s="33">
        <f t="shared" si="326"/>
        <v>1250</v>
      </c>
      <c r="N1010" s="33">
        <f t="shared" si="327"/>
        <v>0</v>
      </c>
      <c r="T1010">
        <v>1</v>
      </c>
      <c r="U1010" s="29">
        <f t="shared" si="318"/>
        <v>0</v>
      </c>
      <c r="V1010" s="29">
        <f t="shared" si="319"/>
        <v>0</v>
      </c>
      <c r="W1010" s="29">
        <f t="shared" si="320"/>
        <v>0</v>
      </c>
      <c r="X1010" s="29">
        <f t="shared" si="321"/>
        <v>0</v>
      </c>
      <c r="Y1010" s="29">
        <f t="shared" si="322"/>
        <v>0</v>
      </c>
      <c r="Z1010" s="29">
        <f t="shared" si="323"/>
        <v>1250</v>
      </c>
    </row>
    <row r="1011" spans="1:26" x14ac:dyDescent="0.3">
      <c r="A1011" s="5" t="s">
        <v>2610</v>
      </c>
      <c r="B1011" s="5" t="s">
        <v>2611</v>
      </c>
      <c r="C1011" s="5">
        <v>24</v>
      </c>
      <c r="D1011" s="6">
        <v>2906</v>
      </c>
      <c r="E1011" s="17">
        <f>VLOOKUP(A1011,'forecast data dump'!$A$1:$H$3450,4,FALSE)</f>
        <v>44742</v>
      </c>
      <c r="F1011" s="17">
        <f>VLOOKUP(A1011,'forecast data dump'!$A$1:$H$3450,5,FALSE)</f>
        <v>44749</v>
      </c>
      <c r="G1011" s="42">
        <f>VLOOKUP(A1011,'forecast data dump'!$A$1:$H$3450,8,FALSE)</f>
        <v>0</v>
      </c>
      <c r="H1011" s="5" t="s">
        <v>3741</v>
      </c>
      <c r="I1011" s="39">
        <f t="shared" si="324"/>
        <v>24</v>
      </c>
      <c r="J1011" s="5"/>
      <c r="K1011" s="5"/>
      <c r="L1011" s="33">
        <f t="shared" si="325"/>
        <v>2906</v>
      </c>
      <c r="M1011" s="33">
        <f t="shared" si="326"/>
        <v>2906</v>
      </c>
      <c r="N1011" s="33">
        <f t="shared" si="327"/>
        <v>0</v>
      </c>
      <c r="T1011">
        <v>1</v>
      </c>
      <c r="U1011" s="29">
        <f t="shared" si="318"/>
        <v>0</v>
      </c>
      <c r="V1011" s="29">
        <f t="shared" si="319"/>
        <v>0</v>
      </c>
      <c r="W1011" s="29">
        <f t="shared" si="320"/>
        <v>0</v>
      </c>
      <c r="X1011" s="29">
        <f t="shared" si="321"/>
        <v>0</v>
      </c>
      <c r="Y1011" s="29">
        <f t="shared" si="322"/>
        <v>0</v>
      </c>
      <c r="Z1011" s="29">
        <f t="shared" si="323"/>
        <v>2906</v>
      </c>
    </row>
    <row r="1012" spans="1:26" x14ac:dyDescent="0.3">
      <c r="A1012" s="5" t="s">
        <v>2610</v>
      </c>
      <c r="B1012" s="5" t="s">
        <v>2611</v>
      </c>
      <c r="C1012" s="5">
        <v>8</v>
      </c>
      <c r="D1012" s="6">
        <v>969</v>
      </c>
      <c r="E1012" s="17">
        <f>VLOOKUP(A1012,'forecast data dump'!$A$1:$H$3450,4,FALSE)</f>
        <v>44742</v>
      </c>
      <c r="F1012" s="17">
        <f>VLOOKUP(A1012,'forecast data dump'!$A$1:$H$3450,5,FALSE)</f>
        <v>44749</v>
      </c>
      <c r="G1012" s="42">
        <f>VLOOKUP(A1012,'forecast data dump'!$A$1:$H$3450,8,FALSE)</f>
        <v>0</v>
      </c>
      <c r="H1012" s="5" t="s">
        <v>3742</v>
      </c>
      <c r="I1012" s="39">
        <f t="shared" si="324"/>
        <v>8</v>
      </c>
      <c r="J1012" s="5"/>
      <c r="K1012" s="5"/>
      <c r="L1012" s="33">
        <f t="shared" si="325"/>
        <v>969</v>
      </c>
      <c r="M1012" s="33">
        <f t="shared" si="326"/>
        <v>969</v>
      </c>
      <c r="N1012" s="33">
        <f t="shared" si="327"/>
        <v>0</v>
      </c>
      <c r="T1012">
        <v>1</v>
      </c>
      <c r="U1012" s="29">
        <f t="shared" si="318"/>
        <v>0</v>
      </c>
      <c r="V1012" s="29">
        <f t="shared" si="319"/>
        <v>0</v>
      </c>
      <c r="W1012" s="29">
        <f t="shared" si="320"/>
        <v>0</v>
      </c>
      <c r="X1012" s="29">
        <f t="shared" si="321"/>
        <v>0</v>
      </c>
      <c r="Y1012" s="29">
        <f t="shared" si="322"/>
        <v>0</v>
      </c>
      <c r="Z1012" s="29">
        <f t="shared" si="323"/>
        <v>969</v>
      </c>
    </row>
    <row r="1013" spans="1:26" x14ac:dyDescent="0.3">
      <c r="A1013" s="5" t="s">
        <v>2612</v>
      </c>
      <c r="B1013" s="5" t="s">
        <v>2613</v>
      </c>
      <c r="C1013" s="5">
        <v>4</v>
      </c>
      <c r="D1013" s="6">
        <v>625</v>
      </c>
      <c r="E1013" s="17">
        <f>VLOOKUP(A1013,'forecast data dump'!$A$1:$H$3450,4,FALSE)</f>
        <v>44753</v>
      </c>
      <c r="F1013" s="17">
        <f>VLOOKUP(A1013,'forecast data dump'!$A$1:$H$3450,5,FALSE)</f>
        <v>44757</v>
      </c>
      <c r="G1013" s="42">
        <f>VLOOKUP(A1013,'forecast data dump'!$A$1:$H$3450,8,FALSE)</f>
        <v>0</v>
      </c>
      <c r="H1013" s="5" t="s">
        <v>3733</v>
      </c>
      <c r="I1013" s="39">
        <f t="shared" si="324"/>
        <v>4</v>
      </c>
      <c r="J1013" s="5"/>
      <c r="K1013" s="5"/>
      <c r="L1013" s="33">
        <f t="shared" si="325"/>
        <v>625</v>
      </c>
      <c r="M1013" s="33">
        <f t="shared" si="326"/>
        <v>625</v>
      </c>
      <c r="N1013" s="33">
        <f t="shared" si="327"/>
        <v>0</v>
      </c>
      <c r="T1013">
        <v>1</v>
      </c>
      <c r="U1013" s="29">
        <f t="shared" si="318"/>
        <v>0</v>
      </c>
      <c r="V1013" s="29">
        <f t="shared" si="319"/>
        <v>0</v>
      </c>
      <c r="W1013" s="29">
        <f t="shared" si="320"/>
        <v>0</v>
      </c>
      <c r="X1013" s="29">
        <f t="shared" si="321"/>
        <v>0</v>
      </c>
      <c r="Y1013" s="29">
        <f t="shared" si="322"/>
        <v>0</v>
      </c>
      <c r="Z1013" s="29">
        <f t="shared" si="323"/>
        <v>625</v>
      </c>
    </row>
    <row r="1014" spans="1:26" x14ac:dyDescent="0.3">
      <c r="A1014" s="5" t="s">
        <v>2612</v>
      </c>
      <c r="B1014" s="5" t="s">
        <v>2613</v>
      </c>
      <c r="C1014" s="5">
        <v>16</v>
      </c>
      <c r="D1014" s="6">
        <v>1937</v>
      </c>
      <c r="E1014" s="17">
        <f>VLOOKUP(A1014,'forecast data dump'!$A$1:$H$3450,4,FALSE)</f>
        <v>44753</v>
      </c>
      <c r="F1014" s="17">
        <f>VLOOKUP(A1014,'forecast data dump'!$A$1:$H$3450,5,FALSE)</f>
        <v>44757</v>
      </c>
      <c r="G1014" s="42">
        <f>VLOOKUP(A1014,'forecast data dump'!$A$1:$H$3450,8,FALSE)</f>
        <v>0</v>
      </c>
      <c r="H1014" s="5" t="s">
        <v>3745</v>
      </c>
      <c r="I1014" s="39">
        <f t="shared" si="324"/>
        <v>16</v>
      </c>
      <c r="J1014" s="5"/>
      <c r="K1014" s="5"/>
      <c r="L1014" s="33">
        <f t="shared" si="325"/>
        <v>1937</v>
      </c>
      <c r="M1014" s="33">
        <f t="shared" si="326"/>
        <v>1937</v>
      </c>
      <c r="N1014" s="33">
        <f t="shared" si="327"/>
        <v>0</v>
      </c>
      <c r="T1014">
        <v>1</v>
      </c>
      <c r="U1014" s="29">
        <f t="shared" si="318"/>
        <v>0</v>
      </c>
      <c r="V1014" s="29">
        <f t="shared" si="319"/>
        <v>0</v>
      </c>
      <c r="W1014" s="29">
        <f t="shared" si="320"/>
        <v>0</v>
      </c>
      <c r="X1014" s="29">
        <f t="shared" si="321"/>
        <v>0</v>
      </c>
      <c r="Y1014" s="29">
        <f t="shared" si="322"/>
        <v>0</v>
      </c>
      <c r="Z1014" s="29">
        <f t="shared" si="323"/>
        <v>1937</v>
      </c>
    </row>
    <row r="1015" spans="1:26" x14ac:dyDescent="0.3">
      <c r="A1015" s="5" t="s">
        <v>2612</v>
      </c>
      <c r="B1015" s="5" t="s">
        <v>2613</v>
      </c>
      <c r="C1015" s="5">
        <v>80</v>
      </c>
      <c r="D1015" s="6">
        <v>9686</v>
      </c>
      <c r="E1015" s="17">
        <f>VLOOKUP(A1015,'forecast data dump'!$A$1:$H$3450,4,FALSE)</f>
        <v>44753</v>
      </c>
      <c r="F1015" s="17">
        <f>VLOOKUP(A1015,'forecast data dump'!$A$1:$H$3450,5,FALSE)</f>
        <v>44757</v>
      </c>
      <c r="G1015" s="42">
        <f>VLOOKUP(A1015,'forecast data dump'!$A$1:$H$3450,8,FALSE)</f>
        <v>0</v>
      </c>
      <c r="H1015" s="5" t="s">
        <v>3741</v>
      </c>
      <c r="I1015" s="39">
        <f t="shared" si="324"/>
        <v>80</v>
      </c>
      <c r="J1015" s="5"/>
      <c r="K1015" s="5"/>
      <c r="L1015" s="33">
        <f t="shared" si="325"/>
        <v>9686</v>
      </c>
      <c r="M1015" s="33">
        <f t="shared" si="326"/>
        <v>9686</v>
      </c>
      <c r="N1015" s="33">
        <f t="shared" si="327"/>
        <v>0</v>
      </c>
      <c r="T1015">
        <v>1</v>
      </c>
      <c r="U1015" s="29">
        <f t="shared" si="318"/>
        <v>0</v>
      </c>
      <c r="V1015" s="29">
        <f t="shared" si="319"/>
        <v>0</v>
      </c>
      <c r="W1015" s="29">
        <f t="shared" si="320"/>
        <v>0</v>
      </c>
      <c r="X1015" s="29">
        <f t="shared" si="321"/>
        <v>0</v>
      </c>
      <c r="Y1015" s="29">
        <f t="shared" si="322"/>
        <v>0</v>
      </c>
      <c r="Z1015" s="29">
        <f t="shared" si="323"/>
        <v>9686</v>
      </c>
    </row>
    <row r="1016" spans="1:26" x14ac:dyDescent="0.3">
      <c r="A1016" s="5" t="s">
        <v>2614</v>
      </c>
      <c r="B1016" s="5" t="s">
        <v>2615</v>
      </c>
      <c r="C1016" s="5">
        <v>8</v>
      </c>
      <c r="D1016" s="6">
        <v>851</v>
      </c>
      <c r="E1016" s="17">
        <f>VLOOKUP(A1016,'forecast data dump'!$A$1:$H$3450,4,FALSE)</f>
        <v>44760</v>
      </c>
      <c r="F1016" s="17">
        <f>VLOOKUP(A1016,'forecast data dump'!$A$1:$H$3450,5,FALSE)</f>
        <v>44764</v>
      </c>
      <c r="G1016" s="42">
        <f>VLOOKUP(A1016,'forecast data dump'!$A$1:$H$3450,8,FALSE)</f>
        <v>0</v>
      </c>
      <c r="H1016" s="5" t="s">
        <v>3757</v>
      </c>
      <c r="I1016" s="39">
        <f t="shared" si="324"/>
        <v>8</v>
      </c>
      <c r="J1016" s="5"/>
      <c r="K1016" s="5"/>
      <c r="L1016" s="33">
        <f t="shared" si="325"/>
        <v>851</v>
      </c>
      <c r="M1016" s="33">
        <f t="shared" si="326"/>
        <v>851</v>
      </c>
      <c r="N1016" s="33">
        <f t="shared" si="327"/>
        <v>0</v>
      </c>
      <c r="T1016">
        <v>1</v>
      </c>
      <c r="U1016" s="29">
        <f t="shared" si="318"/>
        <v>0</v>
      </c>
      <c r="V1016" s="29">
        <f t="shared" si="319"/>
        <v>0</v>
      </c>
      <c r="W1016" s="29">
        <f t="shared" si="320"/>
        <v>0</v>
      </c>
      <c r="X1016" s="29">
        <f t="shared" si="321"/>
        <v>0</v>
      </c>
      <c r="Y1016" s="29">
        <f t="shared" si="322"/>
        <v>0</v>
      </c>
      <c r="Z1016" s="29">
        <f t="shared" si="323"/>
        <v>851</v>
      </c>
    </row>
    <row r="1017" spans="1:26" x14ac:dyDescent="0.3">
      <c r="A1017" s="5" t="s">
        <v>2616</v>
      </c>
      <c r="B1017" s="5" t="s">
        <v>2617</v>
      </c>
      <c r="C1017" s="5">
        <v>20</v>
      </c>
      <c r="D1017" s="6">
        <v>2421</v>
      </c>
      <c r="E1017" s="17">
        <f>VLOOKUP(A1017,'forecast data dump'!$A$1:$H$3450,4,FALSE)</f>
        <v>44767</v>
      </c>
      <c r="F1017" s="17">
        <f>VLOOKUP(A1017,'forecast data dump'!$A$1:$H$3450,5,FALSE)</f>
        <v>44771</v>
      </c>
      <c r="G1017" s="42">
        <f>VLOOKUP(A1017,'forecast data dump'!$A$1:$H$3450,8,FALSE)</f>
        <v>0</v>
      </c>
      <c r="H1017" s="5" t="s">
        <v>3741</v>
      </c>
      <c r="I1017" s="39">
        <f t="shared" si="324"/>
        <v>20</v>
      </c>
      <c r="J1017" s="5"/>
      <c r="K1017" s="5"/>
      <c r="L1017" s="33">
        <f t="shared" si="325"/>
        <v>2421</v>
      </c>
      <c r="M1017" s="33">
        <f t="shared" si="326"/>
        <v>2421</v>
      </c>
      <c r="N1017" s="33">
        <f t="shared" si="327"/>
        <v>0</v>
      </c>
      <c r="T1017">
        <v>1</v>
      </c>
      <c r="U1017" s="29">
        <f t="shared" si="318"/>
        <v>0</v>
      </c>
      <c r="V1017" s="29">
        <f t="shared" si="319"/>
        <v>0</v>
      </c>
      <c r="W1017" s="29">
        <f t="shared" si="320"/>
        <v>0</v>
      </c>
      <c r="X1017" s="29">
        <f t="shared" si="321"/>
        <v>0</v>
      </c>
      <c r="Y1017" s="29">
        <f t="shared" si="322"/>
        <v>0</v>
      </c>
      <c r="Z1017" s="29">
        <f t="shared" si="323"/>
        <v>2421</v>
      </c>
    </row>
    <row r="1018" spans="1:26" x14ac:dyDescent="0.3">
      <c r="A1018" s="5" t="s">
        <v>2618</v>
      </c>
      <c r="B1018" s="5" t="s">
        <v>2619</v>
      </c>
      <c r="C1018" s="5">
        <v>120</v>
      </c>
      <c r="D1018" s="6">
        <v>14529</v>
      </c>
      <c r="E1018" s="17">
        <f>VLOOKUP(A1018,'forecast data dump'!$A$1:$H$3450,4,FALSE)</f>
        <v>44783</v>
      </c>
      <c r="F1018" s="17">
        <f>VLOOKUP(A1018,'forecast data dump'!$A$1:$H$3450,5,FALSE)</f>
        <v>44803</v>
      </c>
      <c r="G1018" s="42">
        <f>VLOOKUP(A1018,'forecast data dump'!$A$1:$H$3450,8,FALSE)</f>
        <v>0</v>
      </c>
      <c r="H1018" s="5" t="s">
        <v>3742</v>
      </c>
      <c r="I1018" s="39">
        <f t="shared" si="324"/>
        <v>120</v>
      </c>
      <c r="J1018" s="5"/>
      <c r="K1018" s="5"/>
      <c r="L1018" s="33">
        <f t="shared" si="325"/>
        <v>14529</v>
      </c>
      <c r="M1018" s="33">
        <f t="shared" si="326"/>
        <v>14529</v>
      </c>
      <c r="N1018" s="33">
        <f t="shared" si="327"/>
        <v>0</v>
      </c>
      <c r="T1018">
        <v>1</v>
      </c>
      <c r="U1018" s="29">
        <f t="shared" si="318"/>
        <v>0</v>
      </c>
      <c r="V1018" s="29">
        <f t="shared" si="319"/>
        <v>0</v>
      </c>
      <c r="W1018" s="29">
        <f t="shared" si="320"/>
        <v>0</v>
      </c>
      <c r="X1018" s="29">
        <f t="shared" si="321"/>
        <v>0</v>
      </c>
      <c r="Y1018" s="29">
        <f t="shared" si="322"/>
        <v>0</v>
      </c>
      <c r="Z1018" s="29">
        <f t="shared" si="323"/>
        <v>14529</v>
      </c>
    </row>
    <row r="1019" spans="1:26" x14ac:dyDescent="0.3">
      <c r="A1019" s="5" t="s">
        <v>2618</v>
      </c>
      <c r="B1019" s="5" t="s">
        <v>2619</v>
      </c>
      <c r="C1019" s="5">
        <v>60</v>
      </c>
      <c r="D1019" s="6">
        <v>7264</v>
      </c>
      <c r="E1019" s="17">
        <f>VLOOKUP(A1019,'forecast data dump'!$A$1:$H$3450,4,FALSE)</f>
        <v>44783</v>
      </c>
      <c r="F1019" s="17">
        <f>VLOOKUP(A1019,'forecast data dump'!$A$1:$H$3450,5,FALSE)</f>
        <v>44803</v>
      </c>
      <c r="G1019" s="42">
        <f>VLOOKUP(A1019,'forecast data dump'!$A$1:$H$3450,8,FALSE)</f>
        <v>0</v>
      </c>
      <c r="H1019" s="5" t="s">
        <v>3741</v>
      </c>
      <c r="I1019" s="39">
        <f t="shared" si="324"/>
        <v>60</v>
      </c>
      <c r="J1019" s="5"/>
      <c r="K1019" s="5"/>
      <c r="L1019" s="33">
        <f t="shared" si="325"/>
        <v>7264</v>
      </c>
      <c r="M1019" s="33">
        <f t="shared" si="326"/>
        <v>7264</v>
      </c>
      <c r="N1019" s="33">
        <f t="shared" si="327"/>
        <v>0</v>
      </c>
      <c r="T1019">
        <v>1</v>
      </c>
      <c r="U1019" s="29">
        <f t="shared" si="318"/>
        <v>0</v>
      </c>
      <c r="V1019" s="29">
        <f t="shared" si="319"/>
        <v>0</v>
      </c>
      <c r="W1019" s="29">
        <f t="shared" si="320"/>
        <v>0</v>
      </c>
      <c r="X1019" s="29">
        <f t="shared" si="321"/>
        <v>0</v>
      </c>
      <c r="Y1019" s="29">
        <f t="shared" si="322"/>
        <v>0</v>
      </c>
      <c r="Z1019" s="29">
        <f t="shared" si="323"/>
        <v>7264</v>
      </c>
    </row>
    <row r="1020" spans="1:26" x14ac:dyDescent="0.3">
      <c r="A1020" s="5" t="s">
        <v>2618</v>
      </c>
      <c r="B1020" s="5" t="s">
        <v>2619</v>
      </c>
      <c r="C1020" s="5">
        <v>24</v>
      </c>
      <c r="D1020" s="6">
        <v>3750</v>
      </c>
      <c r="E1020" s="17">
        <f>VLOOKUP(A1020,'forecast data dump'!$A$1:$H$3450,4,FALSE)</f>
        <v>44783</v>
      </c>
      <c r="F1020" s="17">
        <f>VLOOKUP(A1020,'forecast data dump'!$A$1:$H$3450,5,FALSE)</f>
        <v>44803</v>
      </c>
      <c r="G1020" s="42">
        <f>VLOOKUP(A1020,'forecast data dump'!$A$1:$H$3450,8,FALSE)</f>
        <v>0</v>
      </c>
      <c r="H1020" s="5" t="s">
        <v>3733</v>
      </c>
      <c r="I1020" s="39">
        <f t="shared" si="324"/>
        <v>24</v>
      </c>
      <c r="J1020" s="5"/>
      <c r="K1020" s="5"/>
      <c r="L1020" s="33">
        <f t="shared" si="325"/>
        <v>3750</v>
      </c>
      <c r="M1020" s="33">
        <f t="shared" si="326"/>
        <v>3750</v>
      </c>
      <c r="N1020" s="33">
        <f t="shared" si="327"/>
        <v>0</v>
      </c>
      <c r="T1020">
        <v>1</v>
      </c>
      <c r="U1020" s="29">
        <f t="shared" si="318"/>
        <v>0</v>
      </c>
      <c r="V1020" s="29">
        <f t="shared" si="319"/>
        <v>0</v>
      </c>
      <c r="W1020" s="29">
        <f t="shared" si="320"/>
        <v>0</v>
      </c>
      <c r="X1020" s="29">
        <f t="shared" si="321"/>
        <v>0</v>
      </c>
      <c r="Y1020" s="29">
        <f t="shared" si="322"/>
        <v>0</v>
      </c>
      <c r="Z1020" s="29">
        <f t="shared" si="323"/>
        <v>3750</v>
      </c>
    </row>
    <row r="1021" spans="1:26" x14ac:dyDescent="0.3">
      <c r="A1021" s="5" t="s">
        <v>2618</v>
      </c>
      <c r="B1021" s="5" t="s">
        <v>2619</v>
      </c>
      <c r="C1021" s="5">
        <v>24</v>
      </c>
      <c r="D1021" s="6">
        <v>2906</v>
      </c>
      <c r="E1021" s="17">
        <f>VLOOKUP(A1021,'forecast data dump'!$A$1:$H$3450,4,FALSE)</f>
        <v>44783</v>
      </c>
      <c r="F1021" s="17">
        <f>VLOOKUP(A1021,'forecast data dump'!$A$1:$H$3450,5,FALSE)</f>
        <v>44803</v>
      </c>
      <c r="G1021" s="42">
        <f>VLOOKUP(A1021,'forecast data dump'!$A$1:$H$3450,8,FALSE)</f>
        <v>0</v>
      </c>
      <c r="H1021" s="5" t="s">
        <v>3745</v>
      </c>
      <c r="I1021" s="39">
        <f t="shared" si="324"/>
        <v>24</v>
      </c>
      <c r="J1021" s="5"/>
      <c r="K1021" s="5"/>
      <c r="L1021" s="33">
        <f t="shared" si="325"/>
        <v>2906</v>
      </c>
      <c r="M1021" s="33">
        <f t="shared" si="326"/>
        <v>2906</v>
      </c>
      <c r="N1021" s="33">
        <f t="shared" si="327"/>
        <v>0</v>
      </c>
      <c r="T1021">
        <v>1</v>
      </c>
      <c r="U1021" s="29">
        <f t="shared" si="318"/>
        <v>0</v>
      </c>
      <c r="V1021" s="29">
        <f t="shared" si="319"/>
        <v>0</v>
      </c>
      <c r="W1021" s="29">
        <f t="shared" si="320"/>
        <v>0</v>
      </c>
      <c r="X1021" s="29">
        <f t="shared" si="321"/>
        <v>0</v>
      </c>
      <c r="Y1021" s="29">
        <f t="shared" si="322"/>
        <v>0</v>
      </c>
      <c r="Z1021" s="29">
        <f t="shared" si="323"/>
        <v>2906</v>
      </c>
    </row>
    <row r="1022" spans="1:26" x14ac:dyDescent="0.3">
      <c r="A1022" s="5" t="s">
        <v>2618</v>
      </c>
      <c r="B1022" s="5" t="s">
        <v>2619</v>
      </c>
      <c r="C1022" s="5">
        <v>240</v>
      </c>
      <c r="D1022" s="6">
        <v>31845</v>
      </c>
      <c r="E1022" s="17">
        <f>VLOOKUP(A1022,'forecast data dump'!$A$1:$H$3450,4,FALSE)</f>
        <v>44783</v>
      </c>
      <c r="F1022" s="17">
        <f>VLOOKUP(A1022,'forecast data dump'!$A$1:$H$3450,5,FALSE)</f>
        <v>44803</v>
      </c>
      <c r="G1022" s="42">
        <f>VLOOKUP(A1022,'forecast data dump'!$A$1:$H$3450,8,FALSE)</f>
        <v>0</v>
      </c>
      <c r="H1022" s="5" t="s">
        <v>3752</v>
      </c>
      <c r="I1022" s="39">
        <f t="shared" si="324"/>
        <v>240</v>
      </c>
      <c r="J1022" s="5"/>
      <c r="K1022" s="5"/>
      <c r="L1022" s="33">
        <f t="shared" si="325"/>
        <v>31845</v>
      </c>
      <c r="M1022" s="33">
        <f t="shared" si="326"/>
        <v>31845</v>
      </c>
      <c r="N1022" s="33">
        <f t="shared" si="327"/>
        <v>0</v>
      </c>
      <c r="T1022">
        <v>1</v>
      </c>
      <c r="U1022" s="29">
        <f t="shared" si="318"/>
        <v>0</v>
      </c>
      <c r="V1022" s="29">
        <f t="shared" si="319"/>
        <v>0</v>
      </c>
      <c r="W1022" s="29">
        <f t="shared" si="320"/>
        <v>0</v>
      </c>
      <c r="X1022" s="29">
        <f t="shared" si="321"/>
        <v>0</v>
      </c>
      <c r="Y1022" s="29">
        <f t="shared" si="322"/>
        <v>0</v>
      </c>
      <c r="Z1022" s="29">
        <f t="shared" si="323"/>
        <v>31845</v>
      </c>
    </row>
    <row r="1023" spans="1:26" x14ac:dyDescent="0.3">
      <c r="A1023" s="5" t="s">
        <v>2620</v>
      </c>
      <c r="B1023" s="5" t="s">
        <v>2621</v>
      </c>
      <c r="C1023" s="5">
        <v>8</v>
      </c>
      <c r="D1023" s="6">
        <v>1250</v>
      </c>
      <c r="E1023" s="17">
        <f>VLOOKUP(A1023,'forecast data dump'!$A$1:$H$3450,4,FALSE)</f>
        <v>44804</v>
      </c>
      <c r="F1023" s="17">
        <f>VLOOKUP(A1023,'forecast data dump'!$A$1:$H$3450,5,FALSE)</f>
        <v>44811</v>
      </c>
      <c r="G1023" s="42">
        <f>VLOOKUP(A1023,'forecast data dump'!$A$1:$H$3450,8,FALSE)</f>
        <v>0</v>
      </c>
      <c r="H1023" s="5" t="s">
        <v>3733</v>
      </c>
      <c r="I1023" s="39">
        <f t="shared" si="324"/>
        <v>8</v>
      </c>
      <c r="J1023" s="5"/>
      <c r="K1023" s="5"/>
      <c r="L1023" s="33">
        <f t="shared" si="325"/>
        <v>1250</v>
      </c>
      <c r="M1023" s="33">
        <f t="shared" si="326"/>
        <v>1250</v>
      </c>
      <c r="N1023" s="33">
        <f t="shared" si="327"/>
        <v>0</v>
      </c>
      <c r="T1023">
        <v>1</v>
      </c>
      <c r="U1023" s="29">
        <f t="shared" si="318"/>
        <v>0</v>
      </c>
      <c r="V1023" s="29">
        <f t="shared" si="319"/>
        <v>0</v>
      </c>
      <c r="W1023" s="29">
        <f t="shared" si="320"/>
        <v>0</v>
      </c>
      <c r="X1023" s="29">
        <f t="shared" si="321"/>
        <v>0</v>
      </c>
      <c r="Y1023" s="29">
        <f t="shared" si="322"/>
        <v>0</v>
      </c>
      <c r="Z1023" s="29">
        <f t="shared" si="323"/>
        <v>1250</v>
      </c>
    </row>
    <row r="1024" spans="1:26" x14ac:dyDescent="0.3">
      <c r="A1024" s="5" t="s">
        <v>2620</v>
      </c>
      <c r="B1024" s="5" t="s">
        <v>2621</v>
      </c>
      <c r="C1024" s="5">
        <v>8</v>
      </c>
      <c r="D1024" s="6">
        <v>969</v>
      </c>
      <c r="E1024" s="17">
        <f>VLOOKUP(A1024,'forecast data dump'!$A$1:$H$3450,4,FALSE)</f>
        <v>44804</v>
      </c>
      <c r="F1024" s="17">
        <f>VLOOKUP(A1024,'forecast data dump'!$A$1:$H$3450,5,FALSE)</f>
        <v>44811</v>
      </c>
      <c r="G1024" s="42">
        <f>VLOOKUP(A1024,'forecast data dump'!$A$1:$H$3450,8,FALSE)</f>
        <v>0</v>
      </c>
      <c r="H1024" s="5" t="s">
        <v>3742</v>
      </c>
      <c r="I1024" s="39">
        <f t="shared" si="324"/>
        <v>8</v>
      </c>
      <c r="J1024" s="5"/>
      <c r="K1024" s="5"/>
      <c r="L1024" s="33">
        <f t="shared" si="325"/>
        <v>969</v>
      </c>
      <c r="M1024" s="33">
        <f t="shared" si="326"/>
        <v>969</v>
      </c>
      <c r="N1024" s="33">
        <f t="shared" si="327"/>
        <v>0</v>
      </c>
      <c r="T1024">
        <v>1</v>
      </c>
      <c r="U1024" s="29">
        <f t="shared" si="318"/>
        <v>0</v>
      </c>
      <c r="V1024" s="29">
        <f t="shared" si="319"/>
        <v>0</v>
      </c>
      <c r="W1024" s="29">
        <f t="shared" si="320"/>
        <v>0</v>
      </c>
      <c r="X1024" s="29">
        <f t="shared" si="321"/>
        <v>0</v>
      </c>
      <c r="Y1024" s="29">
        <f t="shared" si="322"/>
        <v>0</v>
      </c>
      <c r="Z1024" s="29">
        <f t="shared" si="323"/>
        <v>969</v>
      </c>
    </row>
    <row r="1025" spans="1:26" x14ac:dyDescent="0.3">
      <c r="A1025" s="5" t="s">
        <v>2620</v>
      </c>
      <c r="B1025" s="5" t="s">
        <v>2621</v>
      </c>
      <c r="C1025" s="5">
        <v>8</v>
      </c>
      <c r="D1025" s="6">
        <v>969</v>
      </c>
      <c r="E1025" s="17">
        <f>VLOOKUP(A1025,'forecast data dump'!$A$1:$H$3450,4,FALSE)</f>
        <v>44804</v>
      </c>
      <c r="F1025" s="17">
        <f>VLOOKUP(A1025,'forecast data dump'!$A$1:$H$3450,5,FALSE)</f>
        <v>44811</v>
      </c>
      <c r="G1025" s="42">
        <f>VLOOKUP(A1025,'forecast data dump'!$A$1:$H$3450,8,FALSE)</f>
        <v>0</v>
      </c>
      <c r="H1025" s="5" t="s">
        <v>3741</v>
      </c>
      <c r="I1025" s="39">
        <f t="shared" si="324"/>
        <v>8</v>
      </c>
      <c r="J1025" s="5"/>
      <c r="K1025" s="5"/>
      <c r="L1025" s="33">
        <f t="shared" si="325"/>
        <v>969</v>
      </c>
      <c r="M1025" s="33">
        <f t="shared" si="326"/>
        <v>969</v>
      </c>
      <c r="N1025" s="33">
        <f t="shared" si="327"/>
        <v>0</v>
      </c>
      <c r="T1025">
        <v>1</v>
      </c>
      <c r="U1025" s="29">
        <f t="shared" si="318"/>
        <v>0</v>
      </c>
      <c r="V1025" s="29">
        <f t="shared" si="319"/>
        <v>0</v>
      </c>
      <c r="W1025" s="29">
        <f t="shared" si="320"/>
        <v>0</v>
      </c>
      <c r="X1025" s="29">
        <f t="shared" si="321"/>
        <v>0</v>
      </c>
      <c r="Y1025" s="29">
        <f t="shared" si="322"/>
        <v>0</v>
      </c>
      <c r="Z1025" s="29">
        <f t="shared" si="323"/>
        <v>969</v>
      </c>
    </row>
    <row r="1026" spans="1:26" x14ac:dyDescent="0.3">
      <c r="A1026" s="5" t="s">
        <v>2620</v>
      </c>
      <c r="B1026" s="5" t="s">
        <v>2621</v>
      </c>
      <c r="C1026" s="5">
        <v>8</v>
      </c>
      <c r="D1026" s="6">
        <v>1074</v>
      </c>
      <c r="E1026" s="17">
        <f>VLOOKUP(A1026,'forecast data dump'!$A$1:$H$3450,4,FALSE)</f>
        <v>44804</v>
      </c>
      <c r="F1026" s="17">
        <f>VLOOKUP(A1026,'forecast data dump'!$A$1:$H$3450,5,FALSE)</f>
        <v>44811</v>
      </c>
      <c r="G1026" s="42">
        <f>VLOOKUP(A1026,'forecast data dump'!$A$1:$H$3450,8,FALSE)</f>
        <v>0</v>
      </c>
      <c r="H1026" s="5" t="s">
        <v>3746</v>
      </c>
      <c r="I1026" s="39">
        <f t="shared" si="324"/>
        <v>8</v>
      </c>
      <c r="J1026" s="5"/>
      <c r="K1026" s="5"/>
      <c r="L1026" s="33">
        <f t="shared" si="325"/>
        <v>1074</v>
      </c>
      <c r="M1026" s="33">
        <f t="shared" si="326"/>
        <v>1074</v>
      </c>
      <c r="N1026" s="33">
        <f t="shared" si="327"/>
        <v>0</v>
      </c>
      <c r="T1026">
        <v>1</v>
      </c>
      <c r="U1026" s="29">
        <f t="shared" si="318"/>
        <v>0</v>
      </c>
      <c r="V1026" s="29">
        <f t="shared" si="319"/>
        <v>0</v>
      </c>
      <c r="W1026" s="29">
        <f t="shared" si="320"/>
        <v>0</v>
      </c>
      <c r="X1026" s="29">
        <f t="shared" si="321"/>
        <v>0</v>
      </c>
      <c r="Y1026" s="29">
        <f t="shared" si="322"/>
        <v>0</v>
      </c>
      <c r="Z1026" s="29">
        <f t="shared" si="323"/>
        <v>1074</v>
      </c>
    </row>
    <row r="1027" spans="1:26" x14ac:dyDescent="0.3">
      <c r="A1027" s="5" t="s">
        <v>2622</v>
      </c>
      <c r="B1027" s="5" t="s">
        <v>2623</v>
      </c>
      <c r="C1027" s="5">
        <v>8</v>
      </c>
      <c r="D1027" s="6">
        <v>1250</v>
      </c>
      <c r="E1027" s="17">
        <f>VLOOKUP(A1027,'forecast data dump'!$A$1:$H$3450,4,FALSE)</f>
        <v>44812</v>
      </c>
      <c r="F1027" s="17">
        <f>VLOOKUP(A1027,'forecast data dump'!$A$1:$H$3450,5,FALSE)</f>
        <v>44818</v>
      </c>
      <c r="G1027" s="42">
        <f>VLOOKUP(A1027,'forecast data dump'!$A$1:$H$3450,8,FALSE)</f>
        <v>0</v>
      </c>
      <c r="H1027" s="5" t="s">
        <v>3733</v>
      </c>
      <c r="I1027" s="39">
        <f t="shared" si="324"/>
        <v>8</v>
      </c>
      <c r="J1027" s="5"/>
      <c r="K1027" s="5"/>
      <c r="L1027" s="33">
        <f t="shared" si="325"/>
        <v>1250</v>
      </c>
      <c r="M1027" s="33">
        <f t="shared" si="326"/>
        <v>1250</v>
      </c>
      <c r="N1027" s="33">
        <f t="shared" si="327"/>
        <v>0</v>
      </c>
      <c r="T1027">
        <v>1</v>
      </c>
      <c r="U1027" s="29">
        <f t="shared" si="318"/>
        <v>0</v>
      </c>
      <c r="V1027" s="29">
        <f t="shared" si="319"/>
        <v>0</v>
      </c>
      <c r="W1027" s="29">
        <f t="shared" si="320"/>
        <v>0</v>
      </c>
      <c r="X1027" s="29">
        <f t="shared" si="321"/>
        <v>0</v>
      </c>
      <c r="Y1027" s="29">
        <f t="shared" si="322"/>
        <v>0</v>
      </c>
      <c r="Z1027" s="29">
        <f t="shared" si="323"/>
        <v>1250</v>
      </c>
    </row>
    <row r="1028" spans="1:26" x14ac:dyDescent="0.3">
      <c r="A1028" s="5" t="s">
        <v>2622</v>
      </c>
      <c r="B1028" s="5" t="s">
        <v>2623</v>
      </c>
      <c r="C1028" s="5">
        <v>8</v>
      </c>
      <c r="D1028" s="6">
        <v>969</v>
      </c>
      <c r="E1028" s="17">
        <f>VLOOKUP(A1028,'forecast data dump'!$A$1:$H$3450,4,FALSE)</f>
        <v>44812</v>
      </c>
      <c r="F1028" s="17">
        <f>VLOOKUP(A1028,'forecast data dump'!$A$1:$H$3450,5,FALSE)</f>
        <v>44818</v>
      </c>
      <c r="G1028" s="42">
        <f>VLOOKUP(A1028,'forecast data dump'!$A$1:$H$3450,8,FALSE)</f>
        <v>0</v>
      </c>
      <c r="H1028" s="5" t="s">
        <v>3742</v>
      </c>
      <c r="I1028" s="39">
        <f t="shared" si="324"/>
        <v>8</v>
      </c>
      <c r="J1028" s="5"/>
      <c r="K1028" s="5"/>
      <c r="L1028" s="33">
        <f t="shared" si="325"/>
        <v>969</v>
      </c>
      <c r="M1028" s="33">
        <f t="shared" si="326"/>
        <v>969</v>
      </c>
      <c r="N1028" s="33">
        <f t="shared" si="327"/>
        <v>0</v>
      </c>
      <c r="T1028">
        <v>1</v>
      </c>
      <c r="U1028" s="29">
        <f t="shared" si="318"/>
        <v>0</v>
      </c>
      <c r="V1028" s="29">
        <f t="shared" si="319"/>
        <v>0</v>
      </c>
      <c r="W1028" s="29">
        <f t="shared" si="320"/>
        <v>0</v>
      </c>
      <c r="X1028" s="29">
        <f t="shared" si="321"/>
        <v>0</v>
      </c>
      <c r="Y1028" s="29">
        <f t="shared" si="322"/>
        <v>0</v>
      </c>
      <c r="Z1028" s="29">
        <f t="shared" si="323"/>
        <v>969</v>
      </c>
    </row>
    <row r="1029" spans="1:26" x14ac:dyDescent="0.3">
      <c r="A1029" s="5" t="s">
        <v>2622</v>
      </c>
      <c r="B1029" s="5" t="s">
        <v>2623</v>
      </c>
      <c r="C1029" s="5">
        <v>8</v>
      </c>
      <c r="D1029" s="6">
        <v>1074</v>
      </c>
      <c r="E1029" s="17">
        <f>VLOOKUP(A1029,'forecast data dump'!$A$1:$H$3450,4,FALSE)</f>
        <v>44812</v>
      </c>
      <c r="F1029" s="17">
        <f>VLOOKUP(A1029,'forecast data dump'!$A$1:$H$3450,5,FALSE)</f>
        <v>44818</v>
      </c>
      <c r="G1029" s="42">
        <f>VLOOKUP(A1029,'forecast data dump'!$A$1:$H$3450,8,FALSE)</f>
        <v>0</v>
      </c>
      <c r="H1029" s="5" t="s">
        <v>3746</v>
      </c>
      <c r="I1029" s="39">
        <f t="shared" si="324"/>
        <v>8</v>
      </c>
      <c r="J1029" s="5"/>
      <c r="K1029" s="5"/>
      <c r="L1029" s="33">
        <f t="shared" si="325"/>
        <v>1074</v>
      </c>
      <c r="M1029" s="33">
        <f t="shared" si="326"/>
        <v>1074</v>
      </c>
      <c r="N1029" s="33">
        <f t="shared" si="327"/>
        <v>0</v>
      </c>
      <c r="T1029">
        <v>1</v>
      </c>
      <c r="U1029" s="29">
        <f t="shared" si="318"/>
        <v>0</v>
      </c>
      <c r="V1029" s="29">
        <f t="shared" si="319"/>
        <v>0</v>
      </c>
      <c r="W1029" s="29">
        <f t="shared" si="320"/>
        <v>0</v>
      </c>
      <c r="X1029" s="29">
        <f t="shared" si="321"/>
        <v>0</v>
      </c>
      <c r="Y1029" s="29">
        <f t="shared" si="322"/>
        <v>0</v>
      </c>
      <c r="Z1029" s="29">
        <f t="shared" si="323"/>
        <v>1074</v>
      </c>
    </row>
    <row r="1030" spans="1:26" x14ac:dyDescent="0.3">
      <c r="A1030" s="5" t="s">
        <v>2622</v>
      </c>
      <c r="B1030" s="5" t="s">
        <v>2623</v>
      </c>
      <c r="C1030" s="5">
        <v>8</v>
      </c>
      <c r="D1030" s="6">
        <v>969</v>
      </c>
      <c r="E1030" s="17">
        <f>VLOOKUP(A1030,'forecast data dump'!$A$1:$H$3450,4,FALSE)</f>
        <v>44812</v>
      </c>
      <c r="F1030" s="17">
        <f>VLOOKUP(A1030,'forecast data dump'!$A$1:$H$3450,5,FALSE)</f>
        <v>44818</v>
      </c>
      <c r="G1030" s="42">
        <f>VLOOKUP(A1030,'forecast data dump'!$A$1:$H$3450,8,FALSE)</f>
        <v>0</v>
      </c>
      <c r="H1030" s="5" t="s">
        <v>3741</v>
      </c>
      <c r="I1030" s="39">
        <f t="shared" si="324"/>
        <v>8</v>
      </c>
      <c r="J1030" s="5"/>
      <c r="K1030" s="5"/>
      <c r="L1030" s="33">
        <f t="shared" si="325"/>
        <v>969</v>
      </c>
      <c r="M1030" s="33">
        <f t="shared" si="326"/>
        <v>969</v>
      </c>
      <c r="N1030" s="33">
        <f t="shared" si="327"/>
        <v>0</v>
      </c>
      <c r="T1030">
        <v>1</v>
      </c>
      <c r="U1030" s="29">
        <f t="shared" si="318"/>
        <v>0</v>
      </c>
      <c r="V1030" s="29">
        <f t="shared" si="319"/>
        <v>0</v>
      </c>
      <c r="W1030" s="29">
        <f t="shared" si="320"/>
        <v>0</v>
      </c>
      <c r="X1030" s="29">
        <f t="shared" si="321"/>
        <v>0</v>
      </c>
      <c r="Y1030" s="29">
        <f t="shared" si="322"/>
        <v>0</v>
      </c>
      <c r="Z1030" s="29">
        <f t="shared" si="323"/>
        <v>969</v>
      </c>
    </row>
    <row r="1031" spans="1:26" x14ac:dyDescent="0.3">
      <c r="A1031" s="5" t="s">
        <v>2624</v>
      </c>
      <c r="B1031" s="5" t="s">
        <v>2625</v>
      </c>
      <c r="C1031" s="5">
        <v>40</v>
      </c>
      <c r="D1031" s="6">
        <v>6262</v>
      </c>
      <c r="E1031" s="17">
        <f>VLOOKUP(A1031,'forecast data dump'!$A$1:$H$3450,4,FALSE)</f>
        <v>44819</v>
      </c>
      <c r="F1031" s="17">
        <f>VLOOKUP(A1031,'forecast data dump'!$A$1:$H$3450,5,FALSE)</f>
        <v>44839</v>
      </c>
      <c r="G1031" s="42">
        <f>VLOOKUP(A1031,'forecast data dump'!$A$1:$H$3450,8,FALSE)</f>
        <v>0</v>
      </c>
      <c r="H1031" s="5" t="s">
        <v>3744</v>
      </c>
      <c r="I1031" s="39">
        <f t="shared" si="324"/>
        <v>40</v>
      </c>
      <c r="J1031" s="5"/>
      <c r="K1031" s="5"/>
      <c r="L1031" s="33">
        <f t="shared" si="325"/>
        <v>6262</v>
      </c>
      <c r="M1031" s="33">
        <f t="shared" si="326"/>
        <v>6262</v>
      </c>
      <c r="N1031" s="33">
        <f t="shared" si="327"/>
        <v>0</v>
      </c>
      <c r="T1031">
        <v>1</v>
      </c>
      <c r="U1031" s="29">
        <f t="shared" si="318"/>
        <v>0</v>
      </c>
      <c r="V1031" s="29">
        <f t="shared" si="319"/>
        <v>0</v>
      </c>
      <c r="W1031" s="29">
        <f t="shared" si="320"/>
        <v>0</v>
      </c>
      <c r="X1031" s="29">
        <f t="shared" si="321"/>
        <v>0</v>
      </c>
      <c r="Y1031" s="29">
        <f t="shared" si="322"/>
        <v>0</v>
      </c>
      <c r="Z1031" s="29">
        <f t="shared" si="323"/>
        <v>6262</v>
      </c>
    </row>
    <row r="1032" spans="1:26" x14ac:dyDescent="0.3">
      <c r="A1032" s="5" t="s">
        <v>2624</v>
      </c>
      <c r="B1032" s="5" t="s">
        <v>2625</v>
      </c>
      <c r="C1032" s="5">
        <v>40</v>
      </c>
      <c r="D1032" s="6">
        <v>4853</v>
      </c>
      <c r="E1032" s="17">
        <f>VLOOKUP(A1032,'forecast data dump'!$A$1:$H$3450,4,FALSE)</f>
        <v>44819</v>
      </c>
      <c r="F1032" s="17">
        <f>VLOOKUP(A1032,'forecast data dump'!$A$1:$H$3450,5,FALSE)</f>
        <v>44839</v>
      </c>
      <c r="G1032" s="42">
        <f>VLOOKUP(A1032,'forecast data dump'!$A$1:$H$3450,8,FALSE)</f>
        <v>0</v>
      </c>
      <c r="H1032" s="5" t="s">
        <v>3742</v>
      </c>
      <c r="I1032" s="39">
        <f t="shared" si="324"/>
        <v>40</v>
      </c>
      <c r="J1032" s="5"/>
      <c r="K1032" s="5"/>
      <c r="L1032" s="33">
        <f t="shared" si="325"/>
        <v>4853</v>
      </c>
      <c r="M1032" s="33">
        <f t="shared" si="326"/>
        <v>4853</v>
      </c>
      <c r="N1032" s="33">
        <f t="shared" si="327"/>
        <v>0</v>
      </c>
      <c r="T1032">
        <v>1</v>
      </c>
      <c r="U1032" s="29">
        <f t="shared" si="318"/>
        <v>0</v>
      </c>
      <c r="V1032" s="29">
        <f t="shared" si="319"/>
        <v>0</v>
      </c>
      <c r="W1032" s="29">
        <f t="shared" si="320"/>
        <v>0</v>
      </c>
      <c r="X1032" s="29">
        <f t="shared" si="321"/>
        <v>0</v>
      </c>
      <c r="Y1032" s="29">
        <f t="shared" si="322"/>
        <v>0</v>
      </c>
      <c r="Z1032" s="29">
        <f t="shared" si="323"/>
        <v>4853</v>
      </c>
    </row>
    <row r="1033" spans="1:26" x14ac:dyDescent="0.3">
      <c r="A1033" s="5" t="s">
        <v>2624</v>
      </c>
      <c r="B1033" s="5" t="s">
        <v>2625</v>
      </c>
      <c r="C1033" s="5">
        <v>400</v>
      </c>
      <c r="D1033" s="6">
        <v>73181</v>
      </c>
      <c r="E1033" s="17">
        <f>VLOOKUP(A1033,'forecast data dump'!$A$1:$H$3450,4,FALSE)</f>
        <v>44819</v>
      </c>
      <c r="F1033" s="17">
        <f>VLOOKUP(A1033,'forecast data dump'!$A$1:$H$3450,5,FALSE)</f>
        <v>44839</v>
      </c>
      <c r="G1033" s="42">
        <f>VLOOKUP(A1033,'forecast data dump'!$A$1:$H$3450,8,FALSE)</f>
        <v>0</v>
      </c>
      <c r="H1033" s="5" t="s">
        <v>3740</v>
      </c>
      <c r="I1033" s="39">
        <f t="shared" si="324"/>
        <v>400</v>
      </c>
      <c r="J1033" s="5"/>
      <c r="K1033" s="5"/>
      <c r="L1033" s="33">
        <f t="shared" si="325"/>
        <v>73181</v>
      </c>
      <c r="M1033" s="33">
        <f t="shared" si="326"/>
        <v>73181</v>
      </c>
      <c r="N1033" s="33">
        <f t="shared" si="327"/>
        <v>0</v>
      </c>
      <c r="T1033">
        <v>1</v>
      </c>
      <c r="U1033" s="29">
        <f t="shared" si="318"/>
        <v>0</v>
      </c>
      <c r="V1033" s="29">
        <f t="shared" si="319"/>
        <v>0</v>
      </c>
      <c r="W1033" s="29">
        <f t="shared" si="320"/>
        <v>0</v>
      </c>
      <c r="X1033" s="29">
        <f t="shared" si="321"/>
        <v>0</v>
      </c>
      <c r="Y1033" s="29">
        <f t="shared" si="322"/>
        <v>0</v>
      </c>
      <c r="Z1033" s="29">
        <f t="shared" si="323"/>
        <v>73181</v>
      </c>
    </row>
    <row r="1034" spans="1:26" x14ac:dyDescent="0.3">
      <c r="A1034" s="5" t="s">
        <v>2624</v>
      </c>
      <c r="B1034" s="5" t="s">
        <v>2625</v>
      </c>
      <c r="C1034" s="5">
        <v>40</v>
      </c>
      <c r="D1034" s="6">
        <v>4853</v>
      </c>
      <c r="E1034" s="17">
        <f>VLOOKUP(A1034,'forecast data dump'!$A$1:$H$3450,4,FALSE)</f>
        <v>44819</v>
      </c>
      <c r="F1034" s="17">
        <f>VLOOKUP(A1034,'forecast data dump'!$A$1:$H$3450,5,FALSE)</f>
        <v>44839</v>
      </c>
      <c r="G1034" s="42">
        <f>VLOOKUP(A1034,'forecast data dump'!$A$1:$H$3450,8,FALSE)</f>
        <v>0</v>
      </c>
      <c r="H1034" s="5" t="s">
        <v>3741</v>
      </c>
      <c r="I1034" s="39">
        <f t="shared" si="324"/>
        <v>40</v>
      </c>
      <c r="J1034" s="5"/>
      <c r="K1034" s="5"/>
      <c r="L1034" s="33">
        <f t="shared" si="325"/>
        <v>4853</v>
      </c>
      <c r="M1034" s="33">
        <f t="shared" si="326"/>
        <v>4853</v>
      </c>
      <c r="N1034" s="33">
        <f t="shared" si="327"/>
        <v>0</v>
      </c>
      <c r="T1034">
        <v>1</v>
      </c>
      <c r="U1034" s="29">
        <f t="shared" si="318"/>
        <v>0</v>
      </c>
      <c r="V1034" s="29">
        <f t="shared" si="319"/>
        <v>0</v>
      </c>
      <c r="W1034" s="29">
        <f t="shared" si="320"/>
        <v>0</v>
      </c>
      <c r="X1034" s="29">
        <f t="shared" si="321"/>
        <v>0</v>
      </c>
      <c r="Y1034" s="29">
        <f t="shared" si="322"/>
        <v>0</v>
      </c>
      <c r="Z1034" s="29">
        <f t="shared" si="323"/>
        <v>4853</v>
      </c>
    </row>
    <row r="1035" spans="1:26" x14ac:dyDescent="0.3">
      <c r="A1035" s="5" t="s">
        <v>2624</v>
      </c>
      <c r="B1035" s="5" t="s">
        <v>2625</v>
      </c>
      <c r="C1035" s="5">
        <v>40</v>
      </c>
      <c r="D1035" s="6">
        <v>6262</v>
      </c>
      <c r="E1035" s="17">
        <f>VLOOKUP(A1035,'forecast data dump'!$A$1:$H$3450,4,FALSE)</f>
        <v>44819</v>
      </c>
      <c r="F1035" s="17">
        <f>VLOOKUP(A1035,'forecast data dump'!$A$1:$H$3450,5,FALSE)</f>
        <v>44839</v>
      </c>
      <c r="G1035" s="42">
        <f>VLOOKUP(A1035,'forecast data dump'!$A$1:$H$3450,8,FALSE)</f>
        <v>0</v>
      </c>
      <c r="H1035" s="5" t="s">
        <v>3733</v>
      </c>
      <c r="I1035" s="39">
        <f t="shared" si="324"/>
        <v>40</v>
      </c>
      <c r="J1035" s="5"/>
      <c r="K1035" s="5"/>
      <c r="L1035" s="33">
        <f t="shared" si="325"/>
        <v>6262</v>
      </c>
      <c r="M1035" s="33">
        <f t="shared" si="326"/>
        <v>6262</v>
      </c>
      <c r="N1035" s="33">
        <f t="shared" si="327"/>
        <v>0</v>
      </c>
      <c r="T1035">
        <v>1</v>
      </c>
      <c r="U1035" s="29">
        <f t="shared" si="318"/>
        <v>0</v>
      </c>
      <c r="V1035" s="29">
        <f t="shared" si="319"/>
        <v>0</v>
      </c>
      <c r="W1035" s="29">
        <f t="shared" si="320"/>
        <v>0</v>
      </c>
      <c r="X1035" s="29">
        <f t="shared" si="321"/>
        <v>0</v>
      </c>
      <c r="Y1035" s="29">
        <f t="shared" si="322"/>
        <v>0</v>
      </c>
      <c r="Z1035" s="29">
        <f t="shared" si="323"/>
        <v>6262</v>
      </c>
    </row>
    <row r="1036" spans="1:26" x14ac:dyDescent="0.3">
      <c r="A1036" s="5" t="s">
        <v>2624</v>
      </c>
      <c r="B1036" s="5" t="s">
        <v>2625</v>
      </c>
      <c r="C1036" s="5">
        <v>40</v>
      </c>
      <c r="D1036" s="6">
        <v>4853</v>
      </c>
      <c r="E1036" s="17">
        <f>VLOOKUP(A1036,'forecast data dump'!$A$1:$H$3450,4,FALSE)</f>
        <v>44819</v>
      </c>
      <c r="F1036" s="17">
        <f>VLOOKUP(A1036,'forecast data dump'!$A$1:$H$3450,5,FALSE)</f>
        <v>44839</v>
      </c>
      <c r="G1036" s="42">
        <f>VLOOKUP(A1036,'forecast data dump'!$A$1:$H$3450,8,FALSE)</f>
        <v>0</v>
      </c>
      <c r="H1036" s="5" t="s">
        <v>3745</v>
      </c>
      <c r="I1036" s="39">
        <f t="shared" si="324"/>
        <v>40</v>
      </c>
      <c r="J1036" s="5"/>
      <c r="K1036" s="5"/>
      <c r="L1036" s="33">
        <f t="shared" si="325"/>
        <v>4853</v>
      </c>
      <c r="M1036" s="33">
        <f t="shared" si="326"/>
        <v>4853</v>
      </c>
      <c r="N1036" s="33">
        <f t="shared" si="327"/>
        <v>0</v>
      </c>
      <c r="T1036">
        <v>1</v>
      </c>
      <c r="U1036" s="29">
        <f t="shared" si="318"/>
        <v>0</v>
      </c>
      <c r="V1036" s="29">
        <f t="shared" si="319"/>
        <v>0</v>
      </c>
      <c r="W1036" s="29">
        <f t="shared" si="320"/>
        <v>0</v>
      </c>
      <c r="X1036" s="29">
        <f t="shared" si="321"/>
        <v>0</v>
      </c>
      <c r="Y1036" s="29">
        <f t="shared" si="322"/>
        <v>0</v>
      </c>
      <c r="Z1036" s="29">
        <f t="shared" si="323"/>
        <v>4853</v>
      </c>
    </row>
    <row r="1037" spans="1:26" x14ac:dyDescent="0.3">
      <c r="A1037" s="5" t="s">
        <v>2626</v>
      </c>
      <c r="B1037" s="5" t="s">
        <v>2627</v>
      </c>
      <c r="C1037" s="5">
        <v>30000</v>
      </c>
      <c r="D1037" s="6">
        <v>34821</v>
      </c>
      <c r="E1037" s="17">
        <f>VLOOKUP(A1037,'forecast data dump'!$A$1:$H$3450,4,FALSE)</f>
        <v>44392</v>
      </c>
      <c r="F1037" s="17">
        <f>VLOOKUP(A1037,'forecast data dump'!$A$1:$H$3450,5,FALSE)</f>
        <v>44522</v>
      </c>
      <c r="G1037" s="42">
        <f>VLOOKUP(A1037,'forecast data dump'!$A$1:$H$3450,8,FALSE)</f>
        <v>0</v>
      </c>
      <c r="H1037" s="5" t="s">
        <v>3762</v>
      </c>
      <c r="I1037" s="39">
        <f t="shared" si="324"/>
        <v>30000</v>
      </c>
      <c r="J1037" s="5"/>
      <c r="K1037" s="5"/>
      <c r="L1037" s="33">
        <f t="shared" si="325"/>
        <v>34821</v>
      </c>
      <c r="M1037" s="33">
        <f t="shared" si="326"/>
        <v>34821</v>
      </c>
      <c r="N1037" s="33">
        <f t="shared" si="327"/>
        <v>0</v>
      </c>
      <c r="Q1037">
        <v>1</v>
      </c>
      <c r="U1037" s="29">
        <f t="shared" si="318"/>
        <v>0</v>
      </c>
      <c r="V1037" s="29">
        <f t="shared" si="319"/>
        <v>0</v>
      </c>
      <c r="W1037" s="29">
        <f t="shared" si="320"/>
        <v>34821</v>
      </c>
      <c r="X1037" s="29">
        <f t="shared" si="321"/>
        <v>0</v>
      </c>
      <c r="Y1037" s="29">
        <f t="shared" si="322"/>
        <v>0</v>
      </c>
      <c r="Z1037" s="29">
        <f t="shared" si="323"/>
        <v>0</v>
      </c>
    </row>
    <row r="1038" spans="1:26" x14ac:dyDescent="0.3">
      <c r="A1038" s="5" t="s">
        <v>2628</v>
      </c>
      <c r="B1038" s="5" t="s">
        <v>2629</v>
      </c>
      <c r="C1038" s="5">
        <v>500</v>
      </c>
      <c r="D1038" s="6">
        <v>592</v>
      </c>
      <c r="E1038" s="17">
        <f>VLOOKUP(A1038,'forecast data dump'!$A$1:$H$3450,4,FALSE)</f>
        <v>44742</v>
      </c>
      <c r="F1038" s="17">
        <f>VLOOKUP(A1038,'forecast data dump'!$A$1:$H$3450,5,FALSE)</f>
        <v>44749</v>
      </c>
      <c r="G1038" s="42">
        <f>VLOOKUP(A1038,'forecast data dump'!$A$1:$H$3450,8,FALSE)</f>
        <v>0</v>
      </c>
      <c r="H1038" s="5" t="s">
        <v>3762</v>
      </c>
      <c r="I1038" s="39">
        <f t="shared" si="324"/>
        <v>500</v>
      </c>
      <c r="J1038" s="5"/>
      <c r="K1038" s="5"/>
      <c r="L1038" s="33">
        <f t="shared" si="325"/>
        <v>592</v>
      </c>
      <c r="M1038" s="33">
        <f t="shared" si="326"/>
        <v>592</v>
      </c>
      <c r="N1038" s="33">
        <f t="shared" si="327"/>
        <v>0</v>
      </c>
      <c r="Q1038">
        <v>1</v>
      </c>
      <c r="U1038" s="29">
        <f t="shared" si="318"/>
        <v>0</v>
      </c>
      <c r="V1038" s="29">
        <f t="shared" si="319"/>
        <v>0</v>
      </c>
      <c r="W1038" s="29">
        <f t="shared" si="320"/>
        <v>592</v>
      </c>
      <c r="X1038" s="29">
        <f t="shared" si="321"/>
        <v>0</v>
      </c>
      <c r="Y1038" s="29">
        <f t="shared" si="322"/>
        <v>0</v>
      </c>
      <c r="Z1038" s="29">
        <f t="shared" si="323"/>
        <v>0</v>
      </c>
    </row>
    <row r="1039" spans="1:26" x14ac:dyDescent="0.3">
      <c r="A1039" s="5" t="s">
        <v>2630</v>
      </c>
      <c r="B1039" s="5" t="s">
        <v>2631</v>
      </c>
      <c r="C1039" s="5">
        <v>500</v>
      </c>
      <c r="D1039" s="6">
        <v>592</v>
      </c>
      <c r="E1039" s="17">
        <f>VLOOKUP(A1039,'forecast data dump'!$A$1:$H$3450,4,FALSE)</f>
        <v>44753</v>
      </c>
      <c r="F1039" s="17">
        <f>VLOOKUP(A1039,'forecast data dump'!$A$1:$H$3450,5,FALSE)</f>
        <v>44757</v>
      </c>
      <c r="G1039" s="42">
        <f>VLOOKUP(A1039,'forecast data dump'!$A$1:$H$3450,8,FALSE)</f>
        <v>0</v>
      </c>
      <c r="H1039" s="5" t="s">
        <v>3762</v>
      </c>
      <c r="I1039" s="39">
        <f t="shared" si="324"/>
        <v>500</v>
      </c>
      <c r="J1039" s="5"/>
      <c r="K1039" s="5"/>
      <c r="L1039" s="33">
        <f t="shared" si="325"/>
        <v>592</v>
      </c>
      <c r="M1039" s="33">
        <f t="shared" si="326"/>
        <v>592</v>
      </c>
      <c r="N1039" s="33">
        <f t="shared" si="327"/>
        <v>0</v>
      </c>
      <c r="Q1039">
        <v>1</v>
      </c>
      <c r="U1039" s="29">
        <f t="shared" si="318"/>
        <v>0</v>
      </c>
      <c r="V1039" s="29">
        <f t="shared" si="319"/>
        <v>0</v>
      </c>
      <c r="W1039" s="29">
        <f t="shared" si="320"/>
        <v>592</v>
      </c>
      <c r="X1039" s="29">
        <f t="shared" si="321"/>
        <v>0</v>
      </c>
      <c r="Y1039" s="29">
        <f t="shared" si="322"/>
        <v>0</v>
      </c>
      <c r="Z1039" s="29">
        <f t="shared" si="323"/>
        <v>0</v>
      </c>
    </row>
    <row r="1040" spans="1:26" x14ac:dyDescent="0.3">
      <c r="A1040" s="5" t="s">
        <v>2632</v>
      </c>
      <c r="B1040" s="5" t="s">
        <v>2633</v>
      </c>
      <c r="C1040" s="5">
        <v>500</v>
      </c>
      <c r="D1040" s="6">
        <v>592</v>
      </c>
      <c r="E1040" s="17">
        <f>VLOOKUP(A1040,'forecast data dump'!$A$1:$H$3450,4,FALSE)</f>
        <v>44760</v>
      </c>
      <c r="F1040" s="17">
        <f>VLOOKUP(A1040,'forecast data dump'!$A$1:$H$3450,5,FALSE)</f>
        <v>44764</v>
      </c>
      <c r="G1040" s="42">
        <f>VLOOKUP(A1040,'forecast data dump'!$A$1:$H$3450,8,FALSE)</f>
        <v>0</v>
      </c>
      <c r="H1040" s="5" t="s">
        <v>3762</v>
      </c>
      <c r="I1040" s="39">
        <f t="shared" si="324"/>
        <v>500</v>
      </c>
      <c r="J1040" s="5"/>
      <c r="K1040" s="5"/>
      <c r="L1040" s="33">
        <f t="shared" si="325"/>
        <v>592</v>
      </c>
      <c r="M1040" s="33">
        <f t="shared" si="326"/>
        <v>592</v>
      </c>
      <c r="N1040" s="33">
        <f t="shared" si="327"/>
        <v>0</v>
      </c>
      <c r="Q1040">
        <v>1</v>
      </c>
      <c r="U1040" s="29">
        <f t="shared" si="318"/>
        <v>0</v>
      </c>
      <c r="V1040" s="29">
        <f t="shared" si="319"/>
        <v>0</v>
      </c>
      <c r="W1040" s="29">
        <f t="shared" si="320"/>
        <v>592</v>
      </c>
      <c r="X1040" s="29">
        <f t="shared" si="321"/>
        <v>0</v>
      </c>
      <c r="Y1040" s="29">
        <f t="shared" si="322"/>
        <v>0</v>
      </c>
      <c r="Z1040" s="29">
        <f t="shared" si="323"/>
        <v>0</v>
      </c>
    </row>
    <row r="1041" spans="1:26" x14ac:dyDescent="0.3">
      <c r="A1041" s="5" t="s">
        <v>2634</v>
      </c>
      <c r="B1041" s="5" t="s">
        <v>2635</v>
      </c>
      <c r="C1041" s="5">
        <v>500</v>
      </c>
      <c r="D1041" s="6">
        <v>592</v>
      </c>
      <c r="E1041" s="17">
        <f>VLOOKUP(A1041,'forecast data dump'!$A$1:$H$3450,4,FALSE)</f>
        <v>44767</v>
      </c>
      <c r="F1041" s="17">
        <f>VLOOKUP(A1041,'forecast data dump'!$A$1:$H$3450,5,FALSE)</f>
        <v>44771</v>
      </c>
      <c r="G1041" s="42">
        <f>VLOOKUP(A1041,'forecast data dump'!$A$1:$H$3450,8,FALSE)</f>
        <v>0</v>
      </c>
      <c r="H1041" s="5" t="s">
        <v>3762</v>
      </c>
      <c r="I1041" s="39">
        <f t="shared" si="324"/>
        <v>500</v>
      </c>
      <c r="J1041" s="5"/>
      <c r="K1041" s="5"/>
      <c r="L1041" s="33">
        <f t="shared" si="325"/>
        <v>592</v>
      </c>
      <c r="M1041" s="33">
        <f t="shared" si="326"/>
        <v>592</v>
      </c>
      <c r="N1041" s="33">
        <f t="shared" si="327"/>
        <v>0</v>
      </c>
      <c r="Q1041">
        <v>1</v>
      </c>
      <c r="U1041" s="29">
        <f t="shared" si="318"/>
        <v>0</v>
      </c>
      <c r="V1041" s="29">
        <f t="shared" si="319"/>
        <v>0</v>
      </c>
      <c r="W1041" s="29">
        <f t="shared" si="320"/>
        <v>592</v>
      </c>
      <c r="X1041" s="29">
        <f t="shared" si="321"/>
        <v>0</v>
      </c>
      <c r="Y1041" s="29">
        <f t="shared" si="322"/>
        <v>0</v>
      </c>
      <c r="Z1041" s="29">
        <f t="shared" si="323"/>
        <v>0</v>
      </c>
    </row>
    <row r="1042" spans="1:26" x14ac:dyDescent="0.3">
      <c r="A1042" s="5" t="s">
        <v>2636</v>
      </c>
      <c r="B1042" s="5" t="s">
        <v>2637</v>
      </c>
      <c r="C1042" s="5">
        <v>500</v>
      </c>
      <c r="D1042" s="6">
        <v>592</v>
      </c>
      <c r="E1042" s="17">
        <f>VLOOKUP(A1042,'forecast data dump'!$A$1:$H$3450,4,FALSE)</f>
        <v>44783</v>
      </c>
      <c r="F1042" s="17">
        <f>VLOOKUP(A1042,'forecast data dump'!$A$1:$H$3450,5,FALSE)</f>
        <v>44803</v>
      </c>
      <c r="G1042" s="42">
        <f>VLOOKUP(A1042,'forecast data dump'!$A$1:$H$3450,8,FALSE)</f>
        <v>0</v>
      </c>
      <c r="H1042" s="5" t="s">
        <v>3762</v>
      </c>
      <c r="I1042" s="39">
        <f t="shared" si="324"/>
        <v>500</v>
      </c>
      <c r="J1042" s="5"/>
      <c r="K1042" s="5"/>
      <c r="L1042" s="33">
        <f t="shared" si="325"/>
        <v>592</v>
      </c>
      <c r="M1042" s="33">
        <f t="shared" si="326"/>
        <v>592</v>
      </c>
      <c r="N1042" s="33">
        <f t="shared" si="327"/>
        <v>0</v>
      </c>
      <c r="Q1042">
        <v>1</v>
      </c>
      <c r="U1042" s="29">
        <f t="shared" si="318"/>
        <v>0</v>
      </c>
      <c r="V1042" s="29">
        <f t="shared" si="319"/>
        <v>0</v>
      </c>
      <c r="W1042" s="29">
        <f t="shared" si="320"/>
        <v>592</v>
      </c>
      <c r="X1042" s="29">
        <f t="shared" si="321"/>
        <v>0</v>
      </c>
      <c r="Y1042" s="29">
        <f t="shared" si="322"/>
        <v>0</v>
      </c>
      <c r="Z1042" s="29">
        <f t="shared" si="323"/>
        <v>0</v>
      </c>
    </row>
    <row r="1043" spans="1:26" x14ac:dyDescent="0.3">
      <c r="A1043" s="5" t="s">
        <v>2638</v>
      </c>
      <c r="B1043" s="5" t="s">
        <v>2639</v>
      </c>
      <c r="C1043" s="5">
        <v>500</v>
      </c>
      <c r="D1043" s="6">
        <v>593</v>
      </c>
      <c r="E1043" s="17">
        <f>VLOOKUP(A1043,'forecast data dump'!$A$1:$H$3450,4,FALSE)</f>
        <v>44819</v>
      </c>
      <c r="F1043" s="17">
        <f>VLOOKUP(A1043,'forecast data dump'!$A$1:$H$3450,5,FALSE)</f>
        <v>44839</v>
      </c>
      <c r="G1043" s="42">
        <f>VLOOKUP(A1043,'forecast data dump'!$A$1:$H$3450,8,FALSE)</f>
        <v>0</v>
      </c>
      <c r="H1043" s="5" t="s">
        <v>3762</v>
      </c>
      <c r="I1043" s="39">
        <f t="shared" si="324"/>
        <v>500</v>
      </c>
      <c r="J1043" s="5"/>
      <c r="K1043" s="5"/>
      <c r="L1043" s="33">
        <f t="shared" si="325"/>
        <v>593</v>
      </c>
      <c r="M1043" s="33">
        <f t="shared" si="326"/>
        <v>593</v>
      </c>
      <c r="N1043" s="33">
        <f t="shared" si="327"/>
        <v>0</v>
      </c>
      <c r="Q1043">
        <v>1</v>
      </c>
      <c r="U1043" s="29">
        <f t="shared" si="318"/>
        <v>0</v>
      </c>
      <c r="V1043" s="29">
        <f t="shared" si="319"/>
        <v>0</v>
      </c>
      <c r="W1043" s="29">
        <f t="shared" si="320"/>
        <v>593</v>
      </c>
      <c r="X1043" s="29">
        <f t="shared" si="321"/>
        <v>0</v>
      </c>
      <c r="Y1043" s="29">
        <f t="shared" si="322"/>
        <v>0</v>
      </c>
      <c r="Z1043" s="29">
        <f t="shared" si="323"/>
        <v>0</v>
      </c>
    </row>
    <row r="1044" spans="1:26" x14ac:dyDescent="0.3">
      <c r="A1044" s="5" t="s">
        <v>2640</v>
      </c>
      <c r="B1044" s="5" t="s">
        <v>2641</v>
      </c>
      <c r="C1044" s="5">
        <v>4</v>
      </c>
      <c r="D1044" s="6">
        <v>625</v>
      </c>
      <c r="E1044" s="17">
        <f>VLOOKUP(A1044,'forecast data dump'!$A$1:$H$3450,4,FALSE)</f>
        <v>44750</v>
      </c>
      <c r="F1044" s="17">
        <f>VLOOKUP(A1044,'forecast data dump'!$A$1:$H$3450,5,FALSE)</f>
        <v>44750</v>
      </c>
      <c r="G1044" s="42">
        <f>VLOOKUP(A1044,'forecast data dump'!$A$1:$H$3450,8,FALSE)</f>
        <v>0</v>
      </c>
      <c r="H1044" s="5" t="s">
        <v>3733</v>
      </c>
      <c r="I1044" s="39">
        <f t="shared" si="324"/>
        <v>4</v>
      </c>
      <c r="J1044" s="5"/>
      <c r="K1044" s="5"/>
      <c r="L1044" s="33">
        <f t="shared" si="325"/>
        <v>625</v>
      </c>
      <c r="M1044" s="33">
        <f t="shared" si="326"/>
        <v>625</v>
      </c>
      <c r="N1044" s="33">
        <f t="shared" si="327"/>
        <v>0</v>
      </c>
      <c r="T1044">
        <v>1</v>
      </c>
      <c r="U1044" s="29">
        <f t="shared" si="318"/>
        <v>0</v>
      </c>
      <c r="V1044" s="29">
        <f t="shared" si="319"/>
        <v>0</v>
      </c>
      <c r="W1044" s="29">
        <f t="shared" si="320"/>
        <v>0</v>
      </c>
      <c r="X1044" s="29">
        <f t="shared" si="321"/>
        <v>0</v>
      </c>
      <c r="Y1044" s="29">
        <f t="shared" si="322"/>
        <v>0</v>
      </c>
      <c r="Z1044" s="29">
        <f t="shared" si="323"/>
        <v>625</v>
      </c>
    </row>
    <row r="1045" spans="1:26" x14ac:dyDescent="0.3">
      <c r="A1045" s="5" t="s">
        <v>2640</v>
      </c>
      <c r="B1045" s="5" t="s">
        <v>2641</v>
      </c>
      <c r="C1045" s="5">
        <v>16</v>
      </c>
      <c r="D1045" s="6">
        <v>1937</v>
      </c>
      <c r="E1045" s="17">
        <f>VLOOKUP(A1045,'forecast data dump'!$A$1:$H$3450,4,FALSE)</f>
        <v>44750</v>
      </c>
      <c r="F1045" s="17">
        <f>VLOOKUP(A1045,'forecast data dump'!$A$1:$H$3450,5,FALSE)</f>
        <v>44750</v>
      </c>
      <c r="G1045" s="42">
        <f>VLOOKUP(A1045,'forecast data dump'!$A$1:$H$3450,8,FALSE)</f>
        <v>0</v>
      </c>
      <c r="H1045" s="5" t="s">
        <v>3741</v>
      </c>
      <c r="I1045" s="39">
        <f t="shared" si="324"/>
        <v>16</v>
      </c>
      <c r="J1045" s="5"/>
      <c r="K1045" s="5"/>
      <c r="L1045" s="33">
        <f t="shared" si="325"/>
        <v>1937</v>
      </c>
      <c r="M1045" s="33">
        <f t="shared" si="326"/>
        <v>1937</v>
      </c>
      <c r="N1045" s="33">
        <f t="shared" si="327"/>
        <v>0</v>
      </c>
      <c r="T1045">
        <v>1</v>
      </c>
      <c r="U1045" s="29">
        <f t="shared" si="318"/>
        <v>0</v>
      </c>
      <c r="V1045" s="29">
        <f t="shared" si="319"/>
        <v>0</v>
      </c>
      <c r="W1045" s="29">
        <f t="shared" si="320"/>
        <v>0</v>
      </c>
      <c r="X1045" s="29">
        <f t="shared" si="321"/>
        <v>0</v>
      </c>
      <c r="Y1045" s="29">
        <f t="shared" si="322"/>
        <v>0</v>
      </c>
      <c r="Z1045" s="29">
        <f t="shared" si="323"/>
        <v>1937</v>
      </c>
    </row>
    <row r="1046" spans="1:26" x14ac:dyDescent="0.3">
      <c r="A1046" s="5" t="s">
        <v>2644</v>
      </c>
      <c r="B1046" s="5" t="s">
        <v>2645</v>
      </c>
      <c r="C1046" s="5">
        <v>8</v>
      </c>
      <c r="D1046" s="6">
        <v>1250</v>
      </c>
      <c r="E1046" s="17">
        <f>VLOOKUP(A1046,'forecast data dump'!$A$1:$H$3450,4,FALSE)</f>
        <v>44742</v>
      </c>
      <c r="F1046" s="17">
        <f>VLOOKUP(A1046,'forecast data dump'!$A$1:$H$3450,5,FALSE)</f>
        <v>44749</v>
      </c>
      <c r="G1046" s="42">
        <f>VLOOKUP(A1046,'forecast data dump'!$A$1:$H$3450,8,FALSE)</f>
        <v>0</v>
      </c>
      <c r="H1046" s="5" t="s">
        <v>3763</v>
      </c>
      <c r="I1046" s="39">
        <f t="shared" si="324"/>
        <v>8</v>
      </c>
      <c r="J1046" s="5"/>
      <c r="K1046" s="5"/>
      <c r="L1046" s="33">
        <f t="shared" si="325"/>
        <v>1250</v>
      </c>
      <c r="M1046" s="33">
        <f t="shared" si="326"/>
        <v>1250</v>
      </c>
      <c r="N1046" s="33">
        <f t="shared" si="327"/>
        <v>0</v>
      </c>
      <c r="T1046">
        <v>1</v>
      </c>
      <c r="U1046" s="29">
        <f t="shared" si="318"/>
        <v>0</v>
      </c>
      <c r="V1046" s="29">
        <f t="shared" si="319"/>
        <v>0</v>
      </c>
      <c r="W1046" s="29">
        <f t="shared" si="320"/>
        <v>0</v>
      </c>
      <c r="X1046" s="29">
        <f t="shared" si="321"/>
        <v>0</v>
      </c>
      <c r="Y1046" s="29">
        <f t="shared" si="322"/>
        <v>0</v>
      </c>
      <c r="Z1046" s="29">
        <f t="shared" si="323"/>
        <v>1250</v>
      </c>
    </row>
    <row r="1047" spans="1:26" x14ac:dyDescent="0.3">
      <c r="A1047" s="5" t="s">
        <v>2646</v>
      </c>
      <c r="B1047" s="5" t="s">
        <v>2647</v>
      </c>
      <c r="C1047" s="5">
        <v>80</v>
      </c>
      <c r="D1047" s="6">
        <v>10615</v>
      </c>
      <c r="E1047" s="17">
        <f>VLOOKUP(A1047,'forecast data dump'!$A$1:$H$3450,4,FALSE)</f>
        <v>44767</v>
      </c>
      <c r="F1047" s="17">
        <f>VLOOKUP(A1047,'forecast data dump'!$A$1:$H$3450,5,FALSE)</f>
        <v>44771</v>
      </c>
      <c r="G1047" s="42">
        <f>VLOOKUP(A1047,'forecast data dump'!$A$1:$H$3450,8,FALSE)</f>
        <v>0</v>
      </c>
      <c r="H1047" s="5" t="s">
        <v>3752</v>
      </c>
      <c r="I1047" s="39">
        <f t="shared" si="324"/>
        <v>80</v>
      </c>
      <c r="J1047" s="5"/>
      <c r="K1047" s="5"/>
      <c r="L1047" s="33">
        <f t="shared" si="325"/>
        <v>10615</v>
      </c>
      <c r="M1047" s="33">
        <f t="shared" si="326"/>
        <v>10615</v>
      </c>
      <c r="N1047" s="33">
        <f t="shared" si="327"/>
        <v>0</v>
      </c>
      <c r="T1047">
        <v>1</v>
      </c>
      <c r="U1047" s="29">
        <f t="shared" si="318"/>
        <v>0</v>
      </c>
      <c r="V1047" s="29">
        <f t="shared" si="319"/>
        <v>0</v>
      </c>
      <c r="W1047" s="29">
        <f t="shared" si="320"/>
        <v>0</v>
      </c>
      <c r="X1047" s="29">
        <f t="shared" si="321"/>
        <v>0</v>
      </c>
      <c r="Y1047" s="29">
        <f t="shared" si="322"/>
        <v>0</v>
      </c>
      <c r="Z1047" s="29">
        <f t="shared" si="323"/>
        <v>10615</v>
      </c>
    </row>
    <row r="1048" spans="1:26" x14ac:dyDescent="0.3">
      <c r="A1048" s="5" t="s">
        <v>2646</v>
      </c>
      <c r="B1048" s="5" t="s">
        <v>2647</v>
      </c>
      <c r="C1048" s="5">
        <v>60</v>
      </c>
      <c r="D1048" s="6">
        <v>7264</v>
      </c>
      <c r="E1048" s="17">
        <f>VLOOKUP(A1048,'forecast data dump'!$A$1:$H$3450,4,FALSE)</f>
        <v>44767</v>
      </c>
      <c r="F1048" s="17">
        <f>VLOOKUP(A1048,'forecast data dump'!$A$1:$H$3450,5,FALSE)</f>
        <v>44771</v>
      </c>
      <c r="G1048" s="42">
        <f>VLOOKUP(A1048,'forecast data dump'!$A$1:$H$3450,8,FALSE)</f>
        <v>0</v>
      </c>
      <c r="H1048" s="5" t="s">
        <v>3759</v>
      </c>
      <c r="I1048" s="39">
        <f t="shared" si="324"/>
        <v>60</v>
      </c>
      <c r="J1048" s="5"/>
      <c r="K1048" s="5"/>
      <c r="L1048" s="33">
        <f t="shared" si="325"/>
        <v>7264</v>
      </c>
      <c r="M1048" s="33">
        <f t="shared" si="326"/>
        <v>7264</v>
      </c>
      <c r="N1048" s="33">
        <f t="shared" si="327"/>
        <v>0</v>
      </c>
      <c r="T1048">
        <v>1</v>
      </c>
      <c r="U1048" s="29">
        <f t="shared" si="318"/>
        <v>0</v>
      </c>
      <c r="V1048" s="29">
        <f t="shared" si="319"/>
        <v>0</v>
      </c>
      <c r="W1048" s="29">
        <f t="shared" si="320"/>
        <v>0</v>
      </c>
      <c r="X1048" s="29">
        <f t="shared" si="321"/>
        <v>0</v>
      </c>
      <c r="Y1048" s="29">
        <f t="shared" si="322"/>
        <v>0</v>
      </c>
      <c r="Z1048" s="29">
        <f t="shared" si="323"/>
        <v>7264</v>
      </c>
    </row>
    <row r="1049" spans="1:26" x14ac:dyDescent="0.3">
      <c r="A1049" s="5" t="s">
        <v>2646</v>
      </c>
      <c r="B1049" s="5" t="s">
        <v>2647</v>
      </c>
      <c r="C1049" s="5">
        <v>60</v>
      </c>
      <c r="D1049" s="6">
        <v>8313</v>
      </c>
      <c r="E1049" s="17">
        <f>VLOOKUP(A1049,'forecast data dump'!$A$1:$H$3450,4,FALSE)</f>
        <v>44767</v>
      </c>
      <c r="F1049" s="17">
        <f>VLOOKUP(A1049,'forecast data dump'!$A$1:$H$3450,5,FALSE)</f>
        <v>44771</v>
      </c>
      <c r="G1049" s="42">
        <f>VLOOKUP(A1049,'forecast data dump'!$A$1:$H$3450,8,FALSE)</f>
        <v>0</v>
      </c>
      <c r="H1049" s="5" t="s">
        <v>3765</v>
      </c>
      <c r="I1049" s="39">
        <f t="shared" si="324"/>
        <v>60</v>
      </c>
      <c r="J1049" s="5"/>
      <c r="K1049" s="5"/>
      <c r="L1049" s="33">
        <f t="shared" si="325"/>
        <v>8313</v>
      </c>
      <c r="M1049" s="33">
        <f t="shared" si="326"/>
        <v>8313</v>
      </c>
      <c r="N1049" s="33">
        <f t="shared" si="327"/>
        <v>0</v>
      </c>
      <c r="T1049">
        <v>1</v>
      </c>
      <c r="U1049" s="29">
        <f t="shared" si="318"/>
        <v>0</v>
      </c>
      <c r="V1049" s="29">
        <f t="shared" si="319"/>
        <v>0</v>
      </c>
      <c r="W1049" s="29">
        <f t="shared" si="320"/>
        <v>0</v>
      </c>
      <c r="X1049" s="29">
        <f t="shared" si="321"/>
        <v>0</v>
      </c>
      <c r="Y1049" s="29">
        <f t="shared" si="322"/>
        <v>0</v>
      </c>
      <c r="Z1049" s="29">
        <f t="shared" si="323"/>
        <v>8313</v>
      </c>
    </row>
    <row r="1050" spans="1:26" x14ac:dyDescent="0.3">
      <c r="A1050" s="5" t="s">
        <v>2648</v>
      </c>
      <c r="B1050" s="5" t="s">
        <v>2649</v>
      </c>
      <c r="C1050" s="5">
        <v>77</v>
      </c>
      <c r="D1050" s="6">
        <v>11680</v>
      </c>
      <c r="E1050" s="17" t="str">
        <f>VLOOKUP(A1050,'forecast data dump'!$A$1:$H$3450,4,FALSE)</f>
        <v>02-Dec-19 A</v>
      </c>
      <c r="F1050" s="17">
        <f>VLOOKUP(A1050,'forecast data dump'!$A$1:$H$3450,5,FALSE)</f>
        <v>44391</v>
      </c>
      <c r="G1050" s="42">
        <f>VLOOKUP(A1050,'forecast data dump'!$A$1:$H$3450,8,FALSE)</f>
        <v>0.95</v>
      </c>
      <c r="H1050" s="5" t="s">
        <v>3733</v>
      </c>
      <c r="I1050" s="39">
        <f t="shared" si="324"/>
        <v>3.8500000000000032</v>
      </c>
      <c r="J1050" s="5"/>
      <c r="K1050" s="5"/>
      <c r="L1050" s="33">
        <f t="shared" si="325"/>
        <v>584.00000000000057</v>
      </c>
      <c r="M1050" s="33">
        <f t="shared" si="326"/>
        <v>584.00000000000057</v>
      </c>
      <c r="N1050" s="33">
        <f t="shared" si="327"/>
        <v>0</v>
      </c>
      <c r="R1050">
        <v>1</v>
      </c>
      <c r="U1050" s="29">
        <f t="shared" si="318"/>
        <v>0</v>
      </c>
      <c r="V1050" s="29">
        <f t="shared" si="319"/>
        <v>0</v>
      </c>
      <c r="W1050" s="29">
        <f t="shared" si="320"/>
        <v>0</v>
      </c>
      <c r="X1050" s="29">
        <f t="shared" si="321"/>
        <v>584.00000000000057</v>
      </c>
      <c r="Y1050" s="29">
        <f t="shared" si="322"/>
        <v>0</v>
      </c>
      <c r="Z1050" s="29">
        <f t="shared" si="323"/>
        <v>0</v>
      </c>
    </row>
    <row r="1051" spans="1:26" x14ac:dyDescent="0.3">
      <c r="A1051" s="5" t="s">
        <v>2648</v>
      </c>
      <c r="B1051" s="5" t="s">
        <v>2649</v>
      </c>
      <c r="C1051" s="5">
        <v>48</v>
      </c>
      <c r="D1051" s="6">
        <v>5642</v>
      </c>
      <c r="E1051" s="17" t="str">
        <f>VLOOKUP(A1051,'forecast data dump'!$A$1:$H$3450,4,FALSE)</f>
        <v>02-Dec-19 A</v>
      </c>
      <c r="F1051" s="17">
        <f>VLOOKUP(A1051,'forecast data dump'!$A$1:$H$3450,5,FALSE)</f>
        <v>44391</v>
      </c>
      <c r="G1051" s="42">
        <f>VLOOKUP(A1051,'forecast data dump'!$A$1:$H$3450,8,FALSE)</f>
        <v>0.95</v>
      </c>
      <c r="H1051" s="5" t="s">
        <v>3741</v>
      </c>
      <c r="I1051" s="39">
        <f t="shared" si="324"/>
        <v>2.4000000000000021</v>
      </c>
      <c r="J1051" s="5"/>
      <c r="K1051" s="5"/>
      <c r="L1051" s="33">
        <f t="shared" si="325"/>
        <v>282.10000000000025</v>
      </c>
      <c r="M1051" s="33">
        <f t="shared" si="326"/>
        <v>282.10000000000025</v>
      </c>
      <c r="N1051" s="33">
        <f t="shared" si="327"/>
        <v>0</v>
      </c>
      <c r="R1051">
        <v>1</v>
      </c>
      <c r="U1051" s="29">
        <f t="shared" si="318"/>
        <v>0</v>
      </c>
      <c r="V1051" s="29">
        <f t="shared" si="319"/>
        <v>0</v>
      </c>
      <c r="W1051" s="29">
        <f t="shared" si="320"/>
        <v>0</v>
      </c>
      <c r="X1051" s="29">
        <f t="shared" si="321"/>
        <v>282.10000000000025</v>
      </c>
      <c r="Y1051" s="29">
        <f t="shared" si="322"/>
        <v>0</v>
      </c>
      <c r="Z1051" s="29">
        <f t="shared" si="323"/>
        <v>0</v>
      </c>
    </row>
    <row r="1052" spans="1:26" x14ac:dyDescent="0.3">
      <c r="A1052" s="5" t="s">
        <v>2648</v>
      </c>
      <c r="B1052" s="5" t="s">
        <v>2649</v>
      </c>
      <c r="C1052" s="5">
        <v>77</v>
      </c>
      <c r="D1052" s="6">
        <v>9051</v>
      </c>
      <c r="E1052" s="17" t="str">
        <f>VLOOKUP(A1052,'forecast data dump'!$A$1:$H$3450,4,FALSE)</f>
        <v>02-Dec-19 A</v>
      </c>
      <c r="F1052" s="17">
        <f>VLOOKUP(A1052,'forecast data dump'!$A$1:$H$3450,5,FALSE)</f>
        <v>44391</v>
      </c>
      <c r="G1052" s="42">
        <f>VLOOKUP(A1052,'forecast data dump'!$A$1:$H$3450,8,FALSE)</f>
        <v>0.95</v>
      </c>
      <c r="H1052" s="5" t="s">
        <v>3745</v>
      </c>
      <c r="I1052" s="39">
        <f t="shared" si="324"/>
        <v>3.8500000000000032</v>
      </c>
      <c r="J1052" s="5"/>
      <c r="K1052" s="5"/>
      <c r="L1052" s="33">
        <f t="shared" si="325"/>
        <v>452.55000000000041</v>
      </c>
      <c r="M1052" s="33">
        <f t="shared" si="326"/>
        <v>452.55000000000041</v>
      </c>
      <c r="N1052" s="33">
        <f t="shared" si="327"/>
        <v>0</v>
      </c>
      <c r="R1052">
        <v>1</v>
      </c>
      <c r="U1052" s="29">
        <f t="shared" si="318"/>
        <v>0</v>
      </c>
      <c r="V1052" s="29">
        <f t="shared" si="319"/>
        <v>0</v>
      </c>
      <c r="W1052" s="29">
        <f t="shared" si="320"/>
        <v>0</v>
      </c>
      <c r="X1052" s="29">
        <f t="shared" si="321"/>
        <v>452.55000000000041</v>
      </c>
      <c r="Y1052" s="29">
        <f t="shared" si="322"/>
        <v>0</v>
      </c>
      <c r="Z1052" s="29">
        <f t="shared" si="323"/>
        <v>0</v>
      </c>
    </row>
    <row r="1053" spans="1:26" x14ac:dyDescent="0.3">
      <c r="A1053" s="5" t="s">
        <v>2650</v>
      </c>
      <c r="B1053" s="5" t="s">
        <v>2651</v>
      </c>
      <c r="C1053" s="5">
        <v>4</v>
      </c>
      <c r="D1053" s="6">
        <v>625</v>
      </c>
      <c r="E1053" s="17">
        <f>VLOOKUP(A1053,'forecast data dump'!$A$1:$H$3450,4,FALSE)</f>
        <v>44760</v>
      </c>
      <c r="F1053" s="17">
        <f>VLOOKUP(A1053,'forecast data dump'!$A$1:$H$3450,5,FALSE)</f>
        <v>44764</v>
      </c>
      <c r="G1053" s="42">
        <f>VLOOKUP(A1053,'forecast data dump'!$A$1:$H$3450,8,FALSE)</f>
        <v>0</v>
      </c>
      <c r="H1053" s="5" t="s">
        <v>3733</v>
      </c>
      <c r="I1053" s="39">
        <f t="shared" si="324"/>
        <v>4</v>
      </c>
      <c r="J1053" s="5"/>
      <c r="K1053" s="5"/>
      <c r="L1053" s="33">
        <f t="shared" si="325"/>
        <v>625</v>
      </c>
      <c r="M1053" s="33">
        <f t="shared" si="326"/>
        <v>625</v>
      </c>
      <c r="N1053" s="33">
        <f t="shared" si="327"/>
        <v>0</v>
      </c>
      <c r="T1053">
        <v>1</v>
      </c>
      <c r="U1053" s="29">
        <f t="shared" si="318"/>
        <v>0</v>
      </c>
      <c r="V1053" s="29">
        <f t="shared" si="319"/>
        <v>0</v>
      </c>
      <c r="W1053" s="29">
        <f t="shared" si="320"/>
        <v>0</v>
      </c>
      <c r="X1053" s="29">
        <f t="shared" si="321"/>
        <v>0</v>
      </c>
      <c r="Y1053" s="29">
        <f t="shared" si="322"/>
        <v>0</v>
      </c>
      <c r="Z1053" s="29">
        <f t="shared" si="323"/>
        <v>625</v>
      </c>
    </row>
    <row r="1054" spans="1:26" x14ac:dyDescent="0.3">
      <c r="A1054" s="5" t="s">
        <v>2650</v>
      </c>
      <c r="B1054" s="5" t="s">
        <v>2651</v>
      </c>
      <c r="C1054" s="5">
        <v>16</v>
      </c>
      <c r="D1054" s="6">
        <v>1937</v>
      </c>
      <c r="E1054" s="17">
        <f>VLOOKUP(A1054,'forecast data dump'!$A$1:$H$3450,4,FALSE)</f>
        <v>44760</v>
      </c>
      <c r="F1054" s="17">
        <f>VLOOKUP(A1054,'forecast data dump'!$A$1:$H$3450,5,FALSE)</f>
        <v>44764</v>
      </c>
      <c r="G1054" s="42">
        <f>VLOOKUP(A1054,'forecast data dump'!$A$1:$H$3450,8,FALSE)</f>
        <v>0</v>
      </c>
      <c r="H1054" s="5" t="s">
        <v>3745</v>
      </c>
      <c r="I1054" s="39">
        <f t="shared" si="324"/>
        <v>16</v>
      </c>
      <c r="J1054" s="5"/>
      <c r="K1054" s="5"/>
      <c r="L1054" s="33">
        <f t="shared" si="325"/>
        <v>1937</v>
      </c>
      <c r="M1054" s="33">
        <f t="shared" si="326"/>
        <v>1937</v>
      </c>
      <c r="N1054" s="33">
        <f t="shared" si="327"/>
        <v>0</v>
      </c>
      <c r="T1054">
        <v>1</v>
      </c>
      <c r="U1054" s="29">
        <f t="shared" si="318"/>
        <v>0</v>
      </c>
      <c r="V1054" s="29">
        <f t="shared" si="319"/>
        <v>0</v>
      </c>
      <c r="W1054" s="29">
        <f t="shared" si="320"/>
        <v>0</v>
      </c>
      <c r="X1054" s="29">
        <f t="shared" si="321"/>
        <v>0</v>
      </c>
      <c r="Y1054" s="29">
        <f t="shared" si="322"/>
        <v>0</v>
      </c>
      <c r="Z1054" s="29">
        <f t="shared" si="323"/>
        <v>1937</v>
      </c>
    </row>
    <row r="1055" spans="1:26" x14ac:dyDescent="0.3">
      <c r="A1055" s="5" t="s">
        <v>2650</v>
      </c>
      <c r="B1055" s="5" t="s">
        <v>2651</v>
      </c>
      <c r="C1055" s="5">
        <v>60</v>
      </c>
      <c r="D1055" s="6">
        <v>7264</v>
      </c>
      <c r="E1055" s="17">
        <f>VLOOKUP(A1055,'forecast data dump'!$A$1:$H$3450,4,FALSE)</f>
        <v>44760</v>
      </c>
      <c r="F1055" s="17">
        <f>VLOOKUP(A1055,'forecast data dump'!$A$1:$H$3450,5,FALSE)</f>
        <v>44764</v>
      </c>
      <c r="G1055" s="42">
        <f>VLOOKUP(A1055,'forecast data dump'!$A$1:$H$3450,8,FALSE)</f>
        <v>0</v>
      </c>
      <c r="H1055" s="5" t="s">
        <v>3741</v>
      </c>
      <c r="I1055" s="39">
        <f t="shared" si="324"/>
        <v>60</v>
      </c>
      <c r="J1055" s="5"/>
      <c r="K1055" s="5"/>
      <c r="L1055" s="33">
        <f t="shared" si="325"/>
        <v>7264</v>
      </c>
      <c r="M1055" s="33">
        <f t="shared" si="326"/>
        <v>7264</v>
      </c>
      <c r="N1055" s="33">
        <f t="shared" si="327"/>
        <v>0</v>
      </c>
      <c r="T1055">
        <v>1</v>
      </c>
      <c r="U1055" s="29">
        <f t="shared" si="318"/>
        <v>0</v>
      </c>
      <c r="V1055" s="29">
        <f t="shared" si="319"/>
        <v>0</v>
      </c>
      <c r="W1055" s="29">
        <f t="shared" si="320"/>
        <v>0</v>
      </c>
      <c r="X1055" s="29">
        <f t="shared" si="321"/>
        <v>0</v>
      </c>
      <c r="Y1055" s="29">
        <f t="shared" si="322"/>
        <v>0</v>
      </c>
      <c r="Z1055" s="29">
        <f t="shared" si="323"/>
        <v>7264</v>
      </c>
    </row>
    <row r="1056" spans="1:26" x14ac:dyDescent="0.3">
      <c r="A1056" s="5" t="s">
        <v>2650</v>
      </c>
      <c r="B1056" s="5" t="s">
        <v>2651</v>
      </c>
      <c r="C1056" s="5">
        <v>36</v>
      </c>
      <c r="D1056" s="6">
        <v>4777</v>
      </c>
      <c r="E1056" s="17">
        <f>VLOOKUP(A1056,'forecast data dump'!$A$1:$H$3450,4,FALSE)</f>
        <v>44760</v>
      </c>
      <c r="F1056" s="17">
        <f>VLOOKUP(A1056,'forecast data dump'!$A$1:$H$3450,5,FALSE)</f>
        <v>44764</v>
      </c>
      <c r="G1056" s="42">
        <f>VLOOKUP(A1056,'forecast data dump'!$A$1:$H$3450,8,FALSE)</f>
        <v>0</v>
      </c>
      <c r="H1056" s="5" t="s">
        <v>3752</v>
      </c>
      <c r="I1056" s="39">
        <f t="shared" si="324"/>
        <v>36</v>
      </c>
      <c r="J1056" s="5"/>
      <c r="K1056" s="5"/>
      <c r="L1056" s="33">
        <f t="shared" si="325"/>
        <v>4777</v>
      </c>
      <c r="M1056" s="33">
        <f t="shared" si="326"/>
        <v>4777</v>
      </c>
      <c r="N1056" s="33">
        <f t="shared" si="327"/>
        <v>0</v>
      </c>
      <c r="T1056">
        <v>1</v>
      </c>
      <c r="U1056" s="29">
        <f t="shared" si="318"/>
        <v>0</v>
      </c>
      <c r="V1056" s="29">
        <f t="shared" si="319"/>
        <v>0</v>
      </c>
      <c r="W1056" s="29">
        <f t="shared" si="320"/>
        <v>0</v>
      </c>
      <c r="X1056" s="29">
        <f t="shared" si="321"/>
        <v>0</v>
      </c>
      <c r="Y1056" s="29">
        <f t="shared" si="322"/>
        <v>0</v>
      </c>
      <c r="Z1056" s="29">
        <f t="shared" si="323"/>
        <v>4777</v>
      </c>
    </row>
    <row r="1057" spans="1:26" x14ac:dyDescent="0.3">
      <c r="A1057" s="3" t="s">
        <v>7898</v>
      </c>
      <c r="B1057" s="3"/>
      <c r="C1057" s="3"/>
      <c r="D1057" s="4"/>
      <c r="E1057" s="15"/>
      <c r="F1057" s="15"/>
      <c r="G1057" s="41"/>
      <c r="H1057" s="3"/>
      <c r="I1057" s="38"/>
      <c r="J1057" s="3"/>
      <c r="K1057" s="3"/>
      <c r="L1057" s="32"/>
      <c r="M1057" s="32"/>
      <c r="N1057" s="32"/>
      <c r="U1057" s="29"/>
      <c r="V1057" s="29"/>
      <c r="W1057" s="29"/>
      <c r="X1057" s="29"/>
      <c r="Y1057" s="29"/>
      <c r="Z1057" s="29"/>
    </row>
    <row r="1058" spans="1:26" x14ac:dyDescent="0.3">
      <c r="A1058" s="5" t="s">
        <v>2249</v>
      </c>
      <c r="B1058" s="5" t="s">
        <v>2250</v>
      </c>
      <c r="C1058" s="5">
        <v>30</v>
      </c>
      <c r="D1058" s="6">
        <v>4550</v>
      </c>
      <c r="E1058" s="17" t="str">
        <f>VLOOKUP(A1058,'forecast data dump'!$A$1:$H$3450,4,FALSE)</f>
        <v>01-Oct-19 A</v>
      </c>
      <c r="F1058" s="17">
        <f>VLOOKUP(A1058,'forecast data dump'!$A$1:$H$3450,5,FALSE)</f>
        <v>44407</v>
      </c>
      <c r="G1058" s="42">
        <f>VLOOKUP(A1058,'forecast data dump'!$A$1:$H$3450,8,FALSE)</f>
        <v>0.8</v>
      </c>
      <c r="H1058" s="5" t="s">
        <v>3733</v>
      </c>
      <c r="I1058" s="39">
        <f t="shared" ref="I1058:I1108" si="328">C1058*(1-G1058)</f>
        <v>5.9999999999999982</v>
      </c>
      <c r="J1058" s="5"/>
      <c r="K1058" s="5"/>
      <c r="L1058" s="33">
        <f t="shared" ref="L1058:L1108" si="329">D1058*(1-G1058)</f>
        <v>909.99999999999977</v>
      </c>
      <c r="M1058" s="33">
        <f t="shared" ref="M1058:M1108" si="330">IF(J1058="",L1058,(D1058/C1058)*J1058)</f>
        <v>909.99999999999977</v>
      </c>
      <c r="N1058" s="33">
        <f t="shared" ref="N1058:N1108" si="331">L1058-M1058</f>
        <v>0</v>
      </c>
      <c r="R1058">
        <v>1</v>
      </c>
      <c r="U1058" s="29">
        <f t="shared" si="318"/>
        <v>0</v>
      </c>
      <c r="V1058" s="29">
        <f t="shared" si="319"/>
        <v>0</v>
      </c>
      <c r="W1058" s="29">
        <f t="shared" si="320"/>
        <v>0</v>
      </c>
      <c r="X1058" s="29">
        <f t="shared" si="321"/>
        <v>909.99999999999977</v>
      </c>
      <c r="Y1058" s="29">
        <f t="shared" si="322"/>
        <v>0</v>
      </c>
      <c r="Z1058" s="29">
        <f t="shared" si="323"/>
        <v>0</v>
      </c>
    </row>
    <row r="1059" spans="1:26" x14ac:dyDescent="0.3">
      <c r="A1059" s="5" t="s">
        <v>2249</v>
      </c>
      <c r="B1059" s="5" t="s">
        <v>2250</v>
      </c>
      <c r="C1059" s="5">
        <v>60</v>
      </c>
      <c r="D1059" s="6">
        <v>7053</v>
      </c>
      <c r="E1059" s="17" t="str">
        <f>VLOOKUP(A1059,'forecast data dump'!$A$1:$H$3450,4,FALSE)</f>
        <v>01-Oct-19 A</v>
      </c>
      <c r="F1059" s="17">
        <f>VLOOKUP(A1059,'forecast data dump'!$A$1:$H$3450,5,FALSE)</f>
        <v>44407</v>
      </c>
      <c r="G1059" s="42">
        <f>VLOOKUP(A1059,'forecast data dump'!$A$1:$H$3450,8,FALSE)</f>
        <v>0.8</v>
      </c>
      <c r="H1059" s="5" t="s">
        <v>3745</v>
      </c>
      <c r="I1059" s="39">
        <f t="shared" si="328"/>
        <v>11.999999999999996</v>
      </c>
      <c r="J1059" s="5"/>
      <c r="K1059" s="5"/>
      <c r="L1059" s="33">
        <f t="shared" si="329"/>
        <v>1410.5999999999997</v>
      </c>
      <c r="M1059" s="33">
        <f t="shared" si="330"/>
        <v>1410.5999999999997</v>
      </c>
      <c r="N1059" s="33">
        <f t="shared" si="331"/>
        <v>0</v>
      </c>
      <c r="R1059">
        <v>1</v>
      </c>
      <c r="U1059" s="29">
        <f t="shared" ref="U1059:U1122" si="332">O1059*M1059</f>
        <v>0</v>
      </c>
      <c r="V1059" s="29">
        <f t="shared" ref="V1059:V1122" si="333">P1059*M1059</f>
        <v>0</v>
      </c>
      <c r="W1059" s="29">
        <f t="shared" ref="W1059:W1122" si="334">Q1059*M1059</f>
        <v>0</v>
      </c>
      <c r="X1059" s="29">
        <f t="shared" ref="X1059:X1122" si="335">R1059*M1059</f>
        <v>1410.5999999999997</v>
      </c>
      <c r="Y1059" s="29">
        <f t="shared" ref="Y1059:Y1122" si="336">S1059*M1059</f>
        <v>0</v>
      </c>
      <c r="Z1059" s="29">
        <f t="shared" ref="Z1059:Z1122" si="337">T1059*M1059</f>
        <v>0</v>
      </c>
    </row>
    <row r="1060" spans="1:26" x14ac:dyDescent="0.3">
      <c r="A1060" s="5" t="s">
        <v>2251</v>
      </c>
      <c r="B1060" s="5" t="s">
        <v>2252</v>
      </c>
      <c r="C1060" s="5">
        <v>60</v>
      </c>
      <c r="D1060" s="6">
        <v>9101</v>
      </c>
      <c r="E1060" s="17">
        <f>VLOOKUP(A1060,'forecast data dump'!$A$1:$H$3450,4,FALSE)</f>
        <v>44410</v>
      </c>
      <c r="F1060" s="17">
        <f>VLOOKUP(A1060,'forecast data dump'!$A$1:$H$3450,5,FALSE)</f>
        <v>44495</v>
      </c>
      <c r="G1060" s="42">
        <f>VLOOKUP(A1060,'forecast data dump'!$A$1:$H$3450,8,FALSE)</f>
        <v>0</v>
      </c>
      <c r="H1060" s="5" t="s">
        <v>3733</v>
      </c>
      <c r="I1060" s="39">
        <f t="shared" si="328"/>
        <v>60</v>
      </c>
      <c r="J1060" s="5"/>
      <c r="K1060" s="5"/>
      <c r="L1060" s="33">
        <f t="shared" si="329"/>
        <v>9101</v>
      </c>
      <c r="M1060" s="33">
        <f t="shared" si="330"/>
        <v>9101</v>
      </c>
      <c r="N1060" s="33">
        <f t="shared" si="331"/>
        <v>0</v>
      </c>
      <c r="T1060">
        <v>1</v>
      </c>
      <c r="U1060" s="29">
        <f t="shared" si="332"/>
        <v>0</v>
      </c>
      <c r="V1060" s="29">
        <f t="shared" si="333"/>
        <v>0</v>
      </c>
      <c r="W1060" s="29">
        <f t="shared" si="334"/>
        <v>0</v>
      </c>
      <c r="X1060" s="29">
        <f t="shared" si="335"/>
        <v>0</v>
      </c>
      <c r="Y1060" s="29">
        <f t="shared" si="336"/>
        <v>0</v>
      </c>
      <c r="Z1060" s="29">
        <f t="shared" si="337"/>
        <v>9101</v>
      </c>
    </row>
    <row r="1061" spans="1:26" x14ac:dyDescent="0.3">
      <c r="A1061" s="5" t="s">
        <v>2251</v>
      </c>
      <c r="B1061" s="5" t="s">
        <v>2252</v>
      </c>
      <c r="C1061" s="5">
        <v>20</v>
      </c>
      <c r="D1061" s="6">
        <v>2351</v>
      </c>
      <c r="E1061" s="17">
        <f>VLOOKUP(A1061,'forecast data dump'!$A$1:$H$3450,4,FALSE)</f>
        <v>44410</v>
      </c>
      <c r="F1061" s="17">
        <f>VLOOKUP(A1061,'forecast data dump'!$A$1:$H$3450,5,FALSE)</f>
        <v>44495</v>
      </c>
      <c r="G1061" s="42">
        <f>VLOOKUP(A1061,'forecast data dump'!$A$1:$H$3450,8,FALSE)</f>
        <v>0</v>
      </c>
      <c r="H1061" s="5" t="s">
        <v>3745</v>
      </c>
      <c r="I1061" s="39">
        <f t="shared" si="328"/>
        <v>20</v>
      </c>
      <c r="J1061" s="5"/>
      <c r="K1061" s="5"/>
      <c r="L1061" s="33">
        <f t="shared" si="329"/>
        <v>2351</v>
      </c>
      <c r="M1061" s="33">
        <f t="shared" si="330"/>
        <v>2351</v>
      </c>
      <c r="N1061" s="33">
        <f t="shared" si="331"/>
        <v>0</v>
      </c>
      <c r="T1061">
        <v>1</v>
      </c>
      <c r="U1061" s="29">
        <f t="shared" si="332"/>
        <v>0</v>
      </c>
      <c r="V1061" s="29">
        <f t="shared" si="333"/>
        <v>0</v>
      </c>
      <c r="W1061" s="29">
        <f t="shared" si="334"/>
        <v>0</v>
      </c>
      <c r="X1061" s="29">
        <f t="shared" si="335"/>
        <v>0</v>
      </c>
      <c r="Y1061" s="29">
        <f t="shared" si="336"/>
        <v>0</v>
      </c>
      <c r="Z1061" s="29">
        <f t="shared" si="337"/>
        <v>2351</v>
      </c>
    </row>
    <row r="1062" spans="1:26" x14ac:dyDescent="0.3">
      <c r="A1062" s="5" t="s">
        <v>2253</v>
      </c>
      <c r="B1062" s="5" t="s">
        <v>2254</v>
      </c>
      <c r="C1062" s="5">
        <v>40</v>
      </c>
      <c r="D1062" s="6">
        <v>6067</v>
      </c>
      <c r="E1062" s="17">
        <f>VLOOKUP(A1062,'forecast data dump'!$A$1:$H$3450,4,FALSE)</f>
        <v>44496</v>
      </c>
      <c r="F1062" s="17">
        <f>VLOOKUP(A1062,'forecast data dump'!$A$1:$H$3450,5,FALSE)</f>
        <v>44509</v>
      </c>
      <c r="G1062" s="42">
        <f>VLOOKUP(A1062,'forecast data dump'!$A$1:$H$3450,8,FALSE)</f>
        <v>0</v>
      </c>
      <c r="H1062" s="5" t="s">
        <v>3733</v>
      </c>
      <c r="I1062" s="39">
        <f t="shared" si="328"/>
        <v>40</v>
      </c>
      <c r="J1062" s="5"/>
      <c r="K1062" s="5"/>
      <c r="L1062" s="33">
        <f t="shared" si="329"/>
        <v>6067</v>
      </c>
      <c r="M1062" s="33">
        <f t="shared" si="330"/>
        <v>6067</v>
      </c>
      <c r="N1062" s="33">
        <f t="shared" si="331"/>
        <v>0</v>
      </c>
      <c r="T1062">
        <v>1</v>
      </c>
      <c r="U1062" s="29">
        <f t="shared" si="332"/>
        <v>0</v>
      </c>
      <c r="V1062" s="29">
        <f t="shared" si="333"/>
        <v>0</v>
      </c>
      <c r="W1062" s="29">
        <f t="shared" si="334"/>
        <v>0</v>
      </c>
      <c r="X1062" s="29">
        <f t="shared" si="335"/>
        <v>0</v>
      </c>
      <c r="Y1062" s="29">
        <f t="shared" si="336"/>
        <v>0</v>
      </c>
      <c r="Z1062" s="29">
        <f t="shared" si="337"/>
        <v>6067</v>
      </c>
    </row>
    <row r="1063" spans="1:26" x14ac:dyDescent="0.3">
      <c r="A1063" s="5" t="s">
        <v>2253</v>
      </c>
      <c r="B1063" s="5" t="s">
        <v>2254</v>
      </c>
      <c r="C1063" s="5">
        <v>20</v>
      </c>
      <c r="D1063" s="6">
        <v>2351</v>
      </c>
      <c r="E1063" s="17">
        <f>VLOOKUP(A1063,'forecast data dump'!$A$1:$H$3450,4,FALSE)</f>
        <v>44496</v>
      </c>
      <c r="F1063" s="17">
        <f>VLOOKUP(A1063,'forecast data dump'!$A$1:$H$3450,5,FALSE)</f>
        <v>44509</v>
      </c>
      <c r="G1063" s="42">
        <f>VLOOKUP(A1063,'forecast data dump'!$A$1:$H$3450,8,FALSE)</f>
        <v>0</v>
      </c>
      <c r="H1063" s="5" t="s">
        <v>3745</v>
      </c>
      <c r="I1063" s="39">
        <f t="shared" si="328"/>
        <v>20</v>
      </c>
      <c r="J1063" s="5"/>
      <c r="K1063" s="5"/>
      <c r="L1063" s="33">
        <f t="shared" si="329"/>
        <v>2351</v>
      </c>
      <c r="M1063" s="33">
        <f t="shared" si="330"/>
        <v>2351</v>
      </c>
      <c r="N1063" s="33">
        <f t="shared" si="331"/>
        <v>0</v>
      </c>
      <c r="T1063">
        <v>1</v>
      </c>
      <c r="U1063" s="29">
        <f t="shared" si="332"/>
        <v>0</v>
      </c>
      <c r="V1063" s="29">
        <f t="shared" si="333"/>
        <v>0</v>
      </c>
      <c r="W1063" s="29">
        <f t="shared" si="334"/>
        <v>0</v>
      </c>
      <c r="X1063" s="29">
        <f t="shared" si="335"/>
        <v>0</v>
      </c>
      <c r="Y1063" s="29">
        <f t="shared" si="336"/>
        <v>0</v>
      </c>
      <c r="Z1063" s="29">
        <f t="shared" si="337"/>
        <v>2351</v>
      </c>
    </row>
    <row r="1064" spans="1:26" x14ac:dyDescent="0.3">
      <c r="A1064" s="5" t="s">
        <v>2255</v>
      </c>
      <c r="B1064" s="5" t="s">
        <v>2256</v>
      </c>
      <c r="C1064" s="5">
        <v>8</v>
      </c>
      <c r="D1064" s="6">
        <v>1213</v>
      </c>
      <c r="E1064" s="17">
        <f>VLOOKUP(A1064,'forecast data dump'!$A$1:$H$3450,4,FALSE)</f>
        <v>44510</v>
      </c>
      <c r="F1064" s="17">
        <f>VLOOKUP(A1064,'forecast data dump'!$A$1:$H$3450,5,FALSE)</f>
        <v>44524</v>
      </c>
      <c r="G1064" s="42">
        <f>VLOOKUP(A1064,'forecast data dump'!$A$1:$H$3450,8,FALSE)</f>
        <v>0</v>
      </c>
      <c r="H1064" s="5" t="s">
        <v>3733</v>
      </c>
      <c r="I1064" s="39">
        <f t="shared" si="328"/>
        <v>8</v>
      </c>
      <c r="J1064" s="5"/>
      <c r="K1064" s="5"/>
      <c r="L1064" s="33">
        <f t="shared" si="329"/>
        <v>1213</v>
      </c>
      <c r="M1064" s="33">
        <f t="shared" si="330"/>
        <v>1213</v>
      </c>
      <c r="N1064" s="33">
        <f t="shared" si="331"/>
        <v>0</v>
      </c>
      <c r="T1064">
        <v>1</v>
      </c>
      <c r="U1064" s="29">
        <f t="shared" si="332"/>
        <v>0</v>
      </c>
      <c r="V1064" s="29">
        <f t="shared" si="333"/>
        <v>0</v>
      </c>
      <c r="W1064" s="29">
        <f t="shared" si="334"/>
        <v>0</v>
      </c>
      <c r="X1064" s="29">
        <f t="shared" si="335"/>
        <v>0</v>
      </c>
      <c r="Y1064" s="29">
        <f t="shared" si="336"/>
        <v>0</v>
      </c>
      <c r="Z1064" s="29">
        <f t="shared" si="337"/>
        <v>1213</v>
      </c>
    </row>
    <row r="1065" spans="1:26" x14ac:dyDescent="0.3">
      <c r="A1065" s="5" t="s">
        <v>2255</v>
      </c>
      <c r="B1065" s="5" t="s">
        <v>2256</v>
      </c>
      <c r="C1065" s="5">
        <v>8</v>
      </c>
      <c r="D1065" s="6">
        <v>940</v>
      </c>
      <c r="E1065" s="17">
        <f>VLOOKUP(A1065,'forecast data dump'!$A$1:$H$3450,4,FALSE)</f>
        <v>44510</v>
      </c>
      <c r="F1065" s="17">
        <f>VLOOKUP(A1065,'forecast data dump'!$A$1:$H$3450,5,FALSE)</f>
        <v>44524</v>
      </c>
      <c r="G1065" s="42">
        <f>VLOOKUP(A1065,'forecast data dump'!$A$1:$H$3450,8,FALSE)</f>
        <v>0</v>
      </c>
      <c r="H1065" s="5" t="s">
        <v>3741</v>
      </c>
      <c r="I1065" s="39">
        <f t="shared" si="328"/>
        <v>8</v>
      </c>
      <c r="J1065" s="5"/>
      <c r="K1065" s="5"/>
      <c r="L1065" s="33">
        <f t="shared" si="329"/>
        <v>940</v>
      </c>
      <c r="M1065" s="33">
        <f t="shared" si="330"/>
        <v>940</v>
      </c>
      <c r="N1065" s="33">
        <f t="shared" si="331"/>
        <v>0</v>
      </c>
      <c r="T1065">
        <v>1</v>
      </c>
      <c r="U1065" s="29">
        <f t="shared" si="332"/>
        <v>0</v>
      </c>
      <c r="V1065" s="29">
        <f t="shared" si="333"/>
        <v>0</v>
      </c>
      <c r="W1065" s="29">
        <f t="shared" si="334"/>
        <v>0</v>
      </c>
      <c r="X1065" s="29">
        <f t="shared" si="335"/>
        <v>0</v>
      </c>
      <c r="Y1065" s="29">
        <f t="shared" si="336"/>
        <v>0</v>
      </c>
      <c r="Z1065" s="29">
        <f t="shared" si="337"/>
        <v>940</v>
      </c>
    </row>
    <row r="1066" spans="1:26" x14ac:dyDescent="0.3">
      <c r="A1066" s="5" t="s">
        <v>2255</v>
      </c>
      <c r="B1066" s="5" t="s">
        <v>2256</v>
      </c>
      <c r="C1066" s="5">
        <v>8</v>
      </c>
      <c r="D1066" s="6">
        <v>940</v>
      </c>
      <c r="E1066" s="17">
        <f>VLOOKUP(A1066,'forecast data dump'!$A$1:$H$3450,4,FALSE)</f>
        <v>44510</v>
      </c>
      <c r="F1066" s="17">
        <f>VLOOKUP(A1066,'forecast data dump'!$A$1:$H$3450,5,FALSE)</f>
        <v>44524</v>
      </c>
      <c r="G1066" s="42">
        <f>VLOOKUP(A1066,'forecast data dump'!$A$1:$H$3450,8,FALSE)</f>
        <v>0</v>
      </c>
      <c r="H1066" s="5" t="s">
        <v>3745</v>
      </c>
      <c r="I1066" s="39">
        <f t="shared" si="328"/>
        <v>8</v>
      </c>
      <c r="J1066" s="5"/>
      <c r="K1066" s="5"/>
      <c r="L1066" s="33">
        <f t="shared" si="329"/>
        <v>940</v>
      </c>
      <c r="M1066" s="33">
        <f t="shared" si="330"/>
        <v>940</v>
      </c>
      <c r="N1066" s="33">
        <f t="shared" si="331"/>
        <v>0</v>
      </c>
      <c r="T1066">
        <v>1</v>
      </c>
      <c r="U1066" s="29">
        <f t="shared" si="332"/>
        <v>0</v>
      </c>
      <c r="V1066" s="29">
        <f t="shared" si="333"/>
        <v>0</v>
      </c>
      <c r="W1066" s="29">
        <f t="shared" si="334"/>
        <v>0</v>
      </c>
      <c r="X1066" s="29">
        <f t="shared" si="335"/>
        <v>0</v>
      </c>
      <c r="Y1066" s="29">
        <f t="shared" si="336"/>
        <v>0</v>
      </c>
      <c r="Z1066" s="29">
        <f t="shared" si="337"/>
        <v>940</v>
      </c>
    </row>
    <row r="1067" spans="1:26" x14ac:dyDescent="0.3">
      <c r="A1067" s="5" t="s">
        <v>2257</v>
      </c>
      <c r="B1067" s="5" t="s">
        <v>2258</v>
      </c>
      <c r="C1067" s="5">
        <v>8</v>
      </c>
      <c r="D1067" s="6">
        <v>1213</v>
      </c>
      <c r="E1067" s="17">
        <f>VLOOKUP(A1067,'forecast data dump'!$A$1:$H$3450,4,FALSE)</f>
        <v>44529</v>
      </c>
      <c r="F1067" s="17">
        <f>VLOOKUP(A1067,'forecast data dump'!$A$1:$H$3450,5,FALSE)</f>
        <v>44540</v>
      </c>
      <c r="G1067" s="42">
        <f>VLOOKUP(A1067,'forecast data dump'!$A$1:$H$3450,8,FALSE)</f>
        <v>0</v>
      </c>
      <c r="H1067" s="5" t="s">
        <v>3733</v>
      </c>
      <c r="I1067" s="39">
        <f t="shared" si="328"/>
        <v>8</v>
      </c>
      <c r="J1067" s="5"/>
      <c r="K1067" s="5"/>
      <c r="L1067" s="33">
        <f t="shared" si="329"/>
        <v>1213</v>
      </c>
      <c r="M1067" s="33">
        <f t="shared" si="330"/>
        <v>1213</v>
      </c>
      <c r="N1067" s="33">
        <f t="shared" si="331"/>
        <v>0</v>
      </c>
      <c r="T1067">
        <v>1</v>
      </c>
      <c r="U1067" s="29">
        <f t="shared" si="332"/>
        <v>0</v>
      </c>
      <c r="V1067" s="29">
        <f t="shared" si="333"/>
        <v>0</v>
      </c>
      <c r="W1067" s="29">
        <f t="shared" si="334"/>
        <v>0</v>
      </c>
      <c r="X1067" s="29">
        <f t="shared" si="335"/>
        <v>0</v>
      </c>
      <c r="Y1067" s="29">
        <f t="shared" si="336"/>
        <v>0</v>
      </c>
      <c r="Z1067" s="29">
        <f t="shared" si="337"/>
        <v>1213</v>
      </c>
    </row>
    <row r="1068" spans="1:26" x14ac:dyDescent="0.3">
      <c r="A1068" s="5" t="s">
        <v>2257</v>
      </c>
      <c r="B1068" s="5" t="s">
        <v>2258</v>
      </c>
      <c r="C1068" s="5">
        <v>8</v>
      </c>
      <c r="D1068" s="6">
        <v>940</v>
      </c>
      <c r="E1068" s="17">
        <f>VLOOKUP(A1068,'forecast data dump'!$A$1:$H$3450,4,FALSE)</f>
        <v>44529</v>
      </c>
      <c r="F1068" s="17">
        <f>VLOOKUP(A1068,'forecast data dump'!$A$1:$H$3450,5,FALSE)</f>
        <v>44540</v>
      </c>
      <c r="G1068" s="42">
        <f>VLOOKUP(A1068,'forecast data dump'!$A$1:$H$3450,8,FALSE)</f>
        <v>0</v>
      </c>
      <c r="H1068" s="5" t="s">
        <v>3741</v>
      </c>
      <c r="I1068" s="39">
        <f t="shared" si="328"/>
        <v>8</v>
      </c>
      <c r="J1068" s="5"/>
      <c r="K1068" s="5"/>
      <c r="L1068" s="33">
        <f t="shared" si="329"/>
        <v>940</v>
      </c>
      <c r="M1068" s="33">
        <f t="shared" si="330"/>
        <v>940</v>
      </c>
      <c r="N1068" s="33">
        <f t="shared" si="331"/>
        <v>0</v>
      </c>
      <c r="T1068">
        <v>1</v>
      </c>
      <c r="U1068" s="29">
        <f t="shared" si="332"/>
        <v>0</v>
      </c>
      <c r="V1068" s="29">
        <f t="shared" si="333"/>
        <v>0</v>
      </c>
      <c r="W1068" s="29">
        <f t="shared" si="334"/>
        <v>0</v>
      </c>
      <c r="X1068" s="29">
        <f t="shared" si="335"/>
        <v>0</v>
      </c>
      <c r="Y1068" s="29">
        <f t="shared" si="336"/>
        <v>0</v>
      </c>
      <c r="Z1068" s="29">
        <f t="shared" si="337"/>
        <v>940</v>
      </c>
    </row>
    <row r="1069" spans="1:26" x14ac:dyDescent="0.3">
      <c r="A1069" s="5" t="s">
        <v>2257</v>
      </c>
      <c r="B1069" s="5" t="s">
        <v>2258</v>
      </c>
      <c r="C1069" s="5">
        <v>8</v>
      </c>
      <c r="D1069" s="6">
        <v>940</v>
      </c>
      <c r="E1069" s="17">
        <f>VLOOKUP(A1069,'forecast data dump'!$A$1:$H$3450,4,FALSE)</f>
        <v>44529</v>
      </c>
      <c r="F1069" s="17">
        <f>VLOOKUP(A1069,'forecast data dump'!$A$1:$H$3450,5,FALSE)</f>
        <v>44540</v>
      </c>
      <c r="G1069" s="42">
        <f>VLOOKUP(A1069,'forecast data dump'!$A$1:$H$3450,8,FALSE)</f>
        <v>0</v>
      </c>
      <c r="H1069" s="5" t="s">
        <v>3745</v>
      </c>
      <c r="I1069" s="39">
        <f t="shared" si="328"/>
        <v>8</v>
      </c>
      <c r="J1069" s="5"/>
      <c r="K1069" s="5"/>
      <c r="L1069" s="33">
        <f t="shared" si="329"/>
        <v>940</v>
      </c>
      <c r="M1069" s="33">
        <f t="shared" si="330"/>
        <v>940</v>
      </c>
      <c r="N1069" s="33">
        <f t="shared" si="331"/>
        <v>0</v>
      </c>
      <c r="T1069">
        <v>1</v>
      </c>
      <c r="U1069" s="29">
        <f t="shared" si="332"/>
        <v>0</v>
      </c>
      <c r="V1069" s="29">
        <f t="shared" si="333"/>
        <v>0</v>
      </c>
      <c r="W1069" s="29">
        <f t="shared" si="334"/>
        <v>0</v>
      </c>
      <c r="X1069" s="29">
        <f t="shared" si="335"/>
        <v>0</v>
      </c>
      <c r="Y1069" s="29">
        <f t="shared" si="336"/>
        <v>0</v>
      </c>
      <c r="Z1069" s="29">
        <f t="shared" si="337"/>
        <v>940</v>
      </c>
    </row>
    <row r="1070" spans="1:26" x14ac:dyDescent="0.3">
      <c r="A1070" s="5" t="s">
        <v>2259</v>
      </c>
      <c r="B1070" s="5" t="s">
        <v>2260</v>
      </c>
      <c r="C1070" s="5">
        <v>8</v>
      </c>
      <c r="D1070" s="6">
        <v>1250</v>
      </c>
      <c r="E1070" s="17">
        <f>VLOOKUP(A1070,'forecast data dump'!$A$1:$H$3450,4,FALSE)</f>
        <v>44783</v>
      </c>
      <c r="F1070" s="17">
        <f>VLOOKUP(A1070,'forecast data dump'!$A$1:$H$3450,5,FALSE)</f>
        <v>44784</v>
      </c>
      <c r="G1070" s="42">
        <f>VLOOKUP(A1070,'forecast data dump'!$A$1:$H$3450,8,FALSE)</f>
        <v>0</v>
      </c>
      <c r="H1070" s="5" t="s">
        <v>3733</v>
      </c>
      <c r="I1070" s="39">
        <f t="shared" si="328"/>
        <v>8</v>
      </c>
      <c r="J1070" s="5"/>
      <c r="K1070" s="5"/>
      <c r="L1070" s="33">
        <f t="shared" si="329"/>
        <v>1250</v>
      </c>
      <c r="M1070" s="33">
        <f t="shared" si="330"/>
        <v>1250</v>
      </c>
      <c r="N1070" s="33">
        <f t="shared" si="331"/>
        <v>0</v>
      </c>
      <c r="T1070">
        <v>1</v>
      </c>
      <c r="U1070" s="29">
        <f t="shared" si="332"/>
        <v>0</v>
      </c>
      <c r="V1070" s="29">
        <f t="shared" si="333"/>
        <v>0</v>
      </c>
      <c r="W1070" s="29">
        <f t="shared" si="334"/>
        <v>0</v>
      </c>
      <c r="X1070" s="29">
        <f t="shared" si="335"/>
        <v>0</v>
      </c>
      <c r="Y1070" s="29">
        <f t="shared" si="336"/>
        <v>0</v>
      </c>
      <c r="Z1070" s="29">
        <f t="shared" si="337"/>
        <v>1250</v>
      </c>
    </row>
    <row r="1071" spans="1:26" x14ac:dyDescent="0.3">
      <c r="A1071" s="5" t="s">
        <v>2259</v>
      </c>
      <c r="B1071" s="5" t="s">
        <v>2260</v>
      </c>
      <c r="C1071" s="5">
        <v>24</v>
      </c>
      <c r="D1071" s="6">
        <v>2906</v>
      </c>
      <c r="E1071" s="17">
        <f>VLOOKUP(A1071,'forecast data dump'!$A$1:$H$3450,4,FALSE)</f>
        <v>44783</v>
      </c>
      <c r="F1071" s="17">
        <f>VLOOKUP(A1071,'forecast data dump'!$A$1:$H$3450,5,FALSE)</f>
        <v>44784</v>
      </c>
      <c r="G1071" s="42">
        <f>VLOOKUP(A1071,'forecast data dump'!$A$1:$H$3450,8,FALSE)</f>
        <v>0</v>
      </c>
      <c r="H1071" s="5" t="s">
        <v>3741</v>
      </c>
      <c r="I1071" s="39">
        <f t="shared" si="328"/>
        <v>24</v>
      </c>
      <c r="J1071" s="5"/>
      <c r="K1071" s="5"/>
      <c r="L1071" s="33">
        <f t="shared" si="329"/>
        <v>2906</v>
      </c>
      <c r="M1071" s="33">
        <f t="shared" si="330"/>
        <v>2906</v>
      </c>
      <c r="N1071" s="33">
        <f t="shared" si="331"/>
        <v>0</v>
      </c>
      <c r="T1071">
        <v>1</v>
      </c>
      <c r="U1071" s="29">
        <f t="shared" si="332"/>
        <v>0</v>
      </c>
      <c r="V1071" s="29">
        <f t="shared" si="333"/>
        <v>0</v>
      </c>
      <c r="W1071" s="29">
        <f t="shared" si="334"/>
        <v>0</v>
      </c>
      <c r="X1071" s="29">
        <f t="shared" si="335"/>
        <v>0</v>
      </c>
      <c r="Y1071" s="29">
        <f t="shared" si="336"/>
        <v>0</v>
      </c>
      <c r="Z1071" s="29">
        <f t="shared" si="337"/>
        <v>2906</v>
      </c>
    </row>
    <row r="1072" spans="1:26" x14ac:dyDescent="0.3">
      <c r="A1072" s="5" t="s">
        <v>2259</v>
      </c>
      <c r="B1072" s="5" t="s">
        <v>2260</v>
      </c>
      <c r="C1072" s="5">
        <v>8</v>
      </c>
      <c r="D1072" s="6">
        <v>969</v>
      </c>
      <c r="E1072" s="17">
        <f>VLOOKUP(A1072,'forecast data dump'!$A$1:$H$3450,4,FALSE)</f>
        <v>44783</v>
      </c>
      <c r="F1072" s="17">
        <f>VLOOKUP(A1072,'forecast data dump'!$A$1:$H$3450,5,FALSE)</f>
        <v>44784</v>
      </c>
      <c r="G1072" s="42">
        <f>VLOOKUP(A1072,'forecast data dump'!$A$1:$H$3450,8,FALSE)</f>
        <v>0</v>
      </c>
      <c r="H1072" s="5" t="s">
        <v>3742</v>
      </c>
      <c r="I1072" s="39">
        <f t="shared" si="328"/>
        <v>8</v>
      </c>
      <c r="J1072" s="5"/>
      <c r="K1072" s="5"/>
      <c r="L1072" s="33">
        <f t="shared" si="329"/>
        <v>969</v>
      </c>
      <c r="M1072" s="33">
        <f t="shared" si="330"/>
        <v>969</v>
      </c>
      <c r="N1072" s="33">
        <f t="shared" si="331"/>
        <v>0</v>
      </c>
      <c r="T1072">
        <v>1</v>
      </c>
      <c r="U1072" s="29">
        <f t="shared" si="332"/>
        <v>0</v>
      </c>
      <c r="V1072" s="29">
        <f t="shared" si="333"/>
        <v>0</v>
      </c>
      <c r="W1072" s="29">
        <f t="shared" si="334"/>
        <v>0</v>
      </c>
      <c r="X1072" s="29">
        <f t="shared" si="335"/>
        <v>0</v>
      </c>
      <c r="Y1072" s="29">
        <f t="shared" si="336"/>
        <v>0</v>
      </c>
      <c r="Z1072" s="29">
        <f t="shared" si="337"/>
        <v>969</v>
      </c>
    </row>
    <row r="1073" spans="1:26" x14ac:dyDescent="0.3">
      <c r="A1073" s="5" t="s">
        <v>2261</v>
      </c>
      <c r="B1073" s="5" t="s">
        <v>2262</v>
      </c>
      <c r="C1073" s="5">
        <v>8</v>
      </c>
      <c r="D1073" s="6">
        <v>1250</v>
      </c>
      <c r="E1073" s="17">
        <f>VLOOKUP(A1073,'forecast data dump'!$A$1:$H$3450,4,FALSE)</f>
        <v>44785</v>
      </c>
      <c r="F1073" s="17">
        <f>VLOOKUP(A1073,'forecast data dump'!$A$1:$H$3450,5,FALSE)</f>
        <v>44788</v>
      </c>
      <c r="G1073" s="42">
        <f>VLOOKUP(A1073,'forecast data dump'!$A$1:$H$3450,8,FALSE)</f>
        <v>0</v>
      </c>
      <c r="H1073" s="5" t="s">
        <v>3733</v>
      </c>
      <c r="I1073" s="39">
        <f t="shared" si="328"/>
        <v>8</v>
      </c>
      <c r="J1073" s="5"/>
      <c r="K1073" s="5"/>
      <c r="L1073" s="33">
        <f t="shared" si="329"/>
        <v>1250</v>
      </c>
      <c r="M1073" s="33">
        <f t="shared" si="330"/>
        <v>1250</v>
      </c>
      <c r="N1073" s="33">
        <f t="shared" si="331"/>
        <v>0</v>
      </c>
      <c r="T1073">
        <v>1</v>
      </c>
      <c r="U1073" s="29">
        <f t="shared" si="332"/>
        <v>0</v>
      </c>
      <c r="V1073" s="29">
        <f t="shared" si="333"/>
        <v>0</v>
      </c>
      <c r="W1073" s="29">
        <f t="shared" si="334"/>
        <v>0</v>
      </c>
      <c r="X1073" s="29">
        <f t="shared" si="335"/>
        <v>0</v>
      </c>
      <c r="Y1073" s="29">
        <f t="shared" si="336"/>
        <v>0</v>
      </c>
      <c r="Z1073" s="29">
        <f t="shared" si="337"/>
        <v>1250</v>
      </c>
    </row>
    <row r="1074" spans="1:26" x14ac:dyDescent="0.3">
      <c r="A1074" s="5" t="s">
        <v>2261</v>
      </c>
      <c r="B1074" s="5" t="s">
        <v>2262</v>
      </c>
      <c r="C1074" s="5">
        <v>8</v>
      </c>
      <c r="D1074" s="6">
        <v>969</v>
      </c>
      <c r="E1074" s="17">
        <f>VLOOKUP(A1074,'forecast data dump'!$A$1:$H$3450,4,FALSE)</f>
        <v>44785</v>
      </c>
      <c r="F1074" s="17">
        <f>VLOOKUP(A1074,'forecast data dump'!$A$1:$H$3450,5,FALSE)</f>
        <v>44788</v>
      </c>
      <c r="G1074" s="42">
        <f>VLOOKUP(A1074,'forecast data dump'!$A$1:$H$3450,8,FALSE)</f>
        <v>0</v>
      </c>
      <c r="H1074" s="5" t="s">
        <v>3745</v>
      </c>
      <c r="I1074" s="39">
        <f t="shared" si="328"/>
        <v>8</v>
      </c>
      <c r="J1074" s="5"/>
      <c r="K1074" s="5"/>
      <c r="L1074" s="33">
        <f t="shared" si="329"/>
        <v>969</v>
      </c>
      <c r="M1074" s="33">
        <f t="shared" si="330"/>
        <v>969</v>
      </c>
      <c r="N1074" s="33">
        <f t="shared" si="331"/>
        <v>0</v>
      </c>
      <c r="T1074">
        <v>1</v>
      </c>
      <c r="U1074" s="29">
        <f t="shared" si="332"/>
        <v>0</v>
      </c>
      <c r="V1074" s="29">
        <f t="shared" si="333"/>
        <v>0</v>
      </c>
      <c r="W1074" s="29">
        <f t="shared" si="334"/>
        <v>0</v>
      </c>
      <c r="X1074" s="29">
        <f t="shared" si="335"/>
        <v>0</v>
      </c>
      <c r="Y1074" s="29">
        <f t="shared" si="336"/>
        <v>0</v>
      </c>
      <c r="Z1074" s="29">
        <f t="shared" si="337"/>
        <v>969</v>
      </c>
    </row>
    <row r="1075" spans="1:26" x14ac:dyDescent="0.3">
      <c r="A1075" s="5" t="s">
        <v>2261</v>
      </c>
      <c r="B1075" s="5" t="s">
        <v>2262</v>
      </c>
      <c r="C1075" s="5">
        <v>60</v>
      </c>
      <c r="D1075" s="6">
        <v>7264</v>
      </c>
      <c r="E1075" s="17">
        <f>VLOOKUP(A1075,'forecast data dump'!$A$1:$H$3450,4,FALSE)</f>
        <v>44785</v>
      </c>
      <c r="F1075" s="17">
        <f>VLOOKUP(A1075,'forecast data dump'!$A$1:$H$3450,5,FALSE)</f>
        <v>44788</v>
      </c>
      <c r="G1075" s="42">
        <f>VLOOKUP(A1075,'forecast data dump'!$A$1:$H$3450,8,FALSE)</f>
        <v>0</v>
      </c>
      <c r="H1075" s="5" t="s">
        <v>3741</v>
      </c>
      <c r="I1075" s="39">
        <f t="shared" si="328"/>
        <v>60</v>
      </c>
      <c r="J1075" s="5"/>
      <c r="K1075" s="5"/>
      <c r="L1075" s="33">
        <f t="shared" si="329"/>
        <v>7264</v>
      </c>
      <c r="M1075" s="33">
        <f t="shared" si="330"/>
        <v>7264</v>
      </c>
      <c r="N1075" s="33">
        <f t="shared" si="331"/>
        <v>0</v>
      </c>
      <c r="T1075">
        <v>1</v>
      </c>
      <c r="U1075" s="29">
        <f t="shared" si="332"/>
        <v>0</v>
      </c>
      <c r="V1075" s="29">
        <f t="shared" si="333"/>
        <v>0</v>
      </c>
      <c r="W1075" s="29">
        <f t="shared" si="334"/>
        <v>0</v>
      </c>
      <c r="X1075" s="29">
        <f t="shared" si="335"/>
        <v>0</v>
      </c>
      <c r="Y1075" s="29">
        <f t="shared" si="336"/>
        <v>0</v>
      </c>
      <c r="Z1075" s="29">
        <f t="shared" si="337"/>
        <v>7264</v>
      </c>
    </row>
    <row r="1076" spans="1:26" x14ac:dyDescent="0.3">
      <c r="A1076" s="5" t="s">
        <v>2263</v>
      </c>
      <c r="B1076" s="5" t="s">
        <v>2264</v>
      </c>
      <c r="C1076" s="5">
        <v>8</v>
      </c>
      <c r="D1076" s="6">
        <v>1250</v>
      </c>
      <c r="E1076" s="17">
        <f>VLOOKUP(A1076,'forecast data dump'!$A$1:$H$3450,4,FALSE)</f>
        <v>44789</v>
      </c>
      <c r="F1076" s="17">
        <f>VLOOKUP(A1076,'forecast data dump'!$A$1:$H$3450,5,FALSE)</f>
        <v>44791</v>
      </c>
      <c r="G1076" s="42">
        <f>VLOOKUP(A1076,'forecast data dump'!$A$1:$H$3450,8,FALSE)</f>
        <v>0</v>
      </c>
      <c r="H1076" s="5" t="s">
        <v>3733</v>
      </c>
      <c r="I1076" s="39">
        <f t="shared" si="328"/>
        <v>8</v>
      </c>
      <c r="J1076" s="5"/>
      <c r="K1076" s="5"/>
      <c r="L1076" s="33">
        <f t="shared" si="329"/>
        <v>1250</v>
      </c>
      <c r="M1076" s="33">
        <f t="shared" si="330"/>
        <v>1250</v>
      </c>
      <c r="N1076" s="33">
        <f t="shared" si="331"/>
        <v>0</v>
      </c>
      <c r="T1076">
        <v>1</v>
      </c>
      <c r="U1076" s="29">
        <f t="shared" si="332"/>
        <v>0</v>
      </c>
      <c r="V1076" s="29">
        <f t="shared" si="333"/>
        <v>0</v>
      </c>
      <c r="W1076" s="29">
        <f t="shared" si="334"/>
        <v>0</v>
      </c>
      <c r="X1076" s="29">
        <f t="shared" si="335"/>
        <v>0</v>
      </c>
      <c r="Y1076" s="29">
        <f t="shared" si="336"/>
        <v>0</v>
      </c>
      <c r="Z1076" s="29">
        <f t="shared" si="337"/>
        <v>1250</v>
      </c>
    </row>
    <row r="1077" spans="1:26" x14ac:dyDescent="0.3">
      <c r="A1077" s="5" t="s">
        <v>2263</v>
      </c>
      <c r="B1077" s="5" t="s">
        <v>2264</v>
      </c>
      <c r="C1077" s="5">
        <v>8</v>
      </c>
      <c r="D1077" s="6">
        <v>969</v>
      </c>
      <c r="E1077" s="17">
        <f>VLOOKUP(A1077,'forecast data dump'!$A$1:$H$3450,4,FALSE)</f>
        <v>44789</v>
      </c>
      <c r="F1077" s="17">
        <f>VLOOKUP(A1077,'forecast data dump'!$A$1:$H$3450,5,FALSE)</f>
        <v>44791</v>
      </c>
      <c r="G1077" s="42">
        <f>VLOOKUP(A1077,'forecast data dump'!$A$1:$H$3450,8,FALSE)</f>
        <v>0</v>
      </c>
      <c r="H1077" s="5" t="s">
        <v>3745</v>
      </c>
      <c r="I1077" s="39">
        <f t="shared" si="328"/>
        <v>8</v>
      </c>
      <c r="J1077" s="5"/>
      <c r="K1077" s="5"/>
      <c r="L1077" s="33">
        <f t="shared" si="329"/>
        <v>969</v>
      </c>
      <c r="M1077" s="33">
        <f t="shared" si="330"/>
        <v>969</v>
      </c>
      <c r="N1077" s="33">
        <f t="shared" si="331"/>
        <v>0</v>
      </c>
      <c r="T1077">
        <v>1</v>
      </c>
      <c r="U1077" s="29">
        <f t="shared" si="332"/>
        <v>0</v>
      </c>
      <c r="V1077" s="29">
        <f t="shared" si="333"/>
        <v>0</v>
      </c>
      <c r="W1077" s="29">
        <f t="shared" si="334"/>
        <v>0</v>
      </c>
      <c r="X1077" s="29">
        <f t="shared" si="335"/>
        <v>0</v>
      </c>
      <c r="Y1077" s="29">
        <f t="shared" si="336"/>
        <v>0</v>
      </c>
      <c r="Z1077" s="29">
        <f t="shared" si="337"/>
        <v>969</v>
      </c>
    </row>
    <row r="1078" spans="1:26" x14ac:dyDescent="0.3">
      <c r="A1078" s="5" t="s">
        <v>2263</v>
      </c>
      <c r="B1078" s="5" t="s">
        <v>2264</v>
      </c>
      <c r="C1078" s="5">
        <v>60</v>
      </c>
      <c r="D1078" s="6">
        <v>7264</v>
      </c>
      <c r="E1078" s="17">
        <f>VLOOKUP(A1078,'forecast data dump'!$A$1:$H$3450,4,FALSE)</f>
        <v>44789</v>
      </c>
      <c r="F1078" s="17">
        <f>VLOOKUP(A1078,'forecast data dump'!$A$1:$H$3450,5,FALSE)</f>
        <v>44791</v>
      </c>
      <c r="G1078" s="42">
        <f>VLOOKUP(A1078,'forecast data dump'!$A$1:$H$3450,8,FALSE)</f>
        <v>0</v>
      </c>
      <c r="H1078" s="5" t="s">
        <v>3741</v>
      </c>
      <c r="I1078" s="39">
        <f t="shared" si="328"/>
        <v>60</v>
      </c>
      <c r="J1078" s="5"/>
      <c r="K1078" s="5"/>
      <c r="L1078" s="33">
        <f t="shared" si="329"/>
        <v>7264</v>
      </c>
      <c r="M1078" s="33">
        <f t="shared" si="330"/>
        <v>7264</v>
      </c>
      <c r="N1078" s="33">
        <f t="shared" si="331"/>
        <v>0</v>
      </c>
      <c r="T1078">
        <v>1</v>
      </c>
      <c r="U1078" s="29">
        <f t="shared" si="332"/>
        <v>0</v>
      </c>
      <c r="V1078" s="29">
        <f t="shared" si="333"/>
        <v>0</v>
      </c>
      <c r="W1078" s="29">
        <f t="shared" si="334"/>
        <v>0</v>
      </c>
      <c r="X1078" s="29">
        <f t="shared" si="335"/>
        <v>0</v>
      </c>
      <c r="Y1078" s="29">
        <f t="shared" si="336"/>
        <v>0</v>
      </c>
      <c r="Z1078" s="29">
        <f t="shared" si="337"/>
        <v>7264</v>
      </c>
    </row>
    <row r="1079" spans="1:26" x14ac:dyDescent="0.3">
      <c r="A1079" s="5" t="s">
        <v>2265</v>
      </c>
      <c r="B1079" s="5" t="s">
        <v>2266</v>
      </c>
      <c r="C1079" s="5">
        <v>20</v>
      </c>
      <c r="D1079" s="6">
        <v>2421</v>
      </c>
      <c r="E1079" s="17">
        <f>VLOOKUP(A1079,'forecast data dump'!$A$1:$H$3450,4,FALSE)</f>
        <v>44792</v>
      </c>
      <c r="F1079" s="17">
        <f>VLOOKUP(A1079,'forecast data dump'!$A$1:$H$3450,5,FALSE)</f>
        <v>44798</v>
      </c>
      <c r="G1079" s="42">
        <f>VLOOKUP(A1079,'forecast data dump'!$A$1:$H$3450,8,FALSE)</f>
        <v>0</v>
      </c>
      <c r="H1079" s="5" t="s">
        <v>3741</v>
      </c>
      <c r="I1079" s="39">
        <f t="shared" si="328"/>
        <v>20</v>
      </c>
      <c r="J1079" s="5"/>
      <c r="K1079" s="5"/>
      <c r="L1079" s="33">
        <f t="shared" si="329"/>
        <v>2421</v>
      </c>
      <c r="M1079" s="33">
        <f t="shared" si="330"/>
        <v>2421</v>
      </c>
      <c r="N1079" s="33">
        <f t="shared" si="331"/>
        <v>0</v>
      </c>
      <c r="T1079">
        <v>1</v>
      </c>
      <c r="U1079" s="29">
        <f t="shared" si="332"/>
        <v>0</v>
      </c>
      <c r="V1079" s="29">
        <f t="shared" si="333"/>
        <v>0</v>
      </c>
      <c r="W1079" s="29">
        <f t="shared" si="334"/>
        <v>0</v>
      </c>
      <c r="X1079" s="29">
        <f t="shared" si="335"/>
        <v>0</v>
      </c>
      <c r="Y1079" s="29">
        <f t="shared" si="336"/>
        <v>0</v>
      </c>
      <c r="Z1079" s="29">
        <f t="shared" si="337"/>
        <v>2421</v>
      </c>
    </row>
    <row r="1080" spans="1:26" x14ac:dyDescent="0.3">
      <c r="A1080" s="5" t="s">
        <v>2267</v>
      </c>
      <c r="B1080" s="5" t="s">
        <v>2268</v>
      </c>
      <c r="C1080" s="5">
        <v>120</v>
      </c>
      <c r="D1080" s="6">
        <v>14529</v>
      </c>
      <c r="E1080" s="17">
        <f>VLOOKUP(A1080,'forecast data dump'!$A$1:$H$3450,4,FALSE)</f>
        <v>44799</v>
      </c>
      <c r="F1080" s="17">
        <f>VLOOKUP(A1080,'forecast data dump'!$A$1:$H$3450,5,FALSE)</f>
        <v>44805</v>
      </c>
      <c r="G1080" s="42">
        <f>VLOOKUP(A1080,'forecast data dump'!$A$1:$H$3450,8,FALSE)</f>
        <v>0</v>
      </c>
      <c r="H1080" s="5" t="s">
        <v>3742</v>
      </c>
      <c r="I1080" s="39">
        <f t="shared" si="328"/>
        <v>120</v>
      </c>
      <c r="J1080" s="5"/>
      <c r="K1080" s="5"/>
      <c r="L1080" s="33">
        <f t="shared" si="329"/>
        <v>14529</v>
      </c>
      <c r="M1080" s="33">
        <f t="shared" si="330"/>
        <v>14529</v>
      </c>
      <c r="N1080" s="33">
        <f t="shared" si="331"/>
        <v>0</v>
      </c>
      <c r="T1080">
        <v>1</v>
      </c>
      <c r="U1080" s="29">
        <f t="shared" si="332"/>
        <v>0</v>
      </c>
      <c r="V1080" s="29">
        <f t="shared" si="333"/>
        <v>0</v>
      </c>
      <c r="W1080" s="29">
        <f t="shared" si="334"/>
        <v>0</v>
      </c>
      <c r="X1080" s="29">
        <f t="shared" si="335"/>
        <v>0</v>
      </c>
      <c r="Y1080" s="29">
        <f t="shared" si="336"/>
        <v>0</v>
      </c>
      <c r="Z1080" s="29">
        <f t="shared" si="337"/>
        <v>14529</v>
      </c>
    </row>
    <row r="1081" spans="1:26" x14ac:dyDescent="0.3">
      <c r="A1081" s="5" t="s">
        <v>2267</v>
      </c>
      <c r="B1081" s="5" t="s">
        <v>2268</v>
      </c>
      <c r="C1081" s="5">
        <v>120</v>
      </c>
      <c r="D1081" s="6">
        <v>14529</v>
      </c>
      <c r="E1081" s="17">
        <f>VLOOKUP(A1081,'forecast data dump'!$A$1:$H$3450,4,FALSE)</f>
        <v>44799</v>
      </c>
      <c r="F1081" s="17">
        <f>VLOOKUP(A1081,'forecast data dump'!$A$1:$H$3450,5,FALSE)</f>
        <v>44805</v>
      </c>
      <c r="G1081" s="42">
        <f>VLOOKUP(A1081,'forecast data dump'!$A$1:$H$3450,8,FALSE)</f>
        <v>0</v>
      </c>
      <c r="H1081" s="5" t="s">
        <v>3741</v>
      </c>
      <c r="I1081" s="39">
        <f t="shared" si="328"/>
        <v>120</v>
      </c>
      <c r="J1081" s="5"/>
      <c r="K1081" s="5"/>
      <c r="L1081" s="33">
        <f t="shared" si="329"/>
        <v>14529</v>
      </c>
      <c r="M1081" s="33">
        <f t="shared" si="330"/>
        <v>14529</v>
      </c>
      <c r="N1081" s="33">
        <f t="shared" si="331"/>
        <v>0</v>
      </c>
      <c r="T1081">
        <v>1</v>
      </c>
      <c r="U1081" s="29">
        <f t="shared" si="332"/>
        <v>0</v>
      </c>
      <c r="V1081" s="29">
        <f t="shared" si="333"/>
        <v>0</v>
      </c>
      <c r="W1081" s="29">
        <f t="shared" si="334"/>
        <v>0</v>
      </c>
      <c r="X1081" s="29">
        <f t="shared" si="335"/>
        <v>0</v>
      </c>
      <c r="Y1081" s="29">
        <f t="shared" si="336"/>
        <v>0</v>
      </c>
      <c r="Z1081" s="29">
        <f t="shared" si="337"/>
        <v>14529</v>
      </c>
    </row>
    <row r="1082" spans="1:26" x14ac:dyDescent="0.3">
      <c r="A1082" s="5" t="s">
        <v>2267</v>
      </c>
      <c r="B1082" s="5" t="s">
        <v>2268</v>
      </c>
      <c r="C1082" s="5">
        <v>24</v>
      </c>
      <c r="D1082" s="6">
        <v>3750</v>
      </c>
      <c r="E1082" s="17">
        <f>VLOOKUP(A1082,'forecast data dump'!$A$1:$H$3450,4,FALSE)</f>
        <v>44799</v>
      </c>
      <c r="F1082" s="17">
        <f>VLOOKUP(A1082,'forecast data dump'!$A$1:$H$3450,5,FALSE)</f>
        <v>44805</v>
      </c>
      <c r="G1082" s="42">
        <f>VLOOKUP(A1082,'forecast data dump'!$A$1:$H$3450,8,FALSE)</f>
        <v>0</v>
      </c>
      <c r="H1082" s="5" t="s">
        <v>3744</v>
      </c>
      <c r="I1082" s="39">
        <f t="shared" si="328"/>
        <v>24</v>
      </c>
      <c r="J1082" s="5"/>
      <c r="K1082" s="5"/>
      <c r="L1082" s="33">
        <f t="shared" si="329"/>
        <v>3750</v>
      </c>
      <c r="M1082" s="33">
        <f t="shared" si="330"/>
        <v>3750</v>
      </c>
      <c r="N1082" s="33">
        <f t="shared" si="331"/>
        <v>0</v>
      </c>
      <c r="T1082">
        <v>1</v>
      </c>
      <c r="U1082" s="29">
        <f t="shared" si="332"/>
        <v>0</v>
      </c>
      <c r="V1082" s="29">
        <f t="shared" si="333"/>
        <v>0</v>
      </c>
      <c r="W1082" s="29">
        <f t="shared" si="334"/>
        <v>0</v>
      </c>
      <c r="X1082" s="29">
        <f t="shared" si="335"/>
        <v>0</v>
      </c>
      <c r="Y1082" s="29">
        <f t="shared" si="336"/>
        <v>0</v>
      </c>
      <c r="Z1082" s="29">
        <f t="shared" si="337"/>
        <v>3750</v>
      </c>
    </row>
    <row r="1083" spans="1:26" x14ac:dyDescent="0.3">
      <c r="A1083" s="5" t="s">
        <v>2267</v>
      </c>
      <c r="B1083" s="5" t="s">
        <v>2268</v>
      </c>
      <c r="C1083" s="5">
        <v>24</v>
      </c>
      <c r="D1083" s="6">
        <v>3750</v>
      </c>
      <c r="E1083" s="17">
        <f>VLOOKUP(A1083,'forecast data dump'!$A$1:$H$3450,4,FALSE)</f>
        <v>44799</v>
      </c>
      <c r="F1083" s="17">
        <f>VLOOKUP(A1083,'forecast data dump'!$A$1:$H$3450,5,FALSE)</f>
        <v>44805</v>
      </c>
      <c r="G1083" s="42">
        <f>VLOOKUP(A1083,'forecast data dump'!$A$1:$H$3450,8,FALSE)</f>
        <v>0</v>
      </c>
      <c r="H1083" s="5" t="s">
        <v>3733</v>
      </c>
      <c r="I1083" s="39">
        <f t="shared" si="328"/>
        <v>24</v>
      </c>
      <c r="J1083" s="5"/>
      <c r="K1083" s="5"/>
      <c r="L1083" s="33">
        <f t="shared" si="329"/>
        <v>3750</v>
      </c>
      <c r="M1083" s="33">
        <f t="shared" si="330"/>
        <v>3750</v>
      </c>
      <c r="N1083" s="33">
        <f t="shared" si="331"/>
        <v>0</v>
      </c>
      <c r="T1083">
        <v>1</v>
      </c>
      <c r="U1083" s="29">
        <f t="shared" si="332"/>
        <v>0</v>
      </c>
      <c r="V1083" s="29">
        <f t="shared" si="333"/>
        <v>0</v>
      </c>
      <c r="W1083" s="29">
        <f t="shared" si="334"/>
        <v>0</v>
      </c>
      <c r="X1083" s="29">
        <f t="shared" si="335"/>
        <v>0</v>
      </c>
      <c r="Y1083" s="29">
        <f t="shared" si="336"/>
        <v>0</v>
      </c>
      <c r="Z1083" s="29">
        <f t="shared" si="337"/>
        <v>3750</v>
      </c>
    </row>
    <row r="1084" spans="1:26" x14ac:dyDescent="0.3">
      <c r="A1084" s="5" t="s">
        <v>2267</v>
      </c>
      <c r="B1084" s="5" t="s">
        <v>2268</v>
      </c>
      <c r="C1084" s="5">
        <v>24</v>
      </c>
      <c r="D1084" s="6">
        <v>2906</v>
      </c>
      <c r="E1084" s="17">
        <f>VLOOKUP(A1084,'forecast data dump'!$A$1:$H$3450,4,FALSE)</f>
        <v>44799</v>
      </c>
      <c r="F1084" s="17">
        <f>VLOOKUP(A1084,'forecast data dump'!$A$1:$H$3450,5,FALSE)</f>
        <v>44805</v>
      </c>
      <c r="G1084" s="42">
        <f>VLOOKUP(A1084,'forecast data dump'!$A$1:$H$3450,8,FALSE)</f>
        <v>0</v>
      </c>
      <c r="H1084" s="5" t="s">
        <v>3745</v>
      </c>
      <c r="I1084" s="39">
        <f t="shared" si="328"/>
        <v>24</v>
      </c>
      <c r="J1084" s="5"/>
      <c r="K1084" s="5"/>
      <c r="L1084" s="33">
        <f t="shared" si="329"/>
        <v>2906</v>
      </c>
      <c r="M1084" s="33">
        <f t="shared" si="330"/>
        <v>2906</v>
      </c>
      <c r="N1084" s="33">
        <f t="shared" si="331"/>
        <v>0</v>
      </c>
      <c r="T1084">
        <v>1</v>
      </c>
      <c r="U1084" s="29">
        <f t="shared" si="332"/>
        <v>0</v>
      </c>
      <c r="V1084" s="29">
        <f t="shared" si="333"/>
        <v>0</v>
      </c>
      <c r="W1084" s="29">
        <f t="shared" si="334"/>
        <v>0</v>
      </c>
      <c r="X1084" s="29">
        <f t="shared" si="335"/>
        <v>0</v>
      </c>
      <c r="Y1084" s="29">
        <f t="shared" si="336"/>
        <v>0</v>
      </c>
      <c r="Z1084" s="29">
        <f t="shared" si="337"/>
        <v>2906</v>
      </c>
    </row>
    <row r="1085" spans="1:26" x14ac:dyDescent="0.3">
      <c r="A1085" s="5" t="s">
        <v>2267</v>
      </c>
      <c r="B1085" s="5" t="s">
        <v>2268</v>
      </c>
      <c r="C1085" s="5">
        <v>240</v>
      </c>
      <c r="D1085" s="6">
        <v>31845</v>
      </c>
      <c r="E1085" s="17">
        <f>VLOOKUP(A1085,'forecast data dump'!$A$1:$H$3450,4,FALSE)</f>
        <v>44799</v>
      </c>
      <c r="F1085" s="17">
        <f>VLOOKUP(A1085,'forecast data dump'!$A$1:$H$3450,5,FALSE)</f>
        <v>44805</v>
      </c>
      <c r="G1085" s="42">
        <f>VLOOKUP(A1085,'forecast data dump'!$A$1:$H$3450,8,FALSE)</f>
        <v>0</v>
      </c>
      <c r="H1085" s="5" t="s">
        <v>3752</v>
      </c>
      <c r="I1085" s="39">
        <f t="shared" si="328"/>
        <v>240</v>
      </c>
      <c r="J1085" s="5"/>
      <c r="K1085" s="5"/>
      <c r="L1085" s="33">
        <f t="shared" si="329"/>
        <v>31845</v>
      </c>
      <c r="M1085" s="33">
        <f t="shared" si="330"/>
        <v>31845</v>
      </c>
      <c r="N1085" s="33">
        <f t="shared" si="331"/>
        <v>0</v>
      </c>
      <c r="T1085">
        <v>1</v>
      </c>
      <c r="U1085" s="29">
        <f t="shared" si="332"/>
        <v>0</v>
      </c>
      <c r="V1085" s="29">
        <f t="shared" si="333"/>
        <v>0</v>
      </c>
      <c r="W1085" s="29">
        <f t="shared" si="334"/>
        <v>0</v>
      </c>
      <c r="X1085" s="29">
        <f t="shared" si="335"/>
        <v>0</v>
      </c>
      <c r="Y1085" s="29">
        <f t="shared" si="336"/>
        <v>0</v>
      </c>
      <c r="Z1085" s="29">
        <f t="shared" si="337"/>
        <v>31845</v>
      </c>
    </row>
    <row r="1086" spans="1:26" x14ac:dyDescent="0.3">
      <c r="A1086" s="5" t="s">
        <v>2269</v>
      </c>
      <c r="B1086" s="5" t="s">
        <v>2270</v>
      </c>
      <c r="C1086" s="5">
        <v>8</v>
      </c>
      <c r="D1086" s="6">
        <v>1250</v>
      </c>
      <c r="E1086" s="17">
        <f>VLOOKUP(A1086,'forecast data dump'!$A$1:$H$3450,4,FALSE)</f>
        <v>44806</v>
      </c>
      <c r="F1086" s="17">
        <f>VLOOKUP(A1086,'forecast data dump'!$A$1:$H$3450,5,FALSE)</f>
        <v>44813</v>
      </c>
      <c r="G1086" s="42">
        <f>VLOOKUP(A1086,'forecast data dump'!$A$1:$H$3450,8,FALSE)</f>
        <v>0</v>
      </c>
      <c r="H1086" s="5" t="s">
        <v>3733</v>
      </c>
      <c r="I1086" s="39">
        <f t="shared" si="328"/>
        <v>8</v>
      </c>
      <c r="J1086" s="5"/>
      <c r="K1086" s="5"/>
      <c r="L1086" s="33">
        <f t="shared" si="329"/>
        <v>1250</v>
      </c>
      <c r="M1086" s="33">
        <f t="shared" si="330"/>
        <v>1250</v>
      </c>
      <c r="N1086" s="33">
        <f t="shared" si="331"/>
        <v>0</v>
      </c>
      <c r="T1086">
        <v>1</v>
      </c>
      <c r="U1086" s="29">
        <f t="shared" si="332"/>
        <v>0</v>
      </c>
      <c r="V1086" s="29">
        <f t="shared" si="333"/>
        <v>0</v>
      </c>
      <c r="W1086" s="29">
        <f t="shared" si="334"/>
        <v>0</v>
      </c>
      <c r="X1086" s="29">
        <f t="shared" si="335"/>
        <v>0</v>
      </c>
      <c r="Y1086" s="29">
        <f t="shared" si="336"/>
        <v>0</v>
      </c>
      <c r="Z1086" s="29">
        <f t="shared" si="337"/>
        <v>1250</v>
      </c>
    </row>
    <row r="1087" spans="1:26" x14ac:dyDescent="0.3">
      <c r="A1087" s="5" t="s">
        <v>2269</v>
      </c>
      <c r="B1087" s="5" t="s">
        <v>2270</v>
      </c>
      <c r="C1087" s="5">
        <v>8</v>
      </c>
      <c r="D1087" s="6">
        <v>969</v>
      </c>
      <c r="E1087" s="17">
        <f>VLOOKUP(A1087,'forecast data dump'!$A$1:$H$3450,4,FALSE)</f>
        <v>44806</v>
      </c>
      <c r="F1087" s="17">
        <f>VLOOKUP(A1087,'forecast data dump'!$A$1:$H$3450,5,FALSE)</f>
        <v>44813</v>
      </c>
      <c r="G1087" s="42">
        <f>VLOOKUP(A1087,'forecast data dump'!$A$1:$H$3450,8,FALSE)</f>
        <v>0</v>
      </c>
      <c r="H1087" s="5" t="s">
        <v>3745</v>
      </c>
      <c r="I1087" s="39">
        <f t="shared" si="328"/>
        <v>8</v>
      </c>
      <c r="J1087" s="5"/>
      <c r="K1087" s="5"/>
      <c r="L1087" s="33">
        <f t="shared" si="329"/>
        <v>969</v>
      </c>
      <c r="M1087" s="33">
        <f t="shared" si="330"/>
        <v>969</v>
      </c>
      <c r="N1087" s="33">
        <f t="shared" si="331"/>
        <v>0</v>
      </c>
      <c r="T1087">
        <v>1</v>
      </c>
      <c r="U1087" s="29">
        <f t="shared" si="332"/>
        <v>0</v>
      </c>
      <c r="V1087" s="29">
        <f t="shared" si="333"/>
        <v>0</v>
      </c>
      <c r="W1087" s="29">
        <f t="shared" si="334"/>
        <v>0</v>
      </c>
      <c r="X1087" s="29">
        <f t="shared" si="335"/>
        <v>0</v>
      </c>
      <c r="Y1087" s="29">
        <f t="shared" si="336"/>
        <v>0</v>
      </c>
      <c r="Z1087" s="29">
        <f t="shared" si="337"/>
        <v>969</v>
      </c>
    </row>
    <row r="1088" spans="1:26" x14ac:dyDescent="0.3">
      <c r="A1088" s="5" t="s">
        <v>2269</v>
      </c>
      <c r="B1088" s="5" t="s">
        <v>2270</v>
      </c>
      <c r="C1088" s="5">
        <v>8</v>
      </c>
      <c r="D1088" s="6">
        <v>969</v>
      </c>
      <c r="E1088" s="17">
        <f>VLOOKUP(A1088,'forecast data dump'!$A$1:$H$3450,4,FALSE)</f>
        <v>44806</v>
      </c>
      <c r="F1088" s="17">
        <f>VLOOKUP(A1088,'forecast data dump'!$A$1:$H$3450,5,FALSE)</f>
        <v>44813</v>
      </c>
      <c r="G1088" s="42">
        <f>VLOOKUP(A1088,'forecast data dump'!$A$1:$H$3450,8,FALSE)</f>
        <v>0</v>
      </c>
      <c r="H1088" s="5" t="s">
        <v>3741</v>
      </c>
      <c r="I1088" s="39">
        <f t="shared" si="328"/>
        <v>8</v>
      </c>
      <c r="J1088" s="5"/>
      <c r="K1088" s="5"/>
      <c r="L1088" s="33">
        <f t="shared" si="329"/>
        <v>969</v>
      </c>
      <c r="M1088" s="33">
        <f t="shared" si="330"/>
        <v>969</v>
      </c>
      <c r="N1088" s="33">
        <f t="shared" si="331"/>
        <v>0</v>
      </c>
      <c r="T1088">
        <v>1</v>
      </c>
      <c r="U1088" s="29">
        <f t="shared" si="332"/>
        <v>0</v>
      </c>
      <c r="V1088" s="29">
        <f t="shared" si="333"/>
        <v>0</v>
      </c>
      <c r="W1088" s="29">
        <f t="shared" si="334"/>
        <v>0</v>
      </c>
      <c r="X1088" s="29">
        <f t="shared" si="335"/>
        <v>0</v>
      </c>
      <c r="Y1088" s="29">
        <f t="shared" si="336"/>
        <v>0</v>
      </c>
      <c r="Z1088" s="29">
        <f t="shared" si="337"/>
        <v>969</v>
      </c>
    </row>
    <row r="1089" spans="1:26" x14ac:dyDescent="0.3">
      <c r="A1089" s="5" t="s">
        <v>2269</v>
      </c>
      <c r="B1089" s="5" t="s">
        <v>2270</v>
      </c>
      <c r="C1089" s="5">
        <v>8</v>
      </c>
      <c r="D1089" s="6">
        <v>969</v>
      </c>
      <c r="E1089" s="17">
        <f>VLOOKUP(A1089,'forecast data dump'!$A$1:$H$3450,4,FALSE)</f>
        <v>44806</v>
      </c>
      <c r="F1089" s="17">
        <f>VLOOKUP(A1089,'forecast data dump'!$A$1:$H$3450,5,FALSE)</f>
        <v>44813</v>
      </c>
      <c r="G1089" s="42">
        <f>VLOOKUP(A1089,'forecast data dump'!$A$1:$H$3450,8,FALSE)</f>
        <v>0</v>
      </c>
      <c r="H1089" s="5" t="s">
        <v>3742</v>
      </c>
      <c r="I1089" s="39">
        <f t="shared" si="328"/>
        <v>8</v>
      </c>
      <c r="J1089" s="5"/>
      <c r="K1089" s="5"/>
      <c r="L1089" s="33">
        <f t="shared" si="329"/>
        <v>969</v>
      </c>
      <c r="M1089" s="33">
        <f t="shared" si="330"/>
        <v>969</v>
      </c>
      <c r="N1089" s="33">
        <f t="shared" si="331"/>
        <v>0</v>
      </c>
      <c r="T1089">
        <v>1</v>
      </c>
      <c r="U1089" s="29">
        <f t="shared" si="332"/>
        <v>0</v>
      </c>
      <c r="V1089" s="29">
        <f t="shared" si="333"/>
        <v>0</v>
      </c>
      <c r="W1089" s="29">
        <f t="shared" si="334"/>
        <v>0</v>
      </c>
      <c r="X1089" s="29">
        <f t="shared" si="335"/>
        <v>0</v>
      </c>
      <c r="Y1089" s="29">
        <f t="shared" si="336"/>
        <v>0</v>
      </c>
      <c r="Z1089" s="29">
        <f t="shared" si="337"/>
        <v>969</v>
      </c>
    </row>
    <row r="1090" spans="1:26" x14ac:dyDescent="0.3">
      <c r="A1090" s="5" t="s">
        <v>2271</v>
      </c>
      <c r="B1090" s="5" t="s">
        <v>2272</v>
      </c>
      <c r="C1090" s="5">
        <v>8</v>
      </c>
      <c r="D1090" s="6">
        <v>1250</v>
      </c>
      <c r="E1090" s="17">
        <f>VLOOKUP(A1090,'forecast data dump'!$A$1:$H$3450,4,FALSE)</f>
        <v>44816</v>
      </c>
      <c r="F1090" s="17">
        <f>VLOOKUP(A1090,'forecast data dump'!$A$1:$H$3450,5,FALSE)</f>
        <v>44820</v>
      </c>
      <c r="G1090" s="42">
        <f>VLOOKUP(A1090,'forecast data dump'!$A$1:$H$3450,8,FALSE)</f>
        <v>0</v>
      </c>
      <c r="H1090" s="5" t="s">
        <v>3733</v>
      </c>
      <c r="I1090" s="39">
        <f t="shared" si="328"/>
        <v>8</v>
      </c>
      <c r="J1090" s="5"/>
      <c r="K1090" s="5"/>
      <c r="L1090" s="33">
        <f t="shared" si="329"/>
        <v>1250</v>
      </c>
      <c r="M1090" s="33">
        <f t="shared" si="330"/>
        <v>1250</v>
      </c>
      <c r="N1090" s="33">
        <f t="shared" si="331"/>
        <v>0</v>
      </c>
      <c r="T1090">
        <v>1</v>
      </c>
      <c r="U1090" s="29">
        <f t="shared" si="332"/>
        <v>0</v>
      </c>
      <c r="V1090" s="29">
        <f t="shared" si="333"/>
        <v>0</v>
      </c>
      <c r="W1090" s="29">
        <f t="shared" si="334"/>
        <v>0</v>
      </c>
      <c r="X1090" s="29">
        <f t="shared" si="335"/>
        <v>0</v>
      </c>
      <c r="Y1090" s="29">
        <f t="shared" si="336"/>
        <v>0</v>
      </c>
      <c r="Z1090" s="29">
        <f t="shared" si="337"/>
        <v>1250</v>
      </c>
    </row>
    <row r="1091" spans="1:26" x14ac:dyDescent="0.3">
      <c r="A1091" s="5" t="s">
        <v>2271</v>
      </c>
      <c r="B1091" s="5" t="s">
        <v>2272</v>
      </c>
      <c r="C1091" s="5">
        <v>8</v>
      </c>
      <c r="D1091" s="6">
        <v>969</v>
      </c>
      <c r="E1091" s="17">
        <f>VLOOKUP(A1091,'forecast data dump'!$A$1:$H$3450,4,FALSE)</f>
        <v>44816</v>
      </c>
      <c r="F1091" s="17">
        <f>VLOOKUP(A1091,'forecast data dump'!$A$1:$H$3450,5,FALSE)</f>
        <v>44820</v>
      </c>
      <c r="G1091" s="42">
        <f>VLOOKUP(A1091,'forecast data dump'!$A$1:$H$3450,8,FALSE)</f>
        <v>0</v>
      </c>
      <c r="H1091" s="5" t="s">
        <v>3745</v>
      </c>
      <c r="I1091" s="39">
        <f t="shared" si="328"/>
        <v>8</v>
      </c>
      <c r="J1091" s="5"/>
      <c r="K1091" s="5"/>
      <c r="L1091" s="33">
        <f t="shared" si="329"/>
        <v>969</v>
      </c>
      <c r="M1091" s="33">
        <f t="shared" si="330"/>
        <v>969</v>
      </c>
      <c r="N1091" s="33">
        <f t="shared" si="331"/>
        <v>0</v>
      </c>
      <c r="T1091">
        <v>1</v>
      </c>
      <c r="U1091" s="29">
        <f t="shared" si="332"/>
        <v>0</v>
      </c>
      <c r="V1091" s="29">
        <f t="shared" si="333"/>
        <v>0</v>
      </c>
      <c r="W1091" s="29">
        <f t="shared" si="334"/>
        <v>0</v>
      </c>
      <c r="X1091" s="29">
        <f t="shared" si="335"/>
        <v>0</v>
      </c>
      <c r="Y1091" s="29">
        <f t="shared" si="336"/>
        <v>0</v>
      </c>
      <c r="Z1091" s="29">
        <f t="shared" si="337"/>
        <v>969</v>
      </c>
    </row>
    <row r="1092" spans="1:26" x14ac:dyDescent="0.3">
      <c r="A1092" s="5" t="s">
        <v>2271</v>
      </c>
      <c r="B1092" s="5" t="s">
        <v>2272</v>
      </c>
      <c r="C1092" s="5">
        <v>8</v>
      </c>
      <c r="D1092" s="6">
        <v>969</v>
      </c>
      <c r="E1092" s="17">
        <f>VLOOKUP(A1092,'forecast data dump'!$A$1:$H$3450,4,FALSE)</f>
        <v>44816</v>
      </c>
      <c r="F1092" s="17">
        <f>VLOOKUP(A1092,'forecast data dump'!$A$1:$H$3450,5,FALSE)</f>
        <v>44820</v>
      </c>
      <c r="G1092" s="42">
        <f>VLOOKUP(A1092,'forecast data dump'!$A$1:$H$3450,8,FALSE)</f>
        <v>0</v>
      </c>
      <c r="H1092" s="5" t="s">
        <v>3741</v>
      </c>
      <c r="I1092" s="39">
        <f t="shared" si="328"/>
        <v>8</v>
      </c>
      <c r="J1092" s="5"/>
      <c r="K1092" s="5"/>
      <c r="L1092" s="33">
        <f t="shared" si="329"/>
        <v>969</v>
      </c>
      <c r="M1092" s="33">
        <f t="shared" si="330"/>
        <v>969</v>
      </c>
      <c r="N1092" s="33">
        <f t="shared" si="331"/>
        <v>0</v>
      </c>
      <c r="T1092">
        <v>1</v>
      </c>
      <c r="U1092" s="29">
        <f t="shared" si="332"/>
        <v>0</v>
      </c>
      <c r="V1092" s="29">
        <f t="shared" si="333"/>
        <v>0</v>
      </c>
      <c r="W1092" s="29">
        <f t="shared" si="334"/>
        <v>0</v>
      </c>
      <c r="X1092" s="29">
        <f t="shared" si="335"/>
        <v>0</v>
      </c>
      <c r="Y1092" s="29">
        <f t="shared" si="336"/>
        <v>0</v>
      </c>
      <c r="Z1092" s="29">
        <f t="shared" si="337"/>
        <v>969</v>
      </c>
    </row>
    <row r="1093" spans="1:26" x14ac:dyDescent="0.3">
      <c r="A1093" s="5" t="s">
        <v>2271</v>
      </c>
      <c r="B1093" s="5" t="s">
        <v>2272</v>
      </c>
      <c r="C1093" s="5">
        <v>8</v>
      </c>
      <c r="D1093" s="6">
        <v>969</v>
      </c>
      <c r="E1093" s="17">
        <f>VLOOKUP(A1093,'forecast data dump'!$A$1:$H$3450,4,FALSE)</f>
        <v>44816</v>
      </c>
      <c r="F1093" s="17">
        <f>VLOOKUP(A1093,'forecast data dump'!$A$1:$H$3450,5,FALSE)</f>
        <v>44820</v>
      </c>
      <c r="G1093" s="42">
        <f>VLOOKUP(A1093,'forecast data dump'!$A$1:$H$3450,8,FALSE)</f>
        <v>0</v>
      </c>
      <c r="H1093" s="5" t="s">
        <v>3742</v>
      </c>
      <c r="I1093" s="39">
        <f t="shared" si="328"/>
        <v>8</v>
      </c>
      <c r="J1093" s="5"/>
      <c r="K1093" s="5"/>
      <c r="L1093" s="33">
        <f t="shared" si="329"/>
        <v>969</v>
      </c>
      <c r="M1093" s="33">
        <f t="shared" si="330"/>
        <v>969</v>
      </c>
      <c r="N1093" s="33">
        <f t="shared" si="331"/>
        <v>0</v>
      </c>
      <c r="T1093">
        <v>1</v>
      </c>
      <c r="U1093" s="29">
        <f t="shared" si="332"/>
        <v>0</v>
      </c>
      <c r="V1093" s="29">
        <f t="shared" si="333"/>
        <v>0</v>
      </c>
      <c r="W1093" s="29">
        <f t="shared" si="334"/>
        <v>0</v>
      </c>
      <c r="X1093" s="29">
        <f t="shared" si="335"/>
        <v>0</v>
      </c>
      <c r="Y1093" s="29">
        <f t="shared" si="336"/>
        <v>0</v>
      </c>
      <c r="Z1093" s="29">
        <f t="shared" si="337"/>
        <v>969</v>
      </c>
    </row>
    <row r="1094" spans="1:26" x14ac:dyDescent="0.3">
      <c r="A1094" s="5" t="s">
        <v>2273</v>
      </c>
      <c r="B1094" s="5" t="s">
        <v>2274</v>
      </c>
      <c r="C1094" s="5">
        <v>40</v>
      </c>
      <c r="D1094" s="6">
        <v>6249</v>
      </c>
      <c r="E1094" s="17">
        <f>VLOOKUP(A1094,'forecast data dump'!$A$1:$H$3450,4,FALSE)</f>
        <v>44823</v>
      </c>
      <c r="F1094" s="17">
        <f>VLOOKUP(A1094,'forecast data dump'!$A$1:$H$3450,5,FALSE)</f>
        <v>44834</v>
      </c>
      <c r="G1094" s="42">
        <f>VLOOKUP(A1094,'forecast data dump'!$A$1:$H$3450,8,FALSE)</f>
        <v>0</v>
      </c>
      <c r="H1094" s="5" t="s">
        <v>3744</v>
      </c>
      <c r="I1094" s="39">
        <f t="shared" si="328"/>
        <v>40</v>
      </c>
      <c r="J1094" s="5"/>
      <c r="K1094" s="5"/>
      <c r="L1094" s="33">
        <f t="shared" si="329"/>
        <v>6249</v>
      </c>
      <c r="M1094" s="33">
        <f t="shared" si="330"/>
        <v>6249</v>
      </c>
      <c r="N1094" s="33">
        <f t="shared" si="331"/>
        <v>0</v>
      </c>
      <c r="T1094">
        <v>1</v>
      </c>
      <c r="U1094" s="29">
        <f t="shared" si="332"/>
        <v>0</v>
      </c>
      <c r="V1094" s="29">
        <f t="shared" si="333"/>
        <v>0</v>
      </c>
      <c r="W1094" s="29">
        <f t="shared" si="334"/>
        <v>0</v>
      </c>
      <c r="X1094" s="29">
        <f t="shared" si="335"/>
        <v>0</v>
      </c>
      <c r="Y1094" s="29">
        <f t="shared" si="336"/>
        <v>0</v>
      </c>
      <c r="Z1094" s="29">
        <f t="shared" si="337"/>
        <v>6249</v>
      </c>
    </row>
    <row r="1095" spans="1:26" x14ac:dyDescent="0.3">
      <c r="A1095" s="5" t="s">
        <v>2273</v>
      </c>
      <c r="B1095" s="5" t="s">
        <v>2274</v>
      </c>
      <c r="C1095" s="5">
        <v>400</v>
      </c>
      <c r="D1095" s="6">
        <v>73035</v>
      </c>
      <c r="E1095" s="17">
        <f>VLOOKUP(A1095,'forecast data dump'!$A$1:$H$3450,4,FALSE)</f>
        <v>44823</v>
      </c>
      <c r="F1095" s="17">
        <f>VLOOKUP(A1095,'forecast data dump'!$A$1:$H$3450,5,FALSE)</f>
        <v>44834</v>
      </c>
      <c r="G1095" s="42">
        <f>VLOOKUP(A1095,'forecast data dump'!$A$1:$H$3450,8,FALSE)</f>
        <v>0</v>
      </c>
      <c r="H1095" s="5" t="s">
        <v>3740</v>
      </c>
      <c r="I1095" s="39">
        <f t="shared" si="328"/>
        <v>400</v>
      </c>
      <c r="J1095" s="5"/>
      <c r="K1095" s="5"/>
      <c r="L1095" s="33">
        <f t="shared" si="329"/>
        <v>73035</v>
      </c>
      <c r="M1095" s="33">
        <f t="shared" si="330"/>
        <v>73035</v>
      </c>
      <c r="N1095" s="33">
        <f t="shared" si="331"/>
        <v>0</v>
      </c>
      <c r="T1095">
        <v>1</v>
      </c>
      <c r="U1095" s="29">
        <f t="shared" si="332"/>
        <v>0</v>
      </c>
      <c r="V1095" s="29">
        <f t="shared" si="333"/>
        <v>0</v>
      </c>
      <c r="W1095" s="29">
        <f t="shared" si="334"/>
        <v>0</v>
      </c>
      <c r="X1095" s="29">
        <f t="shared" si="335"/>
        <v>0</v>
      </c>
      <c r="Y1095" s="29">
        <f t="shared" si="336"/>
        <v>0</v>
      </c>
      <c r="Z1095" s="29">
        <f t="shared" si="337"/>
        <v>73035</v>
      </c>
    </row>
    <row r="1096" spans="1:26" x14ac:dyDescent="0.3">
      <c r="A1096" s="5" t="s">
        <v>2273</v>
      </c>
      <c r="B1096" s="5" t="s">
        <v>2274</v>
      </c>
      <c r="C1096" s="5">
        <v>40</v>
      </c>
      <c r="D1096" s="6">
        <v>4843</v>
      </c>
      <c r="E1096" s="17">
        <f>VLOOKUP(A1096,'forecast data dump'!$A$1:$H$3450,4,FALSE)</f>
        <v>44823</v>
      </c>
      <c r="F1096" s="17">
        <f>VLOOKUP(A1096,'forecast data dump'!$A$1:$H$3450,5,FALSE)</f>
        <v>44834</v>
      </c>
      <c r="G1096" s="42">
        <f>VLOOKUP(A1096,'forecast data dump'!$A$1:$H$3450,8,FALSE)</f>
        <v>0</v>
      </c>
      <c r="H1096" s="5" t="s">
        <v>3741</v>
      </c>
      <c r="I1096" s="39">
        <f t="shared" si="328"/>
        <v>40</v>
      </c>
      <c r="J1096" s="5"/>
      <c r="K1096" s="5"/>
      <c r="L1096" s="33">
        <f t="shared" si="329"/>
        <v>4843</v>
      </c>
      <c r="M1096" s="33">
        <f t="shared" si="330"/>
        <v>4843</v>
      </c>
      <c r="N1096" s="33">
        <f t="shared" si="331"/>
        <v>0</v>
      </c>
      <c r="T1096">
        <v>1</v>
      </c>
      <c r="U1096" s="29">
        <f t="shared" si="332"/>
        <v>0</v>
      </c>
      <c r="V1096" s="29">
        <f t="shared" si="333"/>
        <v>0</v>
      </c>
      <c r="W1096" s="29">
        <f t="shared" si="334"/>
        <v>0</v>
      </c>
      <c r="X1096" s="29">
        <f t="shared" si="335"/>
        <v>0</v>
      </c>
      <c r="Y1096" s="29">
        <f t="shared" si="336"/>
        <v>0</v>
      </c>
      <c r="Z1096" s="29">
        <f t="shared" si="337"/>
        <v>4843</v>
      </c>
    </row>
    <row r="1097" spans="1:26" x14ac:dyDescent="0.3">
      <c r="A1097" s="5" t="s">
        <v>2273</v>
      </c>
      <c r="B1097" s="5" t="s">
        <v>2274</v>
      </c>
      <c r="C1097" s="5">
        <v>40</v>
      </c>
      <c r="D1097" s="6">
        <v>4843</v>
      </c>
      <c r="E1097" s="17">
        <f>VLOOKUP(A1097,'forecast data dump'!$A$1:$H$3450,4,FALSE)</f>
        <v>44823</v>
      </c>
      <c r="F1097" s="17">
        <f>VLOOKUP(A1097,'forecast data dump'!$A$1:$H$3450,5,FALSE)</f>
        <v>44834</v>
      </c>
      <c r="G1097" s="42">
        <f>VLOOKUP(A1097,'forecast data dump'!$A$1:$H$3450,8,FALSE)</f>
        <v>0</v>
      </c>
      <c r="H1097" s="5" t="s">
        <v>3742</v>
      </c>
      <c r="I1097" s="39">
        <f t="shared" si="328"/>
        <v>40</v>
      </c>
      <c r="J1097" s="5"/>
      <c r="K1097" s="5"/>
      <c r="L1097" s="33">
        <f t="shared" si="329"/>
        <v>4843</v>
      </c>
      <c r="M1097" s="33">
        <f t="shared" si="330"/>
        <v>4843</v>
      </c>
      <c r="N1097" s="33">
        <f t="shared" si="331"/>
        <v>0</v>
      </c>
      <c r="T1097">
        <v>1</v>
      </c>
      <c r="U1097" s="29">
        <f t="shared" si="332"/>
        <v>0</v>
      </c>
      <c r="V1097" s="29">
        <f t="shared" si="333"/>
        <v>0</v>
      </c>
      <c r="W1097" s="29">
        <f t="shared" si="334"/>
        <v>0</v>
      </c>
      <c r="X1097" s="29">
        <f t="shared" si="335"/>
        <v>0</v>
      </c>
      <c r="Y1097" s="29">
        <f t="shared" si="336"/>
        <v>0</v>
      </c>
      <c r="Z1097" s="29">
        <f t="shared" si="337"/>
        <v>4843</v>
      </c>
    </row>
    <row r="1098" spans="1:26" x14ac:dyDescent="0.3">
      <c r="A1098" s="5" t="s">
        <v>2273</v>
      </c>
      <c r="B1098" s="5" t="s">
        <v>2274</v>
      </c>
      <c r="C1098" s="5">
        <v>40</v>
      </c>
      <c r="D1098" s="6">
        <v>6249</v>
      </c>
      <c r="E1098" s="17">
        <f>VLOOKUP(A1098,'forecast data dump'!$A$1:$H$3450,4,FALSE)</f>
        <v>44823</v>
      </c>
      <c r="F1098" s="17">
        <f>VLOOKUP(A1098,'forecast data dump'!$A$1:$H$3450,5,FALSE)</f>
        <v>44834</v>
      </c>
      <c r="G1098" s="42">
        <f>VLOOKUP(A1098,'forecast data dump'!$A$1:$H$3450,8,FALSE)</f>
        <v>0</v>
      </c>
      <c r="H1098" s="5" t="s">
        <v>3733</v>
      </c>
      <c r="I1098" s="39">
        <f t="shared" si="328"/>
        <v>40</v>
      </c>
      <c r="J1098" s="5"/>
      <c r="K1098" s="5"/>
      <c r="L1098" s="33">
        <f t="shared" si="329"/>
        <v>6249</v>
      </c>
      <c r="M1098" s="33">
        <f t="shared" si="330"/>
        <v>6249</v>
      </c>
      <c r="N1098" s="33">
        <f t="shared" si="331"/>
        <v>0</v>
      </c>
      <c r="T1098">
        <v>1</v>
      </c>
      <c r="U1098" s="29">
        <f t="shared" si="332"/>
        <v>0</v>
      </c>
      <c r="V1098" s="29">
        <f t="shared" si="333"/>
        <v>0</v>
      </c>
      <c r="W1098" s="29">
        <f t="shared" si="334"/>
        <v>0</v>
      </c>
      <c r="X1098" s="29">
        <f t="shared" si="335"/>
        <v>0</v>
      </c>
      <c r="Y1098" s="29">
        <f t="shared" si="336"/>
        <v>0</v>
      </c>
      <c r="Z1098" s="29">
        <f t="shared" si="337"/>
        <v>6249</v>
      </c>
    </row>
    <row r="1099" spans="1:26" x14ac:dyDescent="0.3">
      <c r="A1099" s="5" t="s">
        <v>2273</v>
      </c>
      <c r="B1099" s="5" t="s">
        <v>2274</v>
      </c>
      <c r="C1099" s="5">
        <v>40</v>
      </c>
      <c r="D1099" s="6">
        <v>4843</v>
      </c>
      <c r="E1099" s="17">
        <f>VLOOKUP(A1099,'forecast data dump'!$A$1:$H$3450,4,FALSE)</f>
        <v>44823</v>
      </c>
      <c r="F1099" s="17">
        <f>VLOOKUP(A1099,'forecast data dump'!$A$1:$H$3450,5,FALSE)</f>
        <v>44834</v>
      </c>
      <c r="G1099" s="42">
        <f>VLOOKUP(A1099,'forecast data dump'!$A$1:$H$3450,8,FALSE)</f>
        <v>0</v>
      </c>
      <c r="H1099" s="5" t="s">
        <v>3745</v>
      </c>
      <c r="I1099" s="39">
        <f t="shared" si="328"/>
        <v>40</v>
      </c>
      <c r="J1099" s="5"/>
      <c r="K1099" s="5"/>
      <c r="L1099" s="33">
        <f t="shared" si="329"/>
        <v>4843</v>
      </c>
      <c r="M1099" s="33">
        <f t="shared" si="330"/>
        <v>4843</v>
      </c>
      <c r="N1099" s="33">
        <f t="shared" si="331"/>
        <v>0</v>
      </c>
      <c r="T1099">
        <v>1</v>
      </c>
      <c r="U1099" s="29">
        <f t="shared" si="332"/>
        <v>0</v>
      </c>
      <c r="V1099" s="29">
        <f t="shared" si="333"/>
        <v>0</v>
      </c>
      <c r="W1099" s="29">
        <f t="shared" si="334"/>
        <v>0</v>
      </c>
      <c r="X1099" s="29">
        <f t="shared" si="335"/>
        <v>0</v>
      </c>
      <c r="Y1099" s="29">
        <f t="shared" si="336"/>
        <v>0</v>
      </c>
      <c r="Z1099" s="29">
        <f t="shared" si="337"/>
        <v>4843</v>
      </c>
    </row>
    <row r="1100" spans="1:26" x14ac:dyDescent="0.3">
      <c r="A1100" s="5" t="s">
        <v>2275</v>
      </c>
      <c r="B1100" s="5" t="s">
        <v>2276</v>
      </c>
      <c r="C1100" s="5">
        <v>30000</v>
      </c>
      <c r="D1100" s="6">
        <v>34821</v>
      </c>
      <c r="E1100" s="17">
        <f>VLOOKUP(A1100,'forecast data dump'!$A$1:$H$3450,4,FALSE)</f>
        <v>44410</v>
      </c>
      <c r="F1100" s="17">
        <f>VLOOKUP(A1100,'forecast data dump'!$A$1:$H$3450,5,FALSE)</f>
        <v>44495</v>
      </c>
      <c r="G1100" s="42">
        <f>VLOOKUP(A1100,'forecast data dump'!$A$1:$H$3450,8,FALSE)</f>
        <v>0</v>
      </c>
      <c r="H1100" s="5" t="s">
        <v>3762</v>
      </c>
      <c r="I1100" s="39">
        <f t="shared" si="328"/>
        <v>30000</v>
      </c>
      <c r="J1100" s="5"/>
      <c r="K1100" s="5"/>
      <c r="L1100" s="33">
        <f t="shared" si="329"/>
        <v>34821</v>
      </c>
      <c r="M1100" s="33">
        <f t="shared" si="330"/>
        <v>34821</v>
      </c>
      <c r="N1100" s="33">
        <f t="shared" si="331"/>
        <v>0</v>
      </c>
      <c r="Q1100">
        <v>1</v>
      </c>
      <c r="U1100" s="29">
        <f t="shared" si="332"/>
        <v>0</v>
      </c>
      <c r="V1100" s="29">
        <f t="shared" si="333"/>
        <v>0</v>
      </c>
      <c r="W1100" s="29">
        <f t="shared" si="334"/>
        <v>34821</v>
      </c>
      <c r="X1100" s="29">
        <f t="shared" si="335"/>
        <v>0</v>
      </c>
      <c r="Y1100" s="29">
        <f t="shared" si="336"/>
        <v>0</v>
      </c>
      <c r="Z1100" s="29">
        <f t="shared" si="337"/>
        <v>0</v>
      </c>
    </row>
    <row r="1101" spans="1:26" x14ac:dyDescent="0.3">
      <c r="A1101" s="5" t="s">
        <v>2277</v>
      </c>
      <c r="B1101" s="5" t="s">
        <v>2278</v>
      </c>
      <c r="C1101" s="5">
        <v>500</v>
      </c>
      <c r="D1101" s="6">
        <v>592</v>
      </c>
      <c r="E1101" s="17">
        <f>VLOOKUP(A1101,'forecast data dump'!$A$1:$H$3450,4,FALSE)</f>
        <v>44783</v>
      </c>
      <c r="F1101" s="17">
        <f>VLOOKUP(A1101,'forecast data dump'!$A$1:$H$3450,5,FALSE)</f>
        <v>44784</v>
      </c>
      <c r="G1101" s="42">
        <f>VLOOKUP(A1101,'forecast data dump'!$A$1:$H$3450,8,FALSE)</f>
        <v>0</v>
      </c>
      <c r="H1101" s="5" t="s">
        <v>3762</v>
      </c>
      <c r="I1101" s="39">
        <f t="shared" si="328"/>
        <v>500</v>
      </c>
      <c r="J1101" s="5"/>
      <c r="K1101" s="5"/>
      <c r="L1101" s="33">
        <f t="shared" si="329"/>
        <v>592</v>
      </c>
      <c r="M1101" s="33">
        <f t="shared" si="330"/>
        <v>592</v>
      </c>
      <c r="N1101" s="33">
        <f t="shared" si="331"/>
        <v>0</v>
      </c>
      <c r="Q1101">
        <v>1</v>
      </c>
      <c r="U1101" s="29">
        <f t="shared" si="332"/>
        <v>0</v>
      </c>
      <c r="V1101" s="29">
        <f t="shared" si="333"/>
        <v>0</v>
      </c>
      <c r="W1101" s="29">
        <f t="shared" si="334"/>
        <v>592</v>
      </c>
      <c r="X1101" s="29">
        <f t="shared" si="335"/>
        <v>0</v>
      </c>
      <c r="Y1101" s="29">
        <f t="shared" si="336"/>
        <v>0</v>
      </c>
      <c r="Z1101" s="29">
        <f t="shared" si="337"/>
        <v>0</v>
      </c>
    </row>
    <row r="1102" spans="1:26" x14ac:dyDescent="0.3">
      <c r="A1102" s="5" t="s">
        <v>2279</v>
      </c>
      <c r="B1102" s="5" t="s">
        <v>2280</v>
      </c>
      <c r="C1102" s="5">
        <v>500</v>
      </c>
      <c r="D1102" s="6">
        <v>592</v>
      </c>
      <c r="E1102" s="17">
        <f>VLOOKUP(A1102,'forecast data dump'!$A$1:$H$3450,4,FALSE)</f>
        <v>44785</v>
      </c>
      <c r="F1102" s="17">
        <f>VLOOKUP(A1102,'forecast data dump'!$A$1:$H$3450,5,FALSE)</f>
        <v>44788</v>
      </c>
      <c r="G1102" s="42">
        <f>VLOOKUP(A1102,'forecast data dump'!$A$1:$H$3450,8,FALSE)</f>
        <v>0</v>
      </c>
      <c r="H1102" s="5" t="s">
        <v>3762</v>
      </c>
      <c r="I1102" s="39">
        <f t="shared" si="328"/>
        <v>500</v>
      </c>
      <c r="J1102" s="5"/>
      <c r="K1102" s="5"/>
      <c r="L1102" s="33">
        <f t="shared" si="329"/>
        <v>592</v>
      </c>
      <c r="M1102" s="33">
        <f t="shared" si="330"/>
        <v>592</v>
      </c>
      <c r="N1102" s="33">
        <f t="shared" si="331"/>
        <v>0</v>
      </c>
      <c r="Q1102">
        <v>1</v>
      </c>
      <c r="U1102" s="29">
        <f t="shared" si="332"/>
        <v>0</v>
      </c>
      <c r="V1102" s="29">
        <f t="shared" si="333"/>
        <v>0</v>
      </c>
      <c r="W1102" s="29">
        <f t="shared" si="334"/>
        <v>592</v>
      </c>
      <c r="X1102" s="29">
        <f t="shared" si="335"/>
        <v>0</v>
      </c>
      <c r="Y1102" s="29">
        <f t="shared" si="336"/>
        <v>0</v>
      </c>
      <c r="Z1102" s="29">
        <f t="shared" si="337"/>
        <v>0</v>
      </c>
    </row>
    <row r="1103" spans="1:26" x14ac:dyDescent="0.3">
      <c r="A1103" s="5" t="s">
        <v>2281</v>
      </c>
      <c r="B1103" s="5" t="s">
        <v>2282</v>
      </c>
      <c r="C1103" s="5">
        <v>500</v>
      </c>
      <c r="D1103" s="6">
        <v>592</v>
      </c>
      <c r="E1103" s="17">
        <f>VLOOKUP(A1103,'forecast data dump'!$A$1:$H$3450,4,FALSE)</f>
        <v>44789</v>
      </c>
      <c r="F1103" s="17">
        <f>VLOOKUP(A1103,'forecast data dump'!$A$1:$H$3450,5,FALSE)</f>
        <v>44791</v>
      </c>
      <c r="G1103" s="42">
        <f>VLOOKUP(A1103,'forecast data dump'!$A$1:$H$3450,8,FALSE)</f>
        <v>0</v>
      </c>
      <c r="H1103" s="5" t="s">
        <v>3762</v>
      </c>
      <c r="I1103" s="39">
        <f t="shared" si="328"/>
        <v>500</v>
      </c>
      <c r="J1103" s="5"/>
      <c r="K1103" s="5"/>
      <c r="L1103" s="33">
        <f t="shared" si="329"/>
        <v>592</v>
      </c>
      <c r="M1103" s="33">
        <f t="shared" si="330"/>
        <v>592</v>
      </c>
      <c r="N1103" s="33">
        <f t="shared" si="331"/>
        <v>0</v>
      </c>
      <c r="Q1103">
        <v>1</v>
      </c>
      <c r="U1103" s="29">
        <f t="shared" si="332"/>
        <v>0</v>
      </c>
      <c r="V1103" s="29">
        <f t="shared" si="333"/>
        <v>0</v>
      </c>
      <c r="W1103" s="29">
        <f t="shared" si="334"/>
        <v>592</v>
      </c>
      <c r="X1103" s="29">
        <f t="shared" si="335"/>
        <v>0</v>
      </c>
      <c r="Y1103" s="29">
        <f t="shared" si="336"/>
        <v>0</v>
      </c>
      <c r="Z1103" s="29">
        <f t="shared" si="337"/>
        <v>0</v>
      </c>
    </row>
    <row r="1104" spans="1:26" x14ac:dyDescent="0.3">
      <c r="A1104" s="5" t="s">
        <v>2283</v>
      </c>
      <c r="B1104" s="5" t="s">
        <v>2284</v>
      </c>
      <c r="C1104" s="5">
        <v>500</v>
      </c>
      <c r="D1104" s="6">
        <v>592</v>
      </c>
      <c r="E1104" s="17">
        <f>VLOOKUP(A1104,'forecast data dump'!$A$1:$H$3450,4,FALSE)</f>
        <v>44792</v>
      </c>
      <c r="F1104" s="17">
        <f>VLOOKUP(A1104,'forecast data dump'!$A$1:$H$3450,5,FALSE)</f>
        <v>44798</v>
      </c>
      <c r="G1104" s="42">
        <f>VLOOKUP(A1104,'forecast data dump'!$A$1:$H$3450,8,FALSE)</f>
        <v>0</v>
      </c>
      <c r="H1104" s="5" t="s">
        <v>3762</v>
      </c>
      <c r="I1104" s="39">
        <f t="shared" si="328"/>
        <v>500</v>
      </c>
      <c r="J1104" s="5"/>
      <c r="K1104" s="5"/>
      <c r="L1104" s="33">
        <f t="shared" si="329"/>
        <v>592</v>
      </c>
      <c r="M1104" s="33">
        <f t="shared" si="330"/>
        <v>592</v>
      </c>
      <c r="N1104" s="33">
        <f t="shared" si="331"/>
        <v>0</v>
      </c>
      <c r="Q1104">
        <v>1</v>
      </c>
      <c r="U1104" s="29">
        <f t="shared" si="332"/>
        <v>0</v>
      </c>
      <c r="V1104" s="29">
        <f t="shared" si="333"/>
        <v>0</v>
      </c>
      <c r="W1104" s="29">
        <f t="shared" si="334"/>
        <v>592</v>
      </c>
      <c r="X1104" s="29">
        <f t="shared" si="335"/>
        <v>0</v>
      </c>
      <c r="Y1104" s="29">
        <f t="shared" si="336"/>
        <v>0</v>
      </c>
      <c r="Z1104" s="29">
        <f t="shared" si="337"/>
        <v>0</v>
      </c>
    </row>
    <row r="1105" spans="1:26" x14ac:dyDescent="0.3">
      <c r="A1105" s="5" t="s">
        <v>2285</v>
      </c>
      <c r="B1105" s="5" t="s">
        <v>2286</v>
      </c>
      <c r="C1105" s="5">
        <v>500</v>
      </c>
      <c r="D1105" s="6">
        <v>592</v>
      </c>
      <c r="E1105" s="17">
        <f>VLOOKUP(A1105,'forecast data dump'!$A$1:$H$3450,4,FALSE)</f>
        <v>44799</v>
      </c>
      <c r="F1105" s="17">
        <f>VLOOKUP(A1105,'forecast data dump'!$A$1:$H$3450,5,FALSE)</f>
        <v>44805</v>
      </c>
      <c r="G1105" s="42">
        <f>VLOOKUP(A1105,'forecast data dump'!$A$1:$H$3450,8,FALSE)</f>
        <v>0</v>
      </c>
      <c r="H1105" s="5" t="s">
        <v>3762</v>
      </c>
      <c r="I1105" s="39">
        <f t="shared" si="328"/>
        <v>500</v>
      </c>
      <c r="J1105" s="5"/>
      <c r="K1105" s="5"/>
      <c r="L1105" s="33">
        <f t="shared" si="329"/>
        <v>592</v>
      </c>
      <c r="M1105" s="33">
        <f t="shared" si="330"/>
        <v>592</v>
      </c>
      <c r="N1105" s="33">
        <f t="shared" si="331"/>
        <v>0</v>
      </c>
      <c r="Q1105">
        <v>1</v>
      </c>
      <c r="U1105" s="29">
        <f t="shared" si="332"/>
        <v>0</v>
      </c>
      <c r="V1105" s="29">
        <f t="shared" si="333"/>
        <v>0</v>
      </c>
      <c r="W1105" s="29">
        <f t="shared" si="334"/>
        <v>592</v>
      </c>
      <c r="X1105" s="29">
        <f t="shared" si="335"/>
        <v>0</v>
      </c>
      <c r="Y1105" s="29">
        <f t="shared" si="336"/>
        <v>0</v>
      </c>
      <c r="Z1105" s="29">
        <f t="shared" si="337"/>
        <v>0</v>
      </c>
    </row>
    <row r="1106" spans="1:26" x14ac:dyDescent="0.3">
      <c r="A1106" s="5" t="s">
        <v>2287</v>
      </c>
      <c r="B1106" s="5" t="s">
        <v>2288</v>
      </c>
      <c r="C1106" s="5">
        <v>500</v>
      </c>
      <c r="D1106" s="6">
        <v>592</v>
      </c>
      <c r="E1106" s="17">
        <f>VLOOKUP(A1106,'forecast data dump'!$A$1:$H$3450,4,FALSE)</f>
        <v>44823</v>
      </c>
      <c r="F1106" s="17">
        <f>VLOOKUP(A1106,'forecast data dump'!$A$1:$H$3450,5,FALSE)</f>
        <v>44834</v>
      </c>
      <c r="G1106" s="42">
        <f>VLOOKUP(A1106,'forecast data dump'!$A$1:$H$3450,8,FALSE)</f>
        <v>0</v>
      </c>
      <c r="H1106" s="5" t="s">
        <v>3762</v>
      </c>
      <c r="I1106" s="39">
        <f t="shared" si="328"/>
        <v>500</v>
      </c>
      <c r="J1106" s="5"/>
      <c r="K1106" s="5"/>
      <c r="L1106" s="33">
        <f t="shared" si="329"/>
        <v>592</v>
      </c>
      <c r="M1106" s="33">
        <f t="shared" si="330"/>
        <v>592</v>
      </c>
      <c r="N1106" s="33">
        <f t="shared" si="331"/>
        <v>0</v>
      </c>
      <c r="Q1106">
        <v>1</v>
      </c>
      <c r="U1106" s="29">
        <f t="shared" si="332"/>
        <v>0</v>
      </c>
      <c r="V1106" s="29">
        <f t="shared" si="333"/>
        <v>0</v>
      </c>
      <c r="W1106" s="29">
        <f t="shared" si="334"/>
        <v>592</v>
      </c>
      <c r="X1106" s="29">
        <f t="shared" si="335"/>
        <v>0</v>
      </c>
      <c r="Y1106" s="29">
        <f t="shared" si="336"/>
        <v>0</v>
      </c>
      <c r="Z1106" s="29">
        <f t="shared" si="337"/>
        <v>0</v>
      </c>
    </row>
    <row r="1107" spans="1:26" x14ac:dyDescent="0.3">
      <c r="A1107" s="5" t="s">
        <v>2291</v>
      </c>
      <c r="B1107" s="5" t="s">
        <v>2292</v>
      </c>
      <c r="C1107" s="5">
        <v>80</v>
      </c>
      <c r="D1107" s="6">
        <v>10615</v>
      </c>
      <c r="E1107" s="17">
        <f>VLOOKUP(A1107,'forecast data dump'!$A$1:$H$3450,4,FALSE)</f>
        <v>44792</v>
      </c>
      <c r="F1107" s="17">
        <f>VLOOKUP(A1107,'forecast data dump'!$A$1:$H$3450,5,FALSE)</f>
        <v>44798</v>
      </c>
      <c r="G1107" s="42">
        <f>VLOOKUP(A1107,'forecast data dump'!$A$1:$H$3450,8,FALSE)</f>
        <v>0</v>
      </c>
      <c r="H1107" s="5" t="s">
        <v>3752</v>
      </c>
      <c r="I1107" s="39">
        <f t="shared" si="328"/>
        <v>80</v>
      </c>
      <c r="J1107" s="5"/>
      <c r="K1107" s="5"/>
      <c r="L1107" s="33">
        <f t="shared" si="329"/>
        <v>10615</v>
      </c>
      <c r="M1107" s="33">
        <f t="shared" si="330"/>
        <v>10615</v>
      </c>
      <c r="N1107" s="33">
        <f t="shared" si="331"/>
        <v>0</v>
      </c>
      <c r="T1107">
        <v>1</v>
      </c>
      <c r="U1107" s="29">
        <f t="shared" si="332"/>
        <v>0</v>
      </c>
      <c r="V1107" s="29">
        <f t="shared" si="333"/>
        <v>0</v>
      </c>
      <c r="W1107" s="29">
        <f t="shared" si="334"/>
        <v>0</v>
      </c>
      <c r="X1107" s="29">
        <f t="shared" si="335"/>
        <v>0</v>
      </c>
      <c r="Y1107" s="29">
        <f t="shared" si="336"/>
        <v>0</v>
      </c>
      <c r="Z1107" s="29">
        <f t="shared" si="337"/>
        <v>10615</v>
      </c>
    </row>
    <row r="1108" spans="1:26" x14ac:dyDescent="0.3">
      <c r="A1108" s="5" t="s">
        <v>2291</v>
      </c>
      <c r="B1108" s="5" t="s">
        <v>2292</v>
      </c>
      <c r="C1108" s="5">
        <v>60</v>
      </c>
      <c r="D1108" s="6">
        <v>7264</v>
      </c>
      <c r="E1108" s="17">
        <f>VLOOKUP(A1108,'forecast data dump'!$A$1:$H$3450,4,FALSE)</f>
        <v>44792</v>
      </c>
      <c r="F1108" s="17">
        <f>VLOOKUP(A1108,'forecast data dump'!$A$1:$H$3450,5,FALSE)</f>
        <v>44798</v>
      </c>
      <c r="G1108" s="42">
        <f>VLOOKUP(A1108,'forecast data dump'!$A$1:$H$3450,8,FALSE)</f>
        <v>0</v>
      </c>
      <c r="H1108" s="5" t="s">
        <v>3759</v>
      </c>
      <c r="I1108" s="39">
        <f t="shared" si="328"/>
        <v>60</v>
      </c>
      <c r="J1108" s="5"/>
      <c r="K1108" s="5"/>
      <c r="L1108" s="33">
        <f t="shared" si="329"/>
        <v>7264</v>
      </c>
      <c r="M1108" s="33">
        <f t="shared" si="330"/>
        <v>7264</v>
      </c>
      <c r="N1108" s="33">
        <f t="shared" si="331"/>
        <v>0</v>
      </c>
      <c r="T1108">
        <v>1</v>
      </c>
      <c r="U1108" s="29">
        <f t="shared" si="332"/>
        <v>0</v>
      </c>
      <c r="V1108" s="29">
        <f t="shared" si="333"/>
        <v>0</v>
      </c>
      <c r="W1108" s="29">
        <f t="shared" si="334"/>
        <v>0</v>
      </c>
      <c r="X1108" s="29">
        <f t="shared" si="335"/>
        <v>0</v>
      </c>
      <c r="Y1108" s="29">
        <f t="shared" si="336"/>
        <v>0</v>
      </c>
      <c r="Z1108" s="29">
        <f t="shared" si="337"/>
        <v>7264</v>
      </c>
    </row>
    <row r="1109" spans="1:26" x14ac:dyDescent="0.3">
      <c r="A1109" s="3" t="s">
        <v>7899</v>
      </c>
      <c r="B1109" s="3"/>
      <c r="C1109" s="3"/>
      <c r="D1109" s="4"/>
      <c r="E1109" s="15"/>
      <c r="F1109" s="15"/>
      <c r="G1109" s="41"/>
      <c r="H1109" s="3"/>
      <c r="I1109" s="38"/>
      <c r="J1109" s="3"/>
      <c r="K1109" s="3"/>
      <c r="L1109" s="32"/>
      <c r="M1109" s="32"/>
      <c r="N1109" s="32"/>
      <c r="U1109" s="29"/>
      <c r="V1109" s="29"/>
      <c r="W1109" s="29"/>
      <c r="X1109" s="29"/>
      <c r="Y1109" s="29"/>
      <c r="Z1109" s="29"/>
    </row>
    <row r="1110" spans="1:26" x14ac:dyDescent="0.3">
      <c r="A1110" s="5" t="s">
        <v>2506</v>
      </c>
      <c r="B1110" s="5" t="s">
        <v>2507</v>
      </c>
      <c r="C1110" s="5">
        <v>30</v>
      </c>
      <c r="D1110" s="6">
        <v>4550</v>
      </c>
      <c r="E1110" s="17" t="str">
        <f>VLOOKUP(A1110,'forecast data dump'!$A$1:$H$3450,4,FALSE)</f>
        <v>01-Oct-19 A</v>
      </c>
      <c r="F1110" s="17">
        <f>VLOOKUP(A1110,'forecast data dump'!$A$1:$H$3450,5,FALSE)</f>
        <v>44407</v>
      </c>
      <c r="G1110" s="42">
        <f>VLOOKUP(A1110,'forecast data dump'!$A$1:$H$3450,8,FALSE)</f>
        <v>0.95</v>
      </c>
      <c r="H1110" s="5" t="s">
        <v>3733</v>
      </c>
      <c r="I1110" s="39">
        <f t="shared" ref="I1110:I1159" si="338">C1110*(1-G1110)</f>
        <v>1.5000000000000013</v>
      </c>
      <c r="J1110" s="5"/>
      <c r="K1110" s="5"/>
      <c r="L1110" s="33">
        <f t="shared" ref="L1110:L1159" si="339">D1110*(1-G1110)</f>
        <v>227.5000000000002</v>
      </c>
      <c r="M1110" s="33">
        <f t="shared" ref="M1110:M1159" si="340">IF(J1110="",L1110,(D1110/C1110)*J1110)</f>
        <v>227.5000000000002</v>
      </c>
      <c r="N1110" s="33">
        <f t="shared" ref="N1110:N1159" si="341">L1110-M1110</f>
        <v>0</v>
      </c>
      <c r="R1110">
        <v>1</v>
      </c>
      <c r="U1110" s="29">
        <f t="shared" si="332"/>
        <v>0</v>
      </c>
      <c r="V1110" s="29">
        <f t="shared" si="333"/>
        <v>0</v>
      </c>
      <c r="W1110" s="29">
        <f t="shared" si="334"/>
        <v>0</v>
      </c>
      <c r="X1110" s="29">
        <f t="shared" si="335"/>
        <v>227.5000000000002</v>
      </c>
      <c r="Y1110" s="29">
        <f t="shared" si="336"/>
        <v>0</v>
      </c>
      <c r="Z1110" s="29">
        <f t="shared" si="337"/>
        <v>0</v>
      </c>
    </row>
    <row r="1111" spans="1:26" x14ac:dyDescent="0.3">
      <c r="A1111" s="5" t="s">
        <v>2506</v>
      </c>
      <c r="B1111" s="5" t="s">
        <v>2507</v>
      </c>
      <c r="C1111" s="5">
        <v>60</v>
      </c>
      <c r="D1111" s="6">
        <v>7053</v>
      </c>
      <c r="E1111" s="17" t="str">
        <f>VLOOKUP(A1111,'forecast data dump'!$A$1:$H$3450,4,FALSE)</f>
        <v>01-Oct-19 A</v>
      </c>
      <c r="F1111" s="17">
        <f>VLOOKUP(A1111,'forecast data dump'!$A$1:$H$3450,5,FALSE)</f>
        <v>44407</v>
      </c>
      <c r="G1111" s="42">
        <f>VLOOKUP(A1111,'forecast data dump'!$A$1:$H$3450,8,FALSE)</f>
        <v>0.95</v>
      </c>
      <c r="H1111" s="5" t="s">
        <v>3745</v>
      </c>
      <c r="I1111" s="39">
        <f t="shared" si="338"/>
        <v>3.0000000000000027</v>
      </c>
      <c r="J1111" s="5"/>
      <c r="K1111" s="5"/>
      <c r="L1111" s="33">
        <f t="shared" si="339"/>
        <v>352.65000000000032</v>
      </c>
      <c r="M1111" s="33">
        <f t="shared" si="340"/>
        <v>352.65000000000032</v>
      </c>
      <c r="N1111" s="33">
        <f t="shared" si="341"/>
        <v>0</v>
      </c>
      <c r="R1111">
        <v>1</v>
      </c>
      <c r="U1111" s="29">
        <f t="shared" si="332"/>
        <v>0</v>
      </c>
      <c r="V1111" s="29">
        <f t="shared" si="333"/>
        <v>0</v>
      </c>
      <c r="W1111" s="29">
        <f t="shared" si="334"/>
        <v>0</v>
      </c>
      <c r="X1111" s="29">
        <f t="shared" si="335"/>
        <v>352.65000000000032</v>
      </c>
      <c r="Y1111" s="29">
        <f t="shared" si="336"/>
        <v>0</v>
      </c>
      <c r="Z1111" s="29">
        <f t="shared" si="337"/>
        <v>0</v>
      </c>
    </row>
    <row r="1112" spans="1:26" x14ac:dyDescent="0.3">
      <c r="A1112" s="5" t="s">
        <v>2508</v>
      </c>
      <c r="B1112" s="5" t="s">
        <v>2509</v>
      </c>
      <c r="C1112" s="5">
        <v>60</v>
      </c>
      <c r="D1112" s="6">
        <v>9101</v>
      </c>
      <c r="E1112" s="17">
        <f>VLOOKUP(A1112,'forecast data dump'!$A$1:$H$3450,4,FALSE)</f>
        <v>44410</v>
      </c>
      <c r="F1112" s="17">
        <f>VLOOKUP(A1112,'forecast data dump'!$A$1:$H$3450,5,FALSE)</f>
        <v>44495</v>
      </c>
      <c r="G1112" s="42">
        <f>VLOOKUP(A1112,'forecast data dump'!$A$1:$H$3450,8,FALSE)</f>
        <v>0</v>
      </c>
      <c r="H1112" s="5" t="s">
        <v>3733</v>
      </c>
      <c r="I1112" s="39">
        <f t="shared" si="338"/>
        <v>60</v>
      </c>
      <c r="J1112" s="5"/>
      <c r="K1112" s="5"/>
      <c r="L1112" s="33">
        <f t="shared" si="339"/>
        <v>9101</v>
      </c>
      <c r="M1112" s="33">
        <f t="shared" si="340"/>
        <v>9101</v>
      </c>
      <c r="N1112" s="33">
        <f t="shared" si="341"/>
        <v>0</v>
      </c>
      <c r="T1112">
        <v>1</v>
      </c>
      <c r="U1112" s="29">
        <f t="shared" si="332"/>
        <v>0</v>
      </c>
      <c r="V1112" s="29">
        <f t="shared" si="333"/>
        <v>0</v>
      </c>
      <c r="W1112" s="29">
        <f t="shared" si="334"/>
        <v>0</v>
      </c>
      <c r="X1112" s="29">
        <f t="shared" si="335"/>
        <v>0</v>
      </c>
      <c r="Y1112" s="29">
        <f t="shared" si="336"/>
        <v>0</v>
      </c>
      <c r="Z1112" s="29">
        <f t="shared" si="337"/>
        <v>9101</v>
      </c>
    </row>
    <row r="1113" spans="1:26" x14ac:dyDescent="0.3">
      <c r="A1113" s="5" t="s">
        <v>2508</v>
      </c>
      <c r="B1113" s="5" t="s">
        <v>2509</v>
      </c>
      <c r="C1113" s="5">
        <v>20</v>
      </c>
      <c r="D1113" s="6">
        <v>2351</v>
      </c>
      <c r="E1113" s="17">
        <f>VLOOKUP(A1113,'forecast data dump'!$A$1:$H$3450,4,FALSE)</f>
        <v>44410</v>
      </c>
      <c r="F1113" s="17">
        <f>VLOOKUP(A1113,'forecast data dump'!$A$1:$H$3450,5,FALSE)</f>
        <v>44495</v>
      </c>
      <c r="G1113" s="42">
        <f>VLOOKUP(A1113,'forecast data dump'!$A$1:$H$3450,8,FALSE)</f>
        <v>0</v>
      </c>
      <c r="H1113" s="5" t="s">
        <v>3745</v>
      </c>
      <c r="I1113" s="39">
        <f t="shared" si="338"/>
        <v>20</v>
      </c>
      <c r="J1113" s="5"/>
      <c r="K1113" s="5"/>
      <c r="L1113" s="33">
        <f t="shared" si="339"/>
        <v>2351</v>
      </c>
      <c r="M1113" s="33">
        <f t="shared" si="340"/>
        <v>2351</v>
      </c>
      <c r="N1113" s="33">
        <f t="shared" si="341"/>
        <v>0</v>
      </c>
      <c r="T1113">
        <v>1</v>
      </c>
      <c r="U1113" s="29">
        <f t="shared" si="332"/>
        <v>0</v>
      </c>
      <c r="V1113" s="29">
        <f t="shared" si="333"/>
        <v>0</v>
      </c>
      <c r="W1113" s="29">
        <f t="shared" si="334"/>
        <v>0</v>
      </c>
      <c r="X1113" s="29">
        <f t="shared" si="335"/>
        <v>0</v>
      </c>
      <c r="Y1113" s="29">
        <f t="shared" si="336"/>
        <v>0</v>
      </c>
      <c r="Z1113" s="29">
        <f t="shared" si="337"/>
        <v>2351</v>
      </c>
    </row>
    <row r="1114" spans="1:26" x14ac:dyDescent="0.3">
      <c r="A1114" s="5" t="s">
        <v>2508</v>
      </c>
      <c r="B1114" s="5" t="s">
        <v>2509</v>
      </c>
      <c r="C1114" s="5">
        <v>20</v>
      </c>
      <c r="D1114" s="6">
        <v>2351</v>
      </c>
      <c r="E1114" s="17">
        <f>VLOOKUP(A1114,'forecast data dump'!$A$1:$H$3450,4,FALSE)</f>
        <v>44410</v>
      </c>
      <c r="F1114" s="17">
        <f>VLOOKUP(A1114,'forecast data dump'!$A$1:$H$3450,5,FALSE)</f>
        <v>44495</v>
      </c>
      <c r="G1114" s="42">
        <f>VLOOKUP(A1114,'forecast data dump'!$A$1:$H$3450,8,FALSE)</f>
        <v>0</v>
      </c>
      <c r="H1114" s="5" t="s">
        <v>3741</v>
      </c>
      <c r="I1114" s="39">
        <f t="shared" si="338"/>
        <v>20</v>
      </c>
      <c r="J1114" s="5"/>
      <c r="K1114" s="5"/>
      <c r="L1114" s="33">
        <f t="shared" si="339"/>
        <v>2351</v>
      </c>
      <c r="M1114" s="33">
        <f t="shared" si="340"/>
        <v>2351</v>
      </c>
      <c r="N1114" s="33">
        <f t="shared" si="341"/>
        <v>0</v>
      </c>
      <c r="T1114">
        <v>1</v>
      </c>
      <c r="U1114" s="29">
        <f t="shared" si="332"/>
        <v>0</v>
      </c>
      <c r="V1114" s="29">
        <f t="shared" si="333"/>
        <v>0</v>
      </c>
      <c r="W1114" s="29">
        <f t="shared" si="334"/>
        <v>0</v>
      </c>
      <c r="X1114" s="29">
        <f t="shared" si="335"/>
        <v>0</v>
      </c>
      <c r="Y1114" s="29">
        <f t="shared" si="336"/>
        <v>0</v>
      </c>
      <c r="Z1114" s="29">
        <f t="shared" si="337"/>
        <v>2351</v>
      </c>
    </row>
    <row r="1115" spans="1:26" x14ac:dyDescent="0.3">
      <c r="A1115" s="5" t="s">
        <v>2510</v>
      </c>
      <c r="B1115" s="5" t="s">
        <v>2511</v>
      </c>
      <c r="C1115" s="5">
        <v>40</v>
      </c>
      <c r="D1115" s="6">
        <v>6067</v>
      </c>
      <c r="E1115" s="17" t="str">
        <f>VLOOKUP(A1115,'forecast data dump'!$A$1:$H$3450,4,FALSE)</f>
        <v>29-Apr-21 A</v>
      </c>
      <c r="F1115" s="17">
        <f>VLOOKUP(A1115,'forecast data dump'!$A$1:$H$3450,5,FALSE)</f>
        <v>44497</v>
      </c>
      <c r="G1115" s="42">
        <v>0.5</v>
      </c>
      <c r="H1115" s="5" t="s">
        <v>3733</v>
      </c>
      <c r="I1115" s="39">
        <f t="shared" si="338"/>
        <v>20</v>
      </c>
      <c r="J1115" s="5"/>
      <c r="K1115" s="5"/>
      <c r="L1115" s="33">
        <f t="shared" si="339"/>
        <v>3033.5</v>
      </c>
      <c r="M1115" s="33">
        <f t="shared" si="340"/>
        <v>3033.5</v>
      </c>
      <c r="N1115" s="33">
        <f t="shared" si="341"/>
        <v>0</v>
      </c>
      <c r="R1115">
        <v>1</v>
      </c>
      <c r="U1115" s="29">
        <f t="shared" si="332"/>
        <v>0</v>
      </c>
      <c r="V1115" s="29">
        <f t="shared" si="333"/>
        <v>0</v>
      </c>
      <c r="W1115" s="29">
        <f t="shared" si="334"/>
        <v>0</v>
      </c>
      <c r="X1115" s="29">
        <f t="shared" si="335"/>
        <v>3033.5</v>
      </c>
      <c r="Y1115" s="29">
        <f t="shared" si="336"/>
        <v>0</v>
      </c>
      <c r="Z1115" s="29">
        <f t="shared" si="337"/>
        <v>0</v>
      </c>
    </row>
    <row r="1116" spans="1:26" x14ac:dyDescent="0.3">
      <c r="A1116" s="5" t="s">
        <v>2510</v>
      </c>
      <c r="B1116" s="5" t="s">
        <v>2511</v>
      </c>
      <c r="C1116" s="5">
        <v>10</v>
      </c>
      <c r="D1116" s="6">
        <v>1175</v>
      </c>
      <c r="E1116" s="17" t="str">
        <f>VLOOKUP(A1116,'forecast data dump'!$A$1:$H$3450,4,FALSE)</f>
        <v>29-Apr-21 A</v>
      </c>
      <c r="F1116" s="17">
        <f>VLOOKUP(A1116,'forecast data dump'!$A$1:$H$3450,5,FALSE)</f>
        <v>44497</v>
      </c>
      <c r="G1116" s="42">
        <v>0.5</v>
      </c>
      <c r="H1116" s="5" t="s">
        <v>3745</v>
      </c>
      <c r="I1116" s="39">
        <f t="shared" si="338"/>
        <v>5</v>
      </c>
      <c r="J1116" s="5"/>
      <c r="K1116" s="5"/>
      <c r="L1116" s="33">
        <f t="shared" si="339"/>
        <v>587.5</v>
      </c>
      <c r="M1116" s="33">
        <f t="shared" si="340"/>
        <v>587.5</v>
      </c>
      <c r="N1116" s="33">
        <f t="shared" si="341"/>
        <v>0</v>
      </c>
      <c r="R1116">
        <v>1</v>
      </c>
      <c r="U1116" s="29">
        <f t="shared" si="332"/>
        <v>0</v>
      </c>
      <c r="V1116" s="29">
        <f t="shared" si="333"/>
        <v>0</v>
      </c>
      <c r="W1116" s="29">
        <f t="shared" si="334"/>
        <v>0</v>
      </c>
      <c r="X1116" s="29">
        <f t="shared" si="335"/>
        <v>587.5</v>
      </c>
      <c r="Y1116" s="29">
        <f t="shared" si="336"/>
        <v>0</v>
      </c>
      <c r="Z1116" s="29">
        <f t="shared" si="337"/>
        <v>0</v>
      </c>
    </row>
    <row r="1117" spans="1:26" x14ac:dyDescent="0.3">
      <c r="A1117" s="5" t="s">
        <v>2512</v>
      </c>
      <c r="B1117" s="5" t="s">
        <v>2513</v>
      </c>
      <c r="C1117" s="5">
        <v>8</v>
      </c>
      <c r="D1117" s="6">
        <v>1213</v>
      </c>
      <c r="E1117" s="17">
        <f>VLOOKUP(A1117,'forecast data dump'!$A$1:$H$3450,4,FALSE)</f>
        <v>44498</v>
      </c>
      <c r="F1117" s="17">
        <f>VLOOKUP(A1117,'forecast data dump'!$A$1:$H$3450,5,FALSE)</f>
        <v>44512</v>
      </c>
      <c r="G1117" s="42">
        <f>VLOOKUP(A1117,'forecast data dump'!$A$1:$H$3450,8,FALSE)</f>
        <v>0</v>
      </c>
      <c r="H1117" s="5" t="s">
        <v>3733</v>
      </c>
      <c r="I1117" s="39">
        <f t="shared" si="338"/>
        <v>8</v>
      </c>
      <c r="J1117" s="5"/>
      <c r="K1117" s="5"/>
      <c r="L1117" s="33">
        <f t="shared" si="339"/>
        <v>1213</v>
      </c>
      <c r="M1117" s="33">
        <f t="shared" si="340"/>
        <v>1213</v>
      </c>
      <c r="N1117" s="33">
        <f t="shared" si="341"/>
        <v>0</v>
      </c>
      <c r="T1117">
        <v>1</v>
      </c>
      <c r="U1117" s="29">
        <f t="shared" si="332"/>
        <v>0</v>
      </c>
      <c r="V1117" s="29">
        <f t="shared" si="333"/>
        <v>0</v>
      </c>
      <c r="W1117" s="29">
        <f t="shared" si="334"/>
        <v>0</v>
      </c>
      <c r="X1117" s="29">
        <f t="shared" si="335"/>
        <v>0</v>
      </c>
      <c r="Y1117" s="29">
        <f t="shared" si="336"/>
        <v>0</v>
      </c>
      <c r="Z1117" s="29">
        <f t="shared" si="337"/>
        <v>1213</v>
      </c>
    </row>
    <row r="1118" spans="1:26" x14ac:dyDescent="0.3">
      <c r="A1118" s="5" t="s">
        <v>2512</v>
      </c>
      <c r="B1118" s="5" t="s">
        <v>2513</v>
      </c>
      <c r="C1118" s="5">
        <v>8</v>
      </c>
      <c r="D1118" s="6">
        <v>940</v>
      </c>
      <c r="E1118" s="17">
        <f>VLOOKUP(A1118,'forecast data dump'!$A$1:$H$3450,4,FALSE)</f>
        <v>44498</v>
      </c>
      <c r="F1118" s="17">
        <f>VLOOKUP(A1118,'forecast data dump'!$A$1:$H$3450,5,FALSE)</f>
        <v>44512</v>
      </c>
      <c r="G1118" s="42">
        <f>VLOOKUP(A1118,'forecast data dump'!$A$1:$H$3450,8,FALSE)</f>
        <v>0</v>
      </c>
      <c r="H1118" s="5" t="s">
        <v>3745</v>
      </c>
      <c r="I1118" s="39">
        <f t="shared" si="338"/>
        <v>8</v>
      </c>
      <c r="J1118" s="5"/>
      <c r="K1118" s="5"/>
      <c r="L1118" s="33">
        <f t="shared" si="339"/>
        <v>940</v>
      </c>
      <c r="M1118" s="33">
        <f t="shared" si="340"/>
        <v>940</v>
      </c>
      <c r="N1118" s="33">
        <f t="shared" si="341"/>
        <v>0</v>
      </c>
      <c r="T1118">
        <v>1</v>
      </c>
      <c r="U1118" s="29">
        <f t="shared" si="332"/>
        <v>0</v>
      </c>
      <c r="V1118" s="29">
        <f t="shared" si="333"/>
        <v>0</v>
      </c>
      <c r="W1118" s="29">
        <f t="shared" si="334"/>
        <v>0</v>
      </c>
      <c r="X1118" s="29">
        <f t="shared" si="335"/>
        <v>0</v>
      </c>
      <c r="Y1118" s="29">
        <f t="shared" si="336"/>
        <v>0</v>
      </c>
      <c r="Z1118" s="29">
        <f t="shared" si="337"/>
        <v>940</v>
      </c>
    </row>
    <row r="1119" spans="1:26" x14ac:dyDescent="0.3">
      <c r="A1119" s="5" t="s">
        <v>2512</v>
      </c>
      <c r="B1119" s="5" t="s">
        <v>2513</v>
      </c>
      <c r="C1119" s="5">
        <v>8</v>
      </c>
      <c r="D1119" s="6">
        <v>940</v>
      </c>
      <c r="E1119" s="17">
        <f>VLOOKUP(A1119,'forecast data dump'!$A$1:$H$3450,4,FALSE)</f>
        <v>44498</v>
      </c>
      <c r="F1119" s="17">
        <f>VLOOKUP(A1119,'forecast data dump'!$A$1:$H$3450,5,FALSE)</f>
        <v>44512</v>
      </c>
      <c r="G1119" s="42">
        <f>VLOOKUP(A1119,'forecast data dump'!$A$1:$H$3450,8,FALSE)</f>
        <v>0</v>
      </c>
      <c r="H1119" s="5" t="s">
        <v>3741</v>
      </c>
      <c r="I1119" s="39">
        <f t="shared" si="338"/>
        <v>8</v>
      </c>
      <c r="J1119" s="5"/>
      <c r="K1119" s="5"/>
      <c r="L1119" s="33">
        <f t="shared" si="339"/>
        <v>940</v>
      </c>
      <c r="M1119" s="33">
        <f t="shared" si="340"/>
        <v>940</v>
      </c>
      <c r="N1119" s="33">
        <f t="shared" si="341"/>
        <v>0</v>
      </c>
      <c r="T1119">
        <v>1</v>
      </c>
      <c r="U1119" s="29">
        <f t="shared" si="332"/>
        <v>0</v>
      </c>
      <c r="V1119" s="29">
        <f t="shared" si="333"/>
        <v>0</v>
      </c>
      <c r="W1119" s="29">
        <f t="shared" si="334"/>
        <v>0</v>
      </c>
      <c r="X1119" s="29">
        <f t="shared" si="335"/>
        <v>0</v>
      </c>
      <c r="Y1119" s="29">
        <f t="shared" si="336"/>
        <v>0</v>
      </c>
      <c r="Z1119" s="29">
        <f t="shared" si="337"/>
        <v>940</v>
      </c>
    </row>
    <row r="1120" spans="1:26" x14ac:dyDescent="0.3">
      <c r="A1120" s="5" t="s">
        <v>2514</v>
      </c>
      <c r="B1120" s="5" t="s">
        <v>2515</v>
      </c>
      <c r="C1120" s="5">
        <v>8</v>
      </c>
      <c r="D1120" s="6">
        <v>1213</v>
      </c>
      <c r="E1120" s="17">
        <f>VLOOKUP(A1120,'forecast data dump'!$A$1:$H$3450,4,FALSE)</f>
        <v>44515</v>
      </c>
      <c r="F1120" s="17">
        <f>VLOOKUP(A1120,'forecast data dump'!$A$1:$H$3450,5,FALSE)</f>
        <v>44530</v>
      </c>
      <c r="G1120" s="42">
        <f>VLOOKUP(A1120,'forecast data dump'!$A$1:$H$3450,8,FALSE)</f>
        <v>0</v>
      </c>
      <c r="H1120" s="5" t="s">
        <v>3733</v>
      </c>
      <c r="I1120" s="39">
        <f t="shared" si="338"/>
        <v>8</v>
      </c>
      <c r="J1120" s="5"/>
      <c r="K1120" s="5"/>
      <c r="L1120" s="33">
        <f t="shared" si="339"/>
        <v>1213</v>
      </c>
      <c r="M1120" s="33">
        <f t="shared" si="340"/>
        <v>1213</v>
      </c>
      <c r="N1120" s="33">
        <f t="shared" si="341"/>
        <v>0</v>
      </c>
      <c r="T1120">
        <v>1</v>
      </c>
      <c r="U1120" s="29">
        <f t="shared" si="332"/>
        <v>0</v>
      </c>
      <c r="V1120" s="29">
        <f t="shared" si="333"/>
        <v>0</v>
      </c>
      <c r="W1120" s="29">
        <f t="shared" si="334"/>
        <v>0</v>
      </c>
      <c r="X1120" s="29">
        <f t="shared" si="335"/>
        <v>0</v>
      </c>
      <c r="Y1120" s="29">
        <f t="shared" si="336"/>
        <v>0</v>
      </c>
      <c r="Z1120" s="29">
        <f t="shared" si="337"/>
        <v>1213</v>
      </c>
    </row>
    <row r="1121" spans="1:26" x14ac:dyDescent="0.3">
      <c r="A1121" s="5" t="s">
        <v>2514</v>
      </c>
      <c r="B1121" s="5" t="s">
        <v>2515</v>
      </c>
      <c r="C1121" s="5">
        <v>8</v>
      </c>
      <c r="D1121" s="6">
        <v>940</v>
      </c>
      <c r="E1121" s="17">
        <f>VLOOKUP(A1121,'forecast data dump'!$A$1:$H$3450,4,FALSE)</f>
        <v>44515</v>
      </c>
      <c r="F1121" s="17">
        <f>VLOOKUP(A1121,'forecast data dump'!$A$1:$H$3450,5,FALSE)</f>
        <v>44530</v>
      </c>
      <c r="G1121" s="42">
        <f>VLOOKUP(A1121,'forecast data dump'!$A$1:$H$3450,8,FALSE)</f>
        <v>0</v>
      </c>
      <c r="H1121" s="5" t="s">
        <v>3745</v>
      </c>
      <c r="I1121" s="39">
        <f t="shared" si="338"/>
        <v>8</v>
      </c>
      <c r="J1121" s="5"/>
      <c r="K1121" s="5"/>
      <c r="L1121" s="33">
        <f t="shared" si="339"/>
        <v>940</v>
      </c>
      <c r="M1121" s="33">
        <f t="shared" si="340"/>
        <v>940</v>
      </c>
      <c r="N1121" s="33">
        <f t="shared" si="341"/>
        <v>0</v>
      </c>
      <c r="T1121">
        <v>1</v>
      </c>
      <c r="U1121" s="29">
        <f t="shared" si="332"/>
        <v>0</v>
      </c>
      <c r="V1121" s="29">
        <f t="shared" si="333"/>
        <v>0</v>
      </c>
      <c r="W1121" s="29">
        <f t="shared" si="334"/>
        <v>0</v>
      </c>
      <c r="X1121" s="29">
        <f t="shared" si="335"/>
        <v>0</v>
      </c>
      <c r="Y1121" s="29">
        <f t="shared" si="336"/>
        <v>0</v>
      </c>
      <c r="Z1121" s="29">
        <f t="shared" si="337"/>
        <v>940</v>
      </c>
    </row>
    <row r="1122" spans="1:26" x14ac:dyDescent="0.3">
      <c r="A1122" s="5" t="s">
        <v>2514</v>
      </c>
      <c r="B1122" s="5" t="s">
        <v>2515</v>
      </c>
      <c r="C1122" s="5">
        <v>8</v>
      </c>
      <c r="D1122" s="6">
        <v>940</v>
      </c>
      <c r="E1122" s="17">
        <f>VLOOKUP(A1122,'forecast data dump'!$A$1:$H$3450,4,FALSE)</f>
        <v>44515</v>
      </c>
      <c r="F1122" s="17">
        <f>VLOOKUP(A1122,'forecast data dump'!$A$1:$H$3450,5,FALSE)</f>
        <v>44530</v>
      </c>
      <c r="G1122" s="42">
        <f>VLOOKUP(A1122,'forecast data dump'!$A$1:$H$3450,8,FALSE)</f>
        <v>0</v>
      </c>
      <c r="H1122" s="5" t="s">
        <v>3741</v>
      </c>
      <c r="I1122" s="39">
        <f t="shared" si="338"/>
        <v>8</v>
      </c>
      <c r="J1122" s="5"/>
      <c r="K1122" s="5"/>
      <c r="L1122" s="33">
        <f t="shared" si="339"/>
        <v>940</v>
      </c>
      <c r="M1122" s="33">
        <f t="shared" si="340"/>
        <v>940</v>
      </c>
      <c r="N1122" s="33">
        <f t="shared" si="341"/>
        <v>0</v>
      </c>
      <c r="T1122">
        <v>1</v>
      </c>
      <c r="U1122" s="29">
        <f t="shared" si="332"/>
        <v>0</v>
      </c>
      <c r="V1122" s="29">
        <f t="shared" si="333"/>
        <v>0</v>
      </c>
      <c r="W1122" s="29">
        <f t="shared" si="334"/>
        <v>0</v>
      </c>
      <c r="X1122" s="29">
        <f t="shared" si="335"/>
        <v>0</v>
      </c>
      <c r="Y1122" s="29">
        <f t="shared" si="336"/>
        <v>0</v>
      </c>
      <c r="Z1122" s="29">
        <f t="shared" si="337"/>
        <v>940</v>
      </c>
    </row>
    <row r="1123" spans="1:26" x14ac:dyDescent="0.3">
      <c r="A1123" s="5" t="s">
        <v>2516</v>
      </c>
      <c r="B1123" s="5" t="s">
        <v>2517</v>
      </c>
      <c r="C1123" s="5">
        <v>8</v>
      </c>
      <c r="D1123" s="6">
        <v>1250</v>
      </c>
      <c r="E1123" s="17">
        <f>VLOOKUP(A1123,'forecast data dump'!$A$1:$H$3450,4,FALSE)</f>
        <v>44648</v>
      </c>
      <c r="F1123" s="17">
        <f>VLOOKUP(A1123,'forecast data dump'!$A$1:$H$3450,5,FALSE)</f>
        <v>44652</v>
      </c>
      <c r="G1123" s="42">
        <f>VLOOKUP(A1123,'forecast data dump'!$A$1:$H$3450,8,FALSE)</f>
        <v>0</v>
      </c>
      <c r="H1123" s="5" t="s">
        <v>3733</v>
      </c>
      <c r="I1123" s="39">
        <f t="shared" si="338"/>
        <v>8</v>
      </c>
      <c r="J1123" s="5"/>
      <c r="K1123" s="5"/>
      <c r="L1123" s="33">
        <f t="shared" si="339"/>
        <v>1250</v>
      </c>
      <c r="M1123" s="33">
        <f t="shared" si="340"/>
        <v>1250</v>
      </c>
      <c r="N1123" s="33">
        <f t="shared" si="341"/>
        <v>0</v>
      </c>
      <c r="T1123">
        <v>1</v>
      </c>
      <c r="U1123" s="29">
        <f t="shared" ref="U1123:U1186" si="342">O1123*M1123</f>
        <v>0</v>
      </c>
      <c r="V1123" s="29">
        <f t="shared" ref="V1123:V1186" si="343">P1123*M1123</f>
        <v>0</v>
      </c>
      <c r="W1123" s="29">
        <f t="shared" ref="W1123:W1186" si="344">Q1123*M1123</f>
        <v>0</v>
      </c>
      <c r="X1123" s="29">
        <f t="shared" ref="X1123:X1186" si="345">R1123*M1123</f>
        <v>0</v>
      </c>
      <c r="Y1123" s="29">
        <f t="shared" ref="Y1123:Y1186" si="346">S1123*M1123</f>
        <v>0</v>
      </c>
      <c r="Z1123" s="29">
        <f t="shared" ref="Z1123:Z1186" si="347">T1123*M1123</f>
        <v>1250</v>
      </c>
    </row>
    <row r="1124" spans="1:26" x14ac:dyDescent="0.3">
      <c r="A1124" s="5" t="s">
        <v>2516</v>
      </c>
      <c r="B1124" s="5" t="s">
        <v>2517</v>
      </c>
      <c r="C1124" s="5">
        <v>24</v>
      </c>
      <c r="D1124" s="6">
        <v>2906</v>
      </c>
      <c r="E1124" s="17">
        <f>VLOOKUP(A1124,'forecast data dump'!$A$1:$H$3450,4,FALSE)</f>
        <v>44648</v>
      </c>
      <c r="F1124" s="17">
        <f>VLOOKUP(A1124,'forecast data dump'!$A$1:$H$3450,5,FALSE)</f>
        <v>44652</v>
      </c>
      <c r="G1124" s="42">
        <f>VLOOKUP(A1124,'forecast data dump'!$A$1:$H$3450,8,FALSE)</f>
        <v>0</v>
      </c>
      <c r="H1124" s="5" t="s">
        <v>3741</v>
      </c>
      <c r="I1124" s="39">
        <f t="shared" si="338"/>
        <v>24</v>
      </c>
      <c r="J1124" s="5"/>
      <c r="K1124" s="5"/>
      <c r="L1124" s="33">
        <f t="shared" si="339"/>
        <v>2906</v>
      </c>
      <c r="M1124" s="33">
        <f t="shared" si="340"/>
        <v>2906</v>
      </c>
      <c r="N1124" s="33">
        <f t="shared" si="341"/>
        <v>0</v>
      </c>
      <c r="T1124">
        <v>1</v>
      </c>
      <c r="U1124" s="29">
        <f t="shared" si="342"/>
        <v>0</v>
      </c>
      <c r="V1124" s="29">
        <f t="shared" si="343"/>
        <v>0</v>
      </c>
      <c r="W1124" s="29">
        <f t="shared" si="344"/>
        <v>0</v>
      </c>
      <c r="X1124" s="29">
        <f t="shared" si="345"/>
        <v>0</v>
      </c>
      <c r="Y1124" s="29">
        <f t="shared" si="346"/>
        <v>0</v>
      </c>
      <c r="Z1124" s="29">
        <f t="shared" si="347"/>
        <v>2906</v>
      </c>
    </row>
    <row r="1125" spans="1:26" x14ac:dyDescent="0.3">
      <c r="A1125" s="5" t="s">
        <v>2516</v>
      </c>
      <c r="B1125" s="5" t="s">
        <v>2517</v>
      </c>
      <c r="C1125" s="5">
        <v>8</v>
      </c>
      <c r="D1125" s="6">
        <v>969</v>
      </c>
      <c r="E1125" s="17">
        <f>VLOOKUP(A1125,'forecast data dump'!$A$1:$H$3450,4,FALSE)</f>
        <v>44648</v>
      </c>
      <c r="F1125" s="17">
        <f>VLOOKUP(A1125,'forecast data dump'!$A$1:$H$3450,5,FALSE)</f>
        <v>44652</v>
      </c>
      <c r="G1125" s="42">
        <f>VLOOKUP(A1125,'forecast data dump'!$A$1:$H$3450,8,FALSE)</f>
        <v>0</v>
      </c>
      <c r="H1125" s="5" t="s">
        <v>3742</v>
      </c>
      <c r="I1125" s="39">
        <f t="shared" si="338"/>
        <v>8</v>
      </c>
      <c r="J1125" s="5"/>
      <c r="K1125" s="5"/>
      <c r="L1125" s="33">
        <f t="shared" si="339"/>
        <v>969</v>
      </c>
      <c r="M1125" s="33">
        <f t="shared" si="340"/>
        <v>969</v>
      </c>
      <c r="N1125" s="33">
        <f t="shared" si="341"/>
        <v>0</v>
      </c>
      <c r="T1125">
        <v>1</v>
      </c>
      <c r="U1125" s="29">
        <f t="shared" si="342"/>
        <v>0</v>
      </c>
      <c r="V1125" s="29">
        <f t="shared" si="343"/>
        <v>0</v>
      </c>
      <c r="W1125" s="29">
        <f t="shared" si="344"/>
        <v>0</v>
      </c>
      <c r="X1125" s="29">
        <f t="shared" si="345"/>
        <v>0</v>
      </c>
      <c r="Y1125" s="29">
        <f t="shared" si="346"/>
        <v>0</v>
      </c>
      <c r="Z1125" s="29">
        <f t="shared" si="347"/>
        <v>969</v>
      </c>
    </row>
    <row r="1126" spans="1:26" x14ac:dyDescent="0.3">
      <c r="A1126" s="5" t="s">
        <v>2518</v>
      </c>
      <c r="B1126" s="5" t="s">
        <v>2519</v>
      </c>
      <c r="C1126" s="5">
        <v>8</v>
      </c>
      <c r="D1126" s="6">
        <v>1250</v>
      </c>
      <c r="E1126" s="17">
        <f>VLOOKUP(A1126,'forecast data dump'!$A$1:$H$3450,4,FALSE)</f>
        <v>44785</v>
      </c>
      <c r="F1126" s="17">
        <f>VLOOKUP(A1126,'forecast data dump'!$A$1:$H$3450,5,FALSE)</f>
        <v>44789</v>
      </c>
      <c r="G1126" s="42">
        <f>VLOOKUP(A1126,'forecast data dump'!$A$1:$H$3450,8,FALSE)</f>
        <v>0</v>
      </c>
      <c r="H1126" s="5" t="s">
        <v>3733</v>
      </c>
      <c r="I1126" s="39">
        <f t="shared" si="338"/>
        <v>8</v>
      </c>
      <c r="J1126" s="5"/>
      <c r="K1126" s="5"/>
      <c r="L1126" s="33">
        <f t="shared" si="339"/>
        <v>1250</v>
      </c>
      <c r="M1126" s="33">
        <f t="shared" si="340"/>
        <v>1250</v>
      </c>
      <c r="N1126" s="33">
        <f t="shared" si="341"/>
        <v>0</v>
      </c>
      <c r="T1126">
        <v>1</v>
      </c>
      <c r="U1126" s="29">
        <f t="shared" si="342"/>
        <v>0</v>
      </c>
      <c r="V1126" s="29">
        <f t="shared" si="343"/>
        <v>0</v>
      </c>
      <c r="W1126" s="29">
        <f t="shared" si="344"/>
        <v>0</v>
      </c>
      <c r="X1126" s="29">
        <f t="shared" si="345"/>
        <v>0</v>
      </c>
      <c r="Y1126" s="29">
        <f t="shared" si="346"/>
        <v>0</v>
      </c>
      <c r="Z1126" s="29">
        <f t="shared" si="347"/>
        <v>1250</v>
      </c>
    </row>
    <row r="1127" spans="1:26" x14ac:dyDescent="0.3">
      <c r="A1127" s="5" t="s">
        <v>2518</v>
      </c>
      <c r="B1127" s="5" t="s">
        <v>2519</v>
      </c>
      <c r="C1127" s="5">
        <v>8</v>
      </c>
      <c r="D1127" s="6">
        <v>969</v>
      </c>
      <c r="E1127" s="17">
        <f>VLOOKUP(A1127,'forecast data dump'!$A$1:$H$3450,4,FALSE)</f>
        <v>44785</v>
      </c>
      <c r="F1127" s="17">
        <f>VLOOKUP(A1127,'forecast data dump'!$A$1:$H$3450,5,FALSE)</f>
        <v>44789</v>
      </c>
      <c r="G1127" s="42">
        <f>VLOOKUP(A1127,'forecast data dump'!$A$1:$H$3450,8,FALSE)</f>
        <v>0</v>
      </c>
      <c r="H1127" s="5" t="s">
        <v>3745</v>
      </c>
      <c r="I1127" s="39">
        <f t="shared" si="338"/>
        <v>8</v>
      </c>
      <c r="J1127" s="5"/>
      <c r="K1127" s="5"/>
      <c r="L1127" s="33">
        <f t="shared" si="339"/>
        <v>969</v>
      </c>
      <c r="M1127" s="33">
        <f t="shared" si="340"/>
        <v>969</v>
      </c>
      <c r="N1127" s="33">
        <f t="shared" si="341"/>
        <v>0</v>
      </c>
      <c r="T1127">
        <v>1</v>
      </c>
      <c r="U1127" s="29">
        <f t="shared" si="342"/>
        <v>0</v>
      </c>
      <c r="V1127" s="29">
        <f t="shared" si="343"/>
        <v>0</v>
      </c>
      <c r="W1127" s="29">
        <f t="shared" si="344"/>
        <v>0</v>
      </c>
      <c r="X1127" s="29">
        <f t="shared" si="345"/>
        <v>0</v>
      </c>
      <c r="Y1127" s="29">
        <f t="shared" si="346"/>
        <v>0</v>
      </c>
      <c r="Z1127" s="29">
        <f t="shared" si="347"/>
        <v>969</v>
      </c>
    </row>
    <row r="1128" spans="1:26" x14ac:dyDescent="0.3">
      <c r="A1128" s="5" t="s">
        <v>2518</v>
      </c>
      <c r="B1128" s="5" t="s">
        <v>2519</v>
      </c>
      <c r="C1128" s="5">
        <v>60</v>
      </c>
      <c r="D1128" s="6">
        <v>7264</v>
      </c>
      <c r="E1128" s="17">
        <f>VLOOKUP(A1128,'forecast data dump'!$A$1:$H$3450,4,FALSE)</f>
        <v>44785</v>
      </c>
      <c r="F1128" s="17">
        <f>VLOOKUP(A1128,'forecast data dump'!$A$1:$H$3450,5,FALSE)</f>
        <v>44789</v>
      </c>
      <c r="G1128" s="42">
        <f>VLOOKUP(A1128,'forecast data dump'!$A$1:$H$3450,8,FALSE)</f>
        <v>0</v>
      </c>
      <c r="H1128" s="5" t="s">
        <v>3741</v>
      </c>
      <c r="I1128" s="39">
        <f t="shared" si="338"/>
        <v>60</v>
      </c>
      <c r="J1128" s="5"/>
      <c r="K1128" s="5"/>
      <c r="L1128" s="33">
        <f t="shared" si="339"/>
        <v>7264</v>
      </c>
      <c r="M1128" s="33">
        <f t="shared" si="340"/>
        <v>7264</v>
      </c>
      <c r="N1128" s="33">
        <f t="shared" si="341"/>
        <v>0</v>
      </c>
      <c r="T1128">
        <v>1</v>
      </c>
      <c r="U1128" s="29">
        <f t="shared" si="342"/>
        <v>0</v>
      </c>
      <c r="V1128" s="29">
        <f t="shared" si="343"/>
        <v>0</v>
      </c>
      <c r="W1128" s="29">
        <f t="shared" si="344"/>
        <v>0</v>
      </c>
      <c r="X1128" s="29">
        <f t="shared" si="345"/>
        <v>0</v>
      </c>
      <c r="Y1128" s="29">
        <f t="shared" si="346"/>
        <v>0</v>
      </c>
      <c r="Z1128" s="29">
        <f t="shared" si="347"/>
        <v>7264</v>
      </c>
    </row>
    <row r="1129" spans="1:26" x14ac:dyDescent="0.3">
      <c r="A1129" s="5" t="s">
        <v>2520</v>
      </c>
      <c r="B1129" s="5" t="s">
        <v>2521</v>
      </c>
      <c r="C1129" s="5">
        <v>20</v>
      </c>
      <c r="D1129" s="6">
        <v>2421</v>
      </c>
      <c r="E1129" s="17">
        <f>VLOOKUP(A1129,'forecast data dump'!$A$1:$H$3450,4,FALSE)</f>
        <v>44810</v>
      </c>
      <c r="F1129" s="17">
        <f>VLOOKUP(A1129,'forecast data dump'!$A$1:$H$3450,5,FALSE)</f>
        <v>44811</v>
      </c>
      <c r="G1129" s="42">
        <f>VLOOKUP(A1129,'forecast data dump'!$A$1:$H$3450,8,FALSE)</f>
        <v>0</v>
      </c>
      <c r="H1129" s="5" t="s">
        <v>3741</v>
      </c>
      <c r="I1129" s="39">
        <f t="shared" si="338"/>
        <v>20</v>
      </c>
      <c r="J1129" s="5"/>
      <c r="K1129" s="5"/>
      <c r="L1129" s="33">
        <f t="shared" si="339"/>
        <v>2421</v>
      </c>
      <c r="M1129" s="33">
        <f t="shared" si="340"/>
        <v>2421</v>
      </c>
      <c r="N1129" s="33">
        <f t="shared" si="341"/>
        <v>0</v>
      </c>
      <c r="T1129">
        <v>1</v>
      </c>
      <c r="U1129" s="29">
        <f t="shared" si="342"/>
        <v>0</v>
      </c>
      <c r="V1129" s="29">
        <f t="shared" si="343"/>
        <v>0</v>
      </c>
      <c r="W1129" s="29">
        <f t="shared" si="344"/>
        <v>0</v>
      </c>
      <c r="X1129" s="29">
        <f t="shared" si="345"/>
        <v>0</v>
      </c>
      <c r="Y1129" s="29">
        <f t="shared" si="346"/>
        <v>0</v>
      </c>
      <c r="Z1129" s="29">
        <f t="shared" si="347"/>
        <v>2421</v>
      </c>
    </row>
    <row r="1130" spans="1:26" x14ac:dyDescent="0.3">
      <c r="A1130" s="5" t="s">
        <v>2522</v>
      </c>
      <c r="B1130" s="5" t="s">
        <v>2523</v>
      </c>
      <c r="C1130" s="5">
        <v>80</v>
      </c>
      <c r="D1130" s="6">
        <v>9686</v>
      </c>
      <c r="E1130" s="17">
        <f>VLOOKUP(A1130,'forecast data dump'!$A$1:$H$3450,4,FALSE)</f>
        <v>44812</v>
      </c>
      <c r="F1130" s="17">
        <f>VLOOKUP(A1130,'forecast data dump'!$A$1:$H$3450,5,FALSE)</f>
        <v>44816</v>
      </c>
      <c r="G1130" s="42">
        <f>VLOOKUP(A1130,'forecast data dump'!$A$1:$H$3450,8,FALSE)</f>
        <v>0</v>
      </c>
      <c r="H1130" s="5" t="s">
        <v>3741</v>
      </c>
      <c r="I1130" s="39">
        <f t="shared" si="338"/>
        <v>80</v>
      </c>
      <c r="J1130" s="5"/>
      <c r="K1130" s="5"/>
      <c r="L1130" s="33">
        <f t="shared" si="339"/>
        <v>9686</v>
      </c>
      <c r="M1130" s="33">
        <f t="shared" si="340"/>
        <v>9686</v>
      </c>
      <c r="N1130" s="33">
        <f t="shared" si="341"/>
        <v>0</v>
      </c>
      <c r="T1130">
        <v>1</v>
      </c>
      <c r="U1130" s="29">
        <f t="shared" si="342"/>
        <v>0</v>
      </c>
      <c r="V1130" s="29">
        <f t="shared" si="343"/>
        <v>0</v>
      </c>
      <c r="W1130" s="29">
        <f t="shared" si="344"/>
        <v>0</v>
      </c>
      <c r="X1130" s="29">
        <f t="shared" si="345"/>
        <v>0</v>
      </c>
      <c r="Y1130" s="29">
        <f t="shared" si="346"/>
        <v>0</v>
      </c>
      <c r="Z1130" s="29">
        <f t="shared" si="347"/>
        <v>9686</v>
      </c>
    </row>
    <row r="1131" spans="1:26" x14ac:dyDescent="0.3">
      <c r="A1131" s="5" t="s">
        <v>2522</v>
      </c>
      <c r="B1131" s="5" t="s">
        <v>2523</v>
      </c>
      <c r="C1131" s="5">
        <v>24</v>
      </c>
      <c r="D1131" s="6">
        <v>3750</v>
      </c>
      <c r="E1131" s="17">
        <f>VLOOKUP(A1131,'forecast data dump'!$A$1:$H$3450,4,FALSE)</f>
        <v>44812</v>
      </c>
      <c r="F1131" s="17">
        <f>VLOOKUP(A1131,'forecast data dump'!$A$1:$H$3450,5,FALSE)</f>
        <v>44816</v>
      </c>
      <c r="G1131" s="42">
        <f>VLOOKUP(A1131,'forecast data dump'!$A$1:$H$3450,8,FALSE)</f>
        <v>0</v>
      </c>
      <c r="H1131" s="5" t="s">
        <v>3744</v>
      </c>
      <c r="I1131" s="39">
        <f t="shared" si="338"/>
        <v>24</v>
      </c>
      <c r="J1131" s="5"/>
      <c r="K1131" s="5"/>
      <c r="L1131" s="33">
        <f t="shared" si="339"/>
        <v>3750</v>
      </c>
      <c r="M1131" s="33">
        <f t="shared" si="340"/>
        <v>3750</v>
      </c>
      <c r="N1131" s="33">
        <f t="shared" si="341"/>
        <v>0</v>
      </c>
      <c r="T1131">
        <v>1</v>
      </c>
      <c r="U1131" s="29">
        <f t="shared" si="342"/>
        <v>0</v>
      </c>
      <c r="V1131" s="29">
        <f t="shared" si="343"/>
        <v>0</v>
      </c>
      <c r="W1131" s="29">
        <f t="shared" si="344"/>
        <v>0</v>
      </c>
      <c r="X1131" s="29">
        <f t="shared" si="345"/>
        <v>0</v>
      </c>
      <c r="Y1131" s="29">
        <f t="shared" si="346"/>
        <v>0</v>
      </c>
      <c r="Z1131" s="29">
        <f t="shared" si="347"/>
        <v>3750</v>
      </c>
    </row>
    <row r="1132" spans="1:26" x14ac:dyDescent="0.3">
      <c r="A1132" s="5" t="s">
        <v>2522</v>
      </c>
      <c r="B1132" s="5" t="s">
        <v>2523</v>
      </c>
      <c r="C1132" s="5">
        <v>80</v>
      </c>
      <c r="D1132" s="6">
        <v>9686</v>
      </c>
      <c r="E1132" s="17">
        <f>VLOOKUP(A1132,'forecast data dump'!$A$1:$H$3450,4,FALSE)</f>
        <v>44812</v>
      </c>
      <c r="F1132" s="17">
        <f>VLOOKUP(A1132,'forecast data dump'!$A$1:$H$3450,5,FALSE)</f>
        <v>44816</v>
      </c>
      <c r="G1132" s="42">
        <f>VLOOKUP(A1132,'forecast data dump'!$A$1:$H$3450,8,FALSE)</f>
        <v>0</v>
      </c>
      <c r="H1132" s="5" t="s">
        <v>3742</v>
      </c>
      <c r="I1132" s="39">
        <f t="shared" si="338"/>
        <v>80</v>
      </c>
      <c r="J1132" s="5"/>
      <c r="K1132" s="5"/>
      <c r="L1132" s="33">
        <f t="shared" si="339"/>
        <v>9686</v>
      </c>
      <c r="M1132" s="33">
        <f t="shared" si="340"/>
        <v>9686</v>
      </c>
      <c r="N1132" s="33">
        <f t="shared" si="341"/>
        <v>0</v>
      </c>
      <c r="T1132">
        <v>1</v>
      </c>
      <c r="U1132" s="29">
        <f t="shared" si="342"/>
        <v>0</v>
      </c>
      <c r="V1132" s="29">
        <f t="shared" si="343"/>
        <v>0</v>
      </c>
      <c r="W1132" s="29">
        <f t="shared" si="344"/>
        <v>0</v>
      </c>
      <c r="X1132" s="29">
        <f t="shared" si="345"/>
        <v>0</v>
      </c>
      <c r="Y1132" s="29">
        <f t="shared" si="346"/>
        <v>0</v>
      </c>
      <c r="Z1132" s="29">
        <f t="shared" si="347"/>
        <v>9686</v>
      </c>
    </row>
    <row r="1133" spans="1:26" x14ac:dyDescent="0.3">
      <c r="A1133" s="5" t="s">
        <v>2522</v>
      </c>
      <c r="B1133" s="5" t="s">
        <v>2523</v>
      </c>
      <c r="C1133" s="5">
        <v>24</v>
      </c>
      <c r="D1133" s="6">
        <v>2906</v>
      </c>
      <c r="E1133" s="17">
        <f>VLOOKUP(A1133,'forecast data dump'!$A$1:$H$3450,4,FALSE)</f>
        <v>44812</v>
      </c>
      <c r="F1133" s="17">
        <f>VLOOKUP(A1133,'forecast data dump'!$A$1:$H$3450,5,FALSE)</f>
        <v>44816</v>
      </c>
      <c r="G1133" s="42">
        <f>VLOOKUP(A1133,'forecast data dump'!$A$1:$H$3450,8,FALSE)</f>
        <v>0</v>
      </c>
      <c r="H1133" s="5" t="s">
        <v>3745</v>
      </c>
      <c r="I1133" s="39">
        <f t="shared" si="338"/>
        <v>24</v>
      </c>
      <c r="J1133" s="5"/>
      <c r="K1133" s="5"/>
      <c r="L1133" s="33">
        <f t="shared" si="339"/>
        <v>2906</v>
      </c>
      <c r="M1133" s="33">
        <f t="shared" si="340"/>
        <v>2906</v>
      </c>
      <c r="N1133" s="33">
        <f t="shared" si="341"/>
        <v>0</v>
      </c>
      <c r="T1133">
        <v>1</v>
      </c>
      <c r="U1133" s="29">
        <f t="shared" si="342"/>
        <v>0</v>
      </c>
      <c r="V1133" s="29">
        <f t="shared" si="343"/>
        <v>0</v>
      </c>
      <c r="W1133" s="29">
        <f t="shared" si="344"/>
        <v>0</v>
      </c>
      <c r="X1133" s="29">
        <f t="shared" si="345"/>
        <v>0</v>
      </c>
      <c r="Y1133" s="29">
        <f t="shared" si="346"/>
        <v>0</v>
      </c>
      <c r="Z1133" s="29">
        <f t="shared" si="347"/>
        <v>2906</v>
      </c>
    </row>
    <row r="1134" spans="1:26" x14ac:dyDescent="0.3">
      <c r="A1134" s="5" t="s">
        <v>2522</v>
      </c>
      <c r="B1134" s="5" t="s">
        <v>2523</v>
      </c>
      <c r="C1134" s="5">
        <v>24</v>
      </c>
      <c r="D1134" s="6">
        <v>3750</v>
      </c>
      <c r="E1134" s="17">
        <f>VLOOKUP(A1134,'forecast data dump'!$A$1:$H$3450,4,FALSE)</f>
        <v>44812</v>
      </c>
      <c r="F1134" s="17">
        <f>VLOOKUP(A1134,'forecast data dump'!$A$1:$H$3450,5,FALSE)</f>
        <v>44816</v>
      </c>
      <c r="G1134" s="42">
        <f>VLOOKUP(A1134,'forecast data dump'!$A$1:$H$3450,8,FALSE)</f>
        <v>0</v>
      </c>
      <c r="H1134" s="5" t="s">
        <v>3733</v>
      </c>
      <c r="I1134" s="39">
        <f t="shared" si="338"/>
        <v>24</v>
      </c>
      <c r="J1134" s="5"/>
      <c r="K1134" s="5"/>
      <c r="L1134" s="33">
        <f t="shared" si="339"/>
        <v>3750</v>
      </c>
      <c r="M1134" s="33">
        <f t="shared" si="340"/>
        <v>3750</v>
      </c>
      <c r="N1134" s="33">
        <f t="shared" si="341"/>
        <v>0</v>
      </c>
      <c r="T1134">
        <v>1</v>
      </c>
      <c r="U1134" s="29">
        <f t="shared" si="342"/>
        <v>0</v>
      </c>
      <c r="V1134" s="29">
        <f t="shared" si="343"/>
        <v>0</v>
      </c>
      <c r="W1134" s="29">
        <f t="shared" si="344"/>
        <v>0</v>
      </c>
      <c r="X1134" s="29">
        <f t="shared" si="345"/>
        <v>0</v>
      </c>
      <c r="Y1134" s="29">
        <f t="shared" si="346"/>
        <v>0</v>
      </c>
      <c r="Z1134" s="29">
        <f t="shared" si="347"/>
        <v>3750</v>
      </c>
    </row>
    <row r="1135" spans="1:26" x14ac:dyDescent="0.3">
      <c r="A1135" s="5" t="s">
        <v>2522</v>
      </c>
      <c r="B1135" s="5" t="s">
        <v>2523</v>
      </c>
      <c r="C1135" s="5">
        <v>160</v>
      </c>
      <c r="D1135" s="6">
        <v>21230</v>
      </c>
      <c r="E1135" s="17">
        <f>VLOOKUP(A1135,'forecast data dump'!$A$1:$H$3450,4,FALSE)</f>
        <v>44812</v>
      </c>
      <c r="F1135" s="17">
        <f>VLOOKUP(A1135,'forecast data dump'!$A$1:$H$3450,5,FALSE)</f>
        <v>44816</v>
      </c>
      <c r="G1135" s="42">
        <f>VLOOKUP(A1135,'forecast data dump'!$A$1:$H$3450,8,FALSE)</f>
        <v>0</v>
      </c>
      <c r="H1135" s="5" t="s">
        <v>3752</v>
      </c>
      <c r="I1135" s="39">
        <f t="shared" si="338"/>
        <v>160</v>
      </c>
      <c r="J1135" s="5"/>
      <c r="K1135" s="5"/>
      <c r="L1135" s="33">
        <f t="shared" si="339"/>
        <v>21230</v>
      </c>
      <c r="M1135" s="33">
        <f t="shared" si="340"/>
        <v>21230</v>
      </c>
      <c r="N1135" s="33">
        <f t="shared" si="341"/>
        <v>0</v>
      </c>
      <c r="T1135">
        <v>1</v>
      </c>
      <c r="U1135" s="29">
        <f t="shared" si="342"/>
        <v>0</v>
      </c>
      <c r="V1135" s="29">
        <f t="shared" si="343"/>
        <v>0</v>
      </c>
      <c r="W1135" s="29">
        <f t="shared" si="344"/>
        <v>0</v>
      </c>
      <c r="X1135" s="29">
        <f t="shared" si="345"/>
        <v>0</v>
      </c>
      <c r="Y1135" s="29">
        <f t="shared" si="346"/>
        <v>0</v>
      </c>
      <c r="Z1135" s="29">
        <f t="shared" si="347"/>
        <v>21230</v>
      </c>
    </row>
    <row r="1136" spans="1:26" x14ac:dyDescent="0.3">
      <c r="A1136" s="5" t="s">
        <v>2524</v>
      </c>
      <c r="B1136" s="5" t="s">
        <v>2525</v>
      </c>
      <c r="C1136" s="5">
        <v>8</v>
      </c>
      <c r="D1136" s="6">
        <v>1250</v>
      </c>
      <c r="E1136" s="17">
        <f>VLOOKUP(A1136,'forecast data dump'!$A$1:$H$3450,4,FALSE)</f>
        <v>44817</v>
      </c>
      <c r="F1136" s="17">
        <f>VLOOKUP(A1136,'forecast data dump'!$A$1:$H$3450,5,FALSE)</f>
        <v>44823</v>
      </c>
      <c r="G1136" s="42">
        <f>VLOOKUP(A1136,'forecast data dump'!$A$1:$H$3450,8,FALSE)</f>
        <v>0</v>
      </c>
      <c r="H1136" s="5" t="s">
        <v>3733</v>
      </c>
      <c r="I1136" s="39">
        <f t="shared" si="338"/>
        <v>8</v>
      </c>
      <c r="J1136" s="5"/>
      <c r="K1136" s="5"/>
      <c r="L1136" s="33">
        <f t="shared" si="339"/>
        <v>1250</v>
      </c>
      <c r="M1136" s="33">
        <f t="shared" si="340"/>
        <v>1250</v>
      </c>
      <c r="N1136" s="33">
        <f t="shared" si="341"/>
        <v>0</v>
      </c>
      <c r="T1136">
        <v>1</v>
      </c>
      <c r="U1136" s="29">
        <f t="shared" si="342"/>
        <v>0</v>
      </c>
      <c r="V1136" s="29">
        <f t="shared" si="343"/>
        <v>0</v>
      </c>
      <c r="W1136" s="29">
        <f t="shared" si="344"/>
        <v>0</v>
      </c>
      <c r="X1136" s="29">
        <f t="shared" si="345"/>
        <v>0</v>
      </c>
      <c r="Y1136" s="29">
        <f t="shared" si="346"/>
        <v>0</v>
      </c>
      <c r="Z1136" s="29">
        <f t="shared" si="347"/>
        <v>1250</v>
      </c>
    </row>
    <row r="1137" spans="1:26" x14ac:dyDescent="0.3">
      <c r="A1137" s="5" t="s">
        <v>2524</v>
      </c>
      <c r="B1137" s="5" t="s">
        <v>2525</v>
      </c>
      <c r="C1137" s="5">
        <v>8</v>
      </c>
      <c r="D1137" s="6">
        <v>969</v>
      </c>
      <c r="E1137" s="17">
        <f>VLOOKUP(A1137,'forecast data dump'!$A$1:$H$3450,4,FALSE)</f>
        <v>44817</v>
      </c>
      <c r="F1137" s="17">
        <f>VLOOKUP(A1137,'forecast data dump'!$A$1:$H$3450,5,FALSE)</f>
        <v>44823</v>
      </c>
      <c r="G1137" s="42">
        <f>VLOOKUP(A1137,'forecast data dump'!$A$1:$H$3450,8,FALSE)</f>
        <v>0</v>
      </c>
      <c r="H1137" s="5" t="s">
        <v>3745</v>
      </c>
      <c r="I1137" s="39">
        <f t="shared" si="338"/>
        <v>8</v>
      </c>
      <c r="J1137" s="5"/>
      <c r="K1137" s="5"/>
      <c r="L1137" s="33">
        <f t="shared" si="339"/>
        <v>969</v>
      </c>
      <c r="M1137" s="33">
        <f t="shared" si="340"/>
        <v>969</v>
      </c>
      <c r="N1137" s="33">
        <f t="shared" si="341"/>
        <v>0</v>
      </c>
      <c r="T1137">
        <v>1</v>
      </c>
      <c r="U1137" s="29">
        <f t="shared" si="342"/>
        <v>0</v>
      </c>
      <c r="V1137" s="29">
        <f t="shared" si="343"/>
        <v>0</v>
      </c>
      <c r="W1137" s="29">
        <f t="shared" si="344"/>
        <v>0</v>
      </c>
      <c r="X1137" s="29">
        <f t="shared" si="345"/>
        <v>0</v>
      </c>
      <c r="Y1137" s="29">
        <f t="shared" si="346"/>
        <v>0</v>
      </c>
      <c r="Z1137" s="29">
        <f t="shared" si="347"/>
        <v>969</v>
      </c>
    </row>
    <row r="1138" spans="1:26" x14ac:dyDescent="0.3">
      <c r="A1138" s="5" t="s">
        <v>2524</v>
      </c>
      <c r="B1138" s="5" t="s">
        <v>2525</v>
      </c>
      <c r="C1138" s="5">
        <v>8</v>
      </c>
      <c r="D1138" s="6">
        <v>969</v>
      </c>
      <c r="E1138" s="17">
        <f>VLOOKUP(A1138,'forecast data dump'!$A$1:$H$3450,4,FALSE)</f>
        <v>44817</v>
      </c>
      <c r="F1138" s="17">
        <f>VLOOKUP(A1138,'forecast data dump'!$A$1:$H$3450,5,FALSE)</f>
        <v>44823</v>
      </c>
      <c r="G1138" s="42">
        <f>VLOOKUP(A1138,'forecast data dump'!$A$1:$H$3450,8,FALSE)</f>
        <v>0</v>
      </c>
      <c r="H1138" s="5" t="s">
        <v>3741</v>
      </c>
      <c r="I1138" s="39">
        <f t="shared" si="338"/>
        <v>8</v>
      </c>
      <c r="J1138" s="5"/>
      <c r="K1138" s="5"/>
      <c r="L1138" s="33">
        <f t="shared" si="339"/>
        <v>969</v>
      </c>
      <c r="M1138" s="33">
        <f t="shared" si="340"/>
        <v>969</v>
      </c>
      <c r="N1138" s="33">
        <f t="shared" si="341"/>
        <v>0</v>
      </c>
      <c r="T1138">
        <v>1</v>
      </c>
      <c r="U1138" s="29">
        <f t="shared" si="342"/>
        <v>0</v>
      </c>
      <c r="V1138" s="29">
        <f t="shared" si="343"/>
        <v>0</v>
      </c>
      <c r="W1138" s="29">
        <f t="shared" si="344"/>
        <v>0</v>
      </c>
      <c r="X1138" s="29">
        <f t="shared" si="345"/>
        <v>0</v>
      </c>
      <c r="Y1138" s="29">
        <f t="shared" si="346"/>
        <v>0</v>
      </c>
      <c r="Z1138" s="29">
        <f t="shared" si="347"/>
        <v>969</v>
      </c>
    </row>
    <row r="1139" spans="1:26" x14ac:dyDescent="0.3">
      <c r="A1139" s="5" t="s">
        <v>2524</v>
      </c>
      <c r="B1139" s="5" t="s">
        <v>2525</v>
      </c>
      <c r="C1139" s="5">
        <v>8</v>
      </c>
      <c r="D1139" s="6">
        <v>969</v>
      </c>
      <c r="E1139" s="17">
        <f>VLOOKUP(A1139,'forecast data dump'!$A$1:$H$3450,4,FALSE)</f>
        <v>44817</v>
      </c>
      <c r="F1139" s="17">
        <f>VLOOKUP(A1139,'forecast data dump'!$A$1:$H$3450,5,FALSE)</f>
        <v>44823</v>
      </c>
      <c r="G1139" s="42">
        <f>VLOOKUP(A1139,'forecast data dump'!$A$1:$H$3450,8,FALSE)</f>
        <v>0</v>
      </c>
      <c r="H1139" s="5" t="s">
        <v>3742</v>
      </c>
      <c r="I1139" s="39">
        <f t="shared" si="338"/>
        <v>8</v>
      </c>
      <c r="J1139" s="5"/>
      <c r="K1139" s="5"/>
      <c r="L1139" s="33">
        <f t="shared" si="339"/>
        <v>969</v>
      </c>
      <c r="M1139" s="33">
        <f t="shared" si="340"/>
        <v>969</v>
      </c>
      <c r="N1139" s="33">
        <f t="shared" si="341"/>
        <v>0</v>
      </c>
      <c r="T1139">
        <v>1</v>
      </c>
      <c r="U1139" s="29">
        <f t="shared" si="342"/>
        <v>0</v>
      </c>
      <c r="V1139" s="29">
        <f t="shared" si="343"/>
        <v>0</v>
      </c>
      <c r="W1139" s="29">
        <f t="shared" si="344"/>
        <v>0</v>
      </c>
      <c r="X1139" s="29">
        <f t="shared" si="345"/>
        <v>0</v>
      </c>
      <c r="Y1139" s="29">
        <f t="shared" si="346"/>
        <v>0</v>
      </c>
      <c r="Z1139" s="29">
        <f t="shared" si="347"/>
        <v>969</v>
      </c>
    </row>
    <row r="1140" spans="1:26" x14ac:dyDescent="0.3">
      <c r="A1140" s="5" t="s">
        <v>2526</v>
      </c>
      <c r="B1140" s="5" t="s">
        <v>2527</v>
      </c>
      <c r="C1140" s="5">
        <v>8</v>
      </c>
      <c r="D1140" s="6">
        <v>1250</v>
      </c>
      <c r="E1140" s="17">
        <f>VLOOKUP(A1140,'forecast data dump'!$A$1:$H$3450,4,FALSE)</f>
        <v>44824</v>
      </c>
      <c r="F1140" s="17">
        <f>VLOOKUP(A1140,'forecast data dump'!$A$1:$H$3450,5,FALSE)</f>
        <v>44830</v>
      </c>
      <c r="G1140" s="42">
        <f>VLOOKUP(A1140,'forecast data dump'!$A$1:$H$3450,8,FALSE)</f>
        <v>0</v>
      </c>
      <c r="H1140" s="5" t="s">
        <v>3733</v>
      </c>
      <c r="I1140" s="39">
        <f t="shared" si="338"/>
        <v>8</v>
      </c>
      <c r="J1140" s="5"/>
      <c r="K1140" s="5"/>
      <c r="L1140" s="33">
        <f t="shared" si="339"/>
        <v>1250</v>
      </c>
      <c r="M1140" s="33">
        <f t="shared" si="340"/>
        <v>1250</v>
      </c>
      <c r="N1140" s="33">
        <f t="shared" si="341"/>
        <v>0</v>
      </c>
      <c r="T1140">
        <v>1</v>
      </c>
      <c r="U1140" s="29">
        <f t="shared" si="342"/>
        <v>0</v>
      </c>
      <c r="V1140" s="29">
        <f t="shared" si="343"/>
        <v>0</v>
      </c>
      <c r="W1140" s="29">
        <f t="shared" si="344"/>
        <v>0</v>
      </c>
      <c r="X1140" s="29">
        <f t="shared" si="345"/>
        <v>0</v>
      </c>
      <c r="Y1140" s="29">
        <f t="shared" si="346"/>
        <v>0</v>
      </c>
      <c r="Z1140" s="29">
        <f t="shared" si="347"/>
        <v>1250</v>
      </c>
    </row>
    <row r="1141" spans="1:26" x14ac:dyDescent="0.3">
      <c r="A1141" s="5" t="s">
        <v>2526</v>
      </c>
      <c r="B1141" s="5" t="s">
        <v>2527</v>
      </c>
      <c r="C1141" s="5">
        <v>8</v>
      </c>
      <c r="D1141" s="6">
        <v>969</v>
      </c>
      <c r="E1141" s="17">
        <f>VLOOKUP(A1141,'forecast data dump'!$A$1:$H$3450,4,FALSE)</f>
        <v>44824</v>
      </c>
      <c r="F1141" s="17">
        <f>VLOOKUP(A1141,'forecast data dump'!$A$1:$H$3450,5,FALSE)</f>
        <v>44830</v>
      </c>
      <c r="G1141" s="42">
        <f>VLOOKUP(A1141,'forecast data dump'!$A$1:$H$3450,8,FALSE)</f>
        <v>0</v>
      </c>
      <c r="H1141" s="5" t="s">
        <v>3745</v>
      </c>
      <c r="I1141" s="39">
        <f t="shared" si="338"/>
        <v>8</v>
      </c>
      <c r="J1141" s="5"/>
      <c r="K1141" s="5"/>
      <c r="L1141" s="33">
        <f t="shared" si="339"/>
        <v>969</v>
      </c>
      <c r="M1141" s="33">
        <f t="shared" si="340"/>
        <v>969</v>
      </c>
      <c r="N1141" s="33">
        <f t="shared" si="341"/>
        <v>0</v>
      </c>
      <c r="T1141">
        <v>1</v>
      </c>
      <c r="U1141" s="29">
        <f t="shared" si="342"/>
        <v>0</v>
      </c>
      <c r="V1141" s="29">
        <f t="shared" si="343"/>
        <v>0</v>
      </c>
      <c r="W1141" s="29">
        <f t="shared" si="344"/>
        <v>0</v>
      </c>
      <c r="X1141" s="29">
        <f t="shared" si="345"/>
        <v>0</v>
      </c>
      <c r="Y1141" s="29">
        <f t="shared" si="346"/>
        <v>0</v>
      </c>
      <c r="Z1141" s="29">
        <f t="shared" si="347"/>
        <v>969</v>
      </c>
    </row>
    <row r="1142" spans="1:26" x14ac:dyDescent="0.3">
      <c r="A1142" s="5" t="s">
        <v>2526</v>
      </c>
      <c r="B1142" s="5" t="s">
        <v>2527</v>
      </c>
      <c r="C1142" s="5">
        <v>8</v>
      </c>
      <c r="D1142" s="6">
        <v>969</v>
      </c>
      <c r="E1142" s="17">
        <f>VLOOKUP(A1142,'forecast data dump'!$A$1:$H$3450,4,FALSE)</f>
        <v>44824</v>
      </c>
      <c r="F1142" s="17">
        <f>VLOOKUP(A1142,'forecast data dump'!$A$1:$H$3450,5,FALSE)</f>
        <v>44830</v>
      </c>
      <c r="G1142" s="42">
        <f>VLOOKUP(A1142,'forecast data dump'!$A$1:$H$3450,8,FALSE)</f>
        <v>0</v>
      </c>
      <c r="H1142" s="5" t="s">
        <v>3741</v>
      </c>
      <c r="I1142" s="39">
        <f t="shared" si="338"/>
        <v>8</v>
      </c>
      <c r="J1142" s="5"/>
      <c r="K1142" s="5"/>
      <c r="L1142" s="33">
        <f t="shared" si="339"/>
        <v>969</v>
      </c>
      <c r="M1142" s="33">
        <f t="shared" si="340"/>
        <v>969</v>
      </c>
      <c r="N1142" s="33">
        <f t="shared" si="341"/>
        <v>0</v>
      </c>
      <c r="T1142">
        <v>1</v>
      </c>
      <c r="U1142" s="29">
        <f t="shared" si="342"/>
        <v>0</v>
      </c>
      <c r="V1142" s="29">
        <f t="shared" si="343"/>
        <v>0</v>
      </c>
      <c r="W1142" s="29">
        <f t="shared" si="344"/>
        <v>0</v>
      </c>
      <c r="X1142" s="29">
        <f t="shared" si="345"/>
        <v>0</v>
      </c>
      <c r="Y1142" s="29">
        <f t="shared" si="346"/>
        <v>0</v>
      </c>
      <c r="Z1142" s="29">
        <f t="shared" si="347"/>
        <v>969</v>
      </c>
    </row>
    <row r="1143" spans="1:26" x14ac:dyDescent="0.3">
      <c r="A1143" s="5" t="s">
        <v>2526</v>
      </c>
      <c r="B1143" s="5" t="s">
        <v>2527</v>
      </c>
      <c r="C1143" s="5">
        <v>8</v>
      </c>
      <c r="D1143" s="6">
        <v>969</v>
      </c>
      <c r="E1143" s="17">
        <f>VLOOKUP(A1143,'forecast data dump'!$A$1:$H$3450,4,FALSE)</f>
        <v>44824</v>
      </c>
      <c r="F1143" s="17">
        <f>VLOOKUP(A1143,'forecast data dump'!$A$1:$H$3450,5,FALSE)</f>
        <v>44830</v>
      </c>
      <c r="G1143" s="42">
        <f>VLOOKUP(A1143,'forecast data dump'!$A$1:$H$3450,8,FALSE)</f>
        <v>0</v>
      </c>
      <c r="H1143" s="5" t="s">
        <v>3742</v>
      </c>
      <c r="I1143" s="39">
        <f t="shared" si="338"/>
        <v>8</v>
      </c>
      <c r="J1143" s="5"/>
      <c r="K1143" s="5"/>
      <c r="L1143" s="33">
        <f t="shared" si="339"/>
        <v>969</v>
      </c>
      <c r="M1143" s="33">
        <f t="shared" si="340"/>
        <v>969</v>
      </c>
      <c r="N1143" s="33">
        <f t="shared" si="341"/>
        <v>0</v>
      </c>
      <c r="T1143">
        <v>1</v>
      </c>
      <c r="U1143" s="29">
        <f t="shared" si="342"/>
        <v>0</v>
      </c>
      <c r="V1143" s="29">
        <f t="shared" si="343"/>
        <v>0</v>
      </c>
      <c r="W1143" s="29">
        <f t="shared" si="344"/>
        <v>0</v>
      </c>
      <c r="X1143" s="29">
        <f t="shared" si="345"/>
        <v>0</v>
      </c>
      <c r="Y1143" s="29">
        <f t="shared" si="346"/>
        <v>0</v>
      </c>
      <c r="Z1143" s="29">
        <f t="shared" si="347"/>
        <v>969</v>
      </c>
    </row>
    <row r="1144" spans="1:26" x14ac:dyDescent="0.3">
      <c r="A1144" s="5" t="s">
        <v>2530</v>
      </c>
      <c r="B1144" s="5" t="s">
        <v>2531</v>
      </c>
      <c r="C1144" s="5">
        <v>30000</v>
      </c>
      <c r="D1144" s="6">
        <v>34821</v>
      </c>
      <c r="E1144" s="17">
        <f>VLOOKUP(A1144,'forecast data dump'!$A$1:$H$3450,4,FALSE)</f>
        <v>44410</v>
      </c>
      <c r="F1144" s="17">
        <f>VLOOKUP(A1144,'forecast data dump'!$A$1:$H$3450,5,FALSE)</f>
        <v>44495</v>
      </c>
      <c r="G1144" s="42">
        <f>VLOOKUP(A1144,'forecast data dump'!$A$1:$H$3450,8,FALSE)</f>
        <v>0</v>
      </c>
      <c r="H1144" s="5" t="s">
        <v>3762</v>
      </c>
      <c r="I1144" s="39">
        <f t="shared" si="338"/>
        <v>30000</v>
      </c>
      <c r="J1144" s="5"/>
      <c r="K1144" s="5"/>
      <c r="L1144" s="33">
        <f t="shared" si="339"/>
        <v>34821</v>
      </c>
      <c r="M1144" s="33">
        <f t="shared" si="340"/>
        <v>34821</v>
      </c>
      <c r="N1144" s="33">
        <f t="shared" si="341"/>
        <v>0</v>
      </c>
      <c r="Q1144">
        <v>1</v>
      </c>
      <c r="U1144" s="29">
        <f t="shared" si="342"/>
        <v>0</v>
      </c>
      <c r="V1144" s="29">
        <f t="shared" si="343"/>
        <v>0</v>
      </c>
      <c r="W1144" s="29">
        <f t="shared" si="344"/>
        <v>34821</v>
      </c>
      <c r="X1144" s="29">
        <f t="shared" si="345"/>
        <v>0</v>
      </c>
      <c r="Y1144" s="29">
        <f t="shared" si="346"/>
        <v>0</v>
      </c>
      <c r="Z1144" s="29">
        <f t="shared" si="347"/>
        <v>0</v>
      </c>
    </row>
    <row r="1145" spans="1:26" x14ac:dyDescent="0.3">
      <c r="A1145" s="5" t="s">
        <v>2532</v>
      </c>
      <c r="B1145" s="5" t="s">
        <v>2533</v>
      </c>
      <c r="C1145" s="5">
        <v>500</v>
      </c>
      <c r="D1145" s="6">
        <v>592</v>
      </c>
      <c r="E1145" s="17">
        <f>VLOOKUP(A1145,'forecast data dump'!$A$1:$H$3450,4,FALSE)</f>
        <v>44648</v>
      </c>
      <c r="F1145" s="17">
        <f>VLOOKUP(A1145,'forecast data dump'!$A$1:$H$3450,5,FALSE)</f>
        <v>44652</v>
      </c>
      <c r="G1145" s="42">
        <f>VLOOKUP(A1145,'forecast data dump'!$A$1:$H$3450,8,FALSE)</f>
        <v>0</v>
      </c>
      <c r="H1145" s="5" t="s">
        <v>3762</v>
      </c>
      <c r="I1145" s="39">
        <f t="shared" si="338"/>
        <v>500</v>
      </c>
      <c r="J1145" s="5"/>
      <c r="K1145" s="5"/>
      <c r="L1145" s="33">
        <f t="shared" si="339"/>
        <v>592</v>
      </c>
      <c r="M1145" s="33">
        <f t="shared" si="340"/>
        <v>592</v>
      </c>
      <c r="N1145" s="33">
        <f t="shared" si="341"/>
        <v>0</v>
      </c>
      <c r="Q1145">
        <v>1</v>
      </c>
      <c r="U1145" s="29">
        <f t="shared" si="342"/>
        <v>0</v>
      </c>
      <c r="V1145" s="29">
        <f t="shared" si="343"/>
        <v>0</v>
      </c>
      <c r="W1145" s="29">
        <f t="shared" si="344"/>
        <v>592</v>
      </c>
      <c r="X1145" s="29">
        <f t="shared" si="345"/>
        <v>0</v>
      </c>
      <c r="Y1145" s="29">
        <f t="shared" si="346"/>
        <v>0</v>
      </c>
      <c r="Z1145" s="29">
        <f t="shared" si="347"/>
        <v>0</v>
      </c>
    </row>
    <row r="1146" spans="1:26" x14ac:dyDescent="0.3">
      <c r="A1146" s="5" t="s">
        <v>2534</v>
      </c>
      <c r="B1146" s="5" t="s">
        <v>2535</v>
      </c>
      <c r="C1146" s="5">
        <v>500</v>
      </c>
      <c r="D1146" s="6">
        <v>592</v>
      </c>
      <c r="E1146" s="17">
        <f>VLOOKUP(A1146,'forecast data dump'!$A$1:$H$3450,4,FALSE)</f>
        <v>44785</v>
      </c>
      <c r="F1146" s="17">
        <f>VLOOKUP(A1146,'forecast data dump'!$A$1:$H$3450,5,FALSE)</f>
        <v>44789</v>
      </c>
      <c r="G1146" s="42">
        <f>VLOOKUP(A1146,'forecast data dump'!$A$1:$H$3450,8,FALSE)</f>
        <v>0</v>
      </c>
      <c r="H1146" s="5" t="s">
        <v>3762</v>
      </c>
      <c r="I1146" s="39">
        <f t="shared" si="338"/>
        <v>500</v>
      </c>
      <c r="J1146" s="5"/>
      <c r="K1146" s="5"/>
      <c r="L1146" s="33">
        <f t="shared" si="339"/>
        <v>592</v>
      </c>
      <c r="M1146" s="33">
        <f t="shared" si="340"/>
        <v>592</v>
      </c>
      <c r="N1146" s="33">
        <f t="shared" si="341"/>
        <v>0</v>
      </c>
      <c r="Q1146">
        <v>1</v>
      </c>
      <c r="U1146" s="29">
        <f t="shared" si="342"/>
        <v>0</v>
      </c>
      <c r="V1146" s="29">
        <f t="shared" si="343"/>
        <v>0</v>
      </c>
      <c r="W1146" s="29">
        <f t="shared" si="344"/>
        <v>592</v>
      </c>
      <c r="X1146" s="29">
        <f t="shared" si="345"/>
        <v>0</v>
      </c>
      <c r="Y1146" s="29">
        <f t="shared" si="346"/>
        <v>0</v>
      </c>
      <c r="Z1146" s="29">
        <f t="shared" si="347"/>
        <v>0</v>
      </c>
    </row>
    <row r="1147" spans="1:26" x14ac:dyDescent="0.3">
      <c r="A1147" s="5" t="s">
        <v>2536</v>
      </c>
      <c r="B1147" s="5" t="s">
        <v>2537</v>
      </c>
      <c r="C1147" s="5">
        <v>500</v>
      </c>
      <c r="D1147" s="6">
        <v>592</v>
      </c>
      <c r="E1147" s="17">
        <f>VLOOKUP(A1147,'forecast data dump'!$A$1:$H$3450,4,FALSE)</f>
        <v>44810</v>
      </c>
      <c r="F1147" s="17">
        <f>VLOOKUP(A1147,'forecast data dump'!$A$1:$H$3450,5,FALSE)</f>
        <v>44811</v>
      </c>
      <c r="G1147" s="42">
        <f>VLOOKUP(A1147,'forecast data dump'!$A$1:$H$3450,8,FALSE)</f>
        <v>0</v>
      </c>
      <c r="H1147" s="5" t="s">
        <v>3762</v>
      </c>
      <c r="I1147" s="39">
        <f t="shared" si="338"/>
        <v>500</v>
      </c>
      <c r="J1147" s="5"/>
      <c r="K1147" s="5"/>
      <c r="L1147" s="33">
        <f t="shared" si="339"/>
        <v>592</v>
      </c>
      <c r="M1147" s="33">
        <f t="shared" si="340"/>
        <v>592</v>
      </c>
      <c r="N1147" s="33">
        <f t="shared" si="341"/>
        <v>0</v>
      </c>
      <c r="Q1147">
        <v>1</v>
      </c>
      <c r="U1147" s="29">
        <f t="shared" si="342"/>
        <v>0</v>
      </c>
      <c r="V1147" s="29">
        <f t="shared" si="343"/>
        <v>0</v>
      </c>
      <c r="W1147" s="29">
        <f t="shared" si="344"/>
        <v>592</v>
      </c>
      <c r="X1147" s="29">
        <f t="shared" si="345"/>
        <v>0</v>
      </c>
      <c r="Y1147" s="29">
        <f t="shared" si="346"/>
        <v>0</v>
      </c>
      <c r="Z1147" s="29">
        <f t="shared" si="347"/>
        <v>0</v>
      </c>
    </row>
    <row r="1148" spans="1:26" x14ac:dyDescent="0.3">
      <c r="A1148" s="5" t="s">
        <v>2538</v>
      </c>
      <c r="B1148" s="5" t="s">
        <v>2539</v>
      </c>
      <c r="C1148" s="5">
        <v>500</v>
      </c>
      <c r="D1148" s="6">
        <v>592</v>
      </c>
      <c r="E1148" s="17">
        <f>VLOOKUP(A1148,'forecast data dump'!$A$1:$H$3450,4,FALSE)</f>
        <v>44812</v>
      </c>
      <c r="F1148" s="17">
        <f>VLOOKUP(A1148,'forecast data dump'!$A$1:$H$3450,5,FALSE)</f>
        <v>44816</v>
      </c>
      <c r="G1148" s="42">
        <f>VLOOKUP(A1148,'forecast data dump'!$A$1:$H$3450,8,FALSE)</f>
        <v>0</v>
      </c>
      <c r="H1148" s="5" t="s">
        <v>3762</v>
      </c>
      <c r="I1148" s="39">
        <f t="shared" si="338"/>
        <v>500</v>
      </c>
      <c r="J1148" s="5"/>
      <c r="K1148" s="5"/>
      <c r="L1148" s="33">
        <f t="shared" si="339"/>
        <v>592</v>
      </c>
      <c r="M1148" s="33">
        <f t="shared" si="340"/>
        <v>592</v>
      </c>
      <c r="N1148" s="33">
        <f t="shared" si="341"/>
        <v>0</v>
      </c>
      <c r="Q1148">
        <v>1</v>
      </c>
      <c r="U1148" s="29">
        <f t="shared" si="342"/>
        <v>0</v>
      </c>
      <c r="V1148" s="29">
        <f t="shared" si="343"/>
        <v>0</v>
      </c>
      <c r="W1148" s="29">
        <f t="shared" si="344"/>
        <v>592</v>
      </c>
      <c r="X1148" s="29">
        <f t="shared" si="345"/>
        <v>0</v>
      </c>
      <c r="Y1148" s="29">
        <f t="shared" si="346"/>
        <v>0</v>
      </c>
      <c r="Z1148" s="29">
        <f t="shared" si="347"/>
        <v>0</v>
      </c>
    </row>
    <row r="1149" spans="1:26" x14ac:dyDescent="0.3">
      <c r="A1149" s="5" t="s">
        <v>2540</v>
      </c>
      <c r="B1149" s="5" t="s">
        <v>2541</v>
      </c>
      <c r="C1149" s="5">
        <v>500</v>
      </c>
      <c r="D1149" s="6">
        <v>592</v>
      </c>
      <c r="E1149" s="17">
        <f>VLOOKUP(A1149,'forecast data dump'!$A$1:$H$3450,4,FALSE)</f>
        <v>44831</v>
      </c>
      <c r="F1149" s="17">
        <f>VLOOKUP(A1149,'forecast data dump'!$A$1:$H$3450,5,FALSE)</f>
        <v>44837</v>
      </c>
      <c r="G1149" s="42">
        <f>VLOOKUP(A1149,'forecast data dump'!$A$1:$H$3450,8,FALSE)</f>
        <v>0</v>
      </c>
      <c r="H1149" s="5" t="s">
        <v>3762</v>
      </c>
      <c r="I1149" s="39">
        <f t="shared" si="338"/>
        <v>500</v>
      </c>
      <c r="J1149" s="5"/>
      <c r="K1149" s="5"/>
      <c r="L1149" s="33">
        <f t="shared" si="339"/>
        <v>592</v>
      </c>
      <c r="M1149" s="33">
        <f t="shared" si="340"/>
        <v>592</v>
      </c>
      <c r="N1149" s="33">
        <f t="shared" si="341"/>
        <v>0</v>
      </c>
      <c r="Q1149">
        <v>1</v>
      </c>
      <c r="U1149" s="29">
        <f t="shared" si="342"/>
        <v>0</v>
      </c>
      <c r="V1149" s="29">
        <f t="shared" si="343"/>
        <v>0</v>
      </c>
      <c r="W1149" s="29">
        <f t="shared" si="344"/>
        <v>592</v>
      </c>
      <c r="X1149" s="29">
        <f t="shared" si="345"/>
        <v>0</v>
      </c>
      <c r="Y1149" s="29">
        <f t="shared" si="346"/>
        <v>0</v>
      </c>
      <c r="Z1149" s="29">
        <f t="shared" si="347"/>
        <v>0</v>
      </c>
    </row>
    <row r="1150" spans="1:26" x14ac:dyDescent="0.3">
      <c r="A1150" s="5" t="s">
        <v>2546</v>
      </c>
      <c r="B1150" s="5" t="s">
        <v>2547</v>
      </c>
      <c r="C1150" s="5">
        <v>16</v>
      </c>
      <c r="D1150" s="6">
        <v>2147</v>
      </c>
      <c r="E1150" s="17">
        <f>VLOOKUP(A1150,'forecast data dump'!$A$1:$H$3450,4,FALSE)</f>
        <v>44790</v>
      </c>
      <c r="F1150" s="17">
        <f>VLOOKUP(A1150,'forecast data dump'!$A$1:$H$3450,5,FALSE)</f>
        <v>44791</v>
      </c>
      <c r="G1150" s="42">
        <f>VLOOKUP(A1150,'forecast data dump'!$A$1:$H$3450,8,FALSE)</f>
        <v>0</v>
      </c>
      <c r="H1150" s="5" t="s">
        <v>3748</v>
      </c>
      <c r="I1150" s="39">
        <f t="shared" si="338"/>
        <v>16</v>
      </c>
      <c r="J1150" s="5"/>
      <c r="K1150" s="5"/>
      <c r="L1150" s="33">
        <f t="shared" si="339"/>
        <v>2147</v>
      </c>
      <c r="M1150" s="33">
        <f t="shared" si="340"/>
        <v>2147</v>
      </c>
      <c r="N1150" s="33">
        <f t="shared" si="341"/>
        <v>0</v>
      </c>
      <c r="T1150">
        <v>1</v>
      </c>
      <c r="U1150" s="29">
        <f t="shared" si="342"/>
        <v>0</v>
      </c>
      <c r="V1150" s="29">
        <f t="shared" si="343"/>
        <v>0</v>
      </c>
      <c r="W1150" s="29">
        <f t="shared" si="344"/>
        <v>0</v>
      </c>
      <c r="X1150" s="29">
        <f t="shared" si="345"/>
        <v>0</v>
      </c>
      <c r="Y1150" s="29">
        <f t="shared" si="346"/>
        <v>0</v>
      </c>
      <c r="Z1150" s="29">
        <f t="shared" si="347"/>
        <v>2147</v>
      </c>
    </row>
    <row r="1151" spans="1:26" x14ac:dyDescent="0.3">
      <c r="A1151" s="5" t="s">
        <v>2548</v>
      </c>
      <c r="B1151" s="5" t="s">
        <v>2549</v>
      </c>
      <c r="C1151" s="5">
        <v>40</v>
      </c>
      <c r="D1151" s="6">
        <v>4843</v>
      </c>
      <c r="E1151" s="17">
        <f>VLOOKUP(A1151,'forecast data dump'!$A$1:$H$3450,4,FALSE)</f>
        <v>44790</v>
      </c>
      <c r="F1151" s="17">
        <f>VLOOKUP(A1151,'forecast data dump'!$A$1:$H$3450,5,FALSE)</f>
        <v>44791</v>
      </c>
      <c r="G1151" s="42">
        <f>VLOOKUP(A1151,'forecast data dump'!$A$1:$H$3450,8,FALSE)</f>
        <v>0</v>
      </c>
      <c r="H1151" s="5" t="s">
        <v>3742</v>
      </c>
      <c r="I1151" s="39">
        <f t="shared" si="338"/>
        <v>40</v>
      </c>
      <c r="J1151" s="5"/>
      <c r="K1151" s="5"/>
      <c r="L1151" s="33">
        <f t="shared" si="339"/>
        <v>4843</v>
      </c>
      <c r="M1151" s="33">
        <f t="shared" si="340"/>
        <v>4843</v>
      </c>
      <c r="N1151" s="33">
        <f t="shared" si="341"/>
        <v>0</v>
      </c>
      <c r="T1151">
        <v>1</v>
      </c>
      <c r="U1151" s="29">
        <f t="shared" si="342"/>
        <v>0</v>
      </c>
      <c r="V1151" s="29">
        <f t="shared" si="343"/>
        <v>0</v>
      </c>
      <c r="W1151" s="29">
        <f t="shared" si="344"/>
        <v>0</v>
      </c>
      <c r="X1151" s="29">
        <f t="shared" si="345"/>
        <v>0</v>
      </c>
      <c r="Y1151" s="29">
        <f t="shared" si="346"/>
        <v>0</v>
      </c>
      <c r="Z1151" s="29">
        <f t="shared" si="347"/>
        <v>4843</v>
      </c>
    </row>
    <row r="1152" spans="1:26" x14ac:dyDescent="0.3">
      <c r="A1152" s="5" t="s">
        <v>2550</v>
      </c>
      <c r="B1152" s="5" t="s">
        <v>2551</v>
      </c>
      <c r="C1152" s="5">
        <v>40</v>
      </c>
      <c r="D1152" s="6">
        <v>5369</v>
      </c>
      <c r="E1152" s="17">
        <f>VLOOKUP(A1152,'forecast data dump'!$A$1:$H$3450,4,FALSE)</f>
        <v>44790</v>
      </c>
      <c r="F1152" s="17">
        <f>VLOOKUP(A1152,'forecast data dump'!$A$1:$H$3450,5,FALSE)</f>
        <v>44791</v>
      </c>
      <c r="G1152" s="42">
        <f>VLOOKUP(A1152,'forecast data dump'!$A$1:$H$3450,8,FALSE)</f>
        <v>0</v>
      </c>
      <c r="H1152" s="5" t="s">
        <v>3748</v>
      </c>
      <c r="I1152" s="39">
        <f t="shared" si="338"/>
        <v>40</v>
      </c>
      <c r="J1152" s="5"/>
      <c r="K1152" s="5"/>
      <c r="L1152" s="33">
        <f t="shared" si="339"/>
        <v>5369</v>
      </c>
      <c r="M1152" s="33">
        <f t="shared" si="340"/>
        <v>5369</v>
      </c>
      <c r="N1152" s="33">
        <f t="shared" si="341"/>
        <v>0</v>
      </c>
      <c r="T1152">
        <v>1</v>
      </c>
      <c r="U1152" s="29">
        <f t="shared" si="342"/>
        <v>0</v>
      </c>
      <c r="V1152" s="29">
        <f t="shared" si="343"/>
        <v>0</v>
      </c>
      <c r="W1152" s="29">
        <f t="shared" si="344"/>
        <v>0</v>
      </c>
      <c r="X1152" s="29">
        <f t="shared" si="345"/>
        <v>0</v>
      </c>
      <c r="Y1152" s="29">
        <f t="shared" si="346"/>
        <v>0</v>
      </c>
      <c r="Z1152" s="29">
        <f t="shared" si="347"/>
        <v>5369</v>
      </c>
    </row>
    <row r="1153" spans="1:26" x14ac:dyDescent="0.3">
      <c r="A1153" s="5" t="s">
        <v>2552</v>
      </c>
      <c r="B1153" s="5" t="s">
        <v>2553</v>
      </c>
      <c r="C1153" s="5">
        <v>40</v>
      </c>
      <c r="D1153" s="6">
        <v>4843</v>
      </c>
      <c r="E1153" s="17">
        <f>VLOOKUP(A1153,'forecast data dump'!$A$1:$H$3450,4,FALSE)</f>
        <v>44790</v>
      </c>
      <c r="F1153" s="17">
        <f>VLOOKUP(A1153,'forecast data dump'!$A$1:$H$3450,5,FALSE)</f>
        <v>44791</v>
      </c>
      <c r="G1153" s="42">
        <f>VLOOKUP(A1153,'forecast data dump'!$A$1:$H$3450,8,FALSE)</f>
        <v>0</v>
      </c>
      <c r="H1153" s="5" t="s">
        <v>3742</v>
      </c>
      <c r="I1153" s="39">
        <f t="shared" si="338"/>
        <v>40</v>
      </c>
      <c r="J1153" s="5"/>
      <c r="K1153" s="5"/>
      <c r="L1153" s="33">
        <f t="shared" si="339"/>
        <v>4843</v>
      </c>
      <c r="M1153" s="33">
        <f t="shared" si="340"/>
        <v>4843</v>
      </c>
      <c r="N1153" s="33">
        <f t="shared" si="341"/>
        <v>0</v>
      </c>
      <c r="T1153">
        <v>1</v>
      </c>
      <c r="U1153" s="29">
        <f t="shared" si="342"/>
        <v>0</v>
      </c>
      <c r="V1153" s="29">
        <f t="shared" si="343"/>
        <v>0</v>
      </c>
      <c r="W1153" s="29">
        <f t="shared" si="344"/>
        <v>0</v>
      </c>
      <c r="X1153" s="29">
        <f t="shared" si="345"/>
        <v>0</v>
      </c>
      <c r="Y1153" s="29">
        <f t="shared" si="346"/>
        <v>0</v>
      </c>
      <c r="Z1153" s="29">
        <f t="shared" si="347"/>
        <v>4843</v>
      </c>
    </row>
    <row r="1154" spans="1:26" x14ac:dyDescent="0.3">
      <c r="A1154" s="5" t="s">
        <v>2554</v>
      </c>
      <c r="B1154" s="5" t="s">
        <v>2555</v>
      </c>
      <c r="C1154" s="5">
        <v>80</v>
      </c>
      <c r="D1154" s="6">
        <v>10737</v>
      </c>
      <c r="E1154" s="17">
        <f>VLOOKUP(A1154,'forecast data dump'!$A$1:$H$3450,4,FALSE)</f>
        <v>44792</v>
      </c>
      <c r="F1154" s="17">
        <f>VLOOKUP(A1154,'forecast data dump'!$A$1:$H$3450,5,FALSE)</f>
        <v>44799</v>
      </c>
      <c r="G1154" s="42">
        <f>VLOOKUP(A1154,'forecast data dump'!$A$1:$H$3450,8,FALSE)</f>
        <v>0</v>
      </c>
      <c r="H1154" s="5" t="s">
        <v>3749</v>
      </c>
      <c r="I1154" s="39">
        <f t="shared" si="338"/>
        <v>80</v>
      </c>
      <c r="J1154" s="5"/>
      <c r="K1154" s="5"/>
      <c r="L1154" s="33">
        <f t="shared" si="339"/>
        <v>10737</v>
      </c>
      <c r="M1154" s="33">
        <f t="shared" si="340"/>
        <v>10737</v>
      </c>
      <c r="N1154" s="33">
        <f t="shared" si="341"/>
        <v>0</v>
      </c>
      <c r="T1154">
        <v>1</v>
      </c>
      <c r="U1154" s="29">
        <f t="shared" si="342"/>
        <v>0</v>
      </c>
      <c r="V1154" s="29">
        <f t="shared" si="343"/>
        <v>0</v>
      </c>
      <c r="W1154" s="29">
        <f t="shared" si="344"/>
        <v>0</v>
      </c>
      <c r="X1154" s="29">
        <f t="shared" si="345"/>
        <v>0</v>
      </c>
      <c r="Y1154" s="29">
        <f t="shared" si="346"/>
        <v>0</v>
      </c>
      <c r="Z1154" s="29">
        <f t="shared" si="347"/>
        <v>10737</v>
      </c>
    </row>
    <row r="1155" spans="1:26" x14ac:dyDescent="0.3">
      <c r="A1155" s="5" t="s">
        <v>2554</v>
      </c>
      <c r="B1155" s="5" t="s">
        <v>2555</v>
      </c>
      <c r="C1155" s="5">
        <v>80</v>
      </c>
      <c r="D1155" s="6">
        <v>9686</v>
      </c>
      <c r="E1155" s="17">
        <f>VLOOKUP(A1155,'forecast data dump'!$A$1:$H$3450,4,FALSE)</f>
        <v>44792</v>
      </c>
      <c r="F1155" s="17">
        <f>VLOOKUP(A1155,'forecast data dump'!$A$1:$H$3450,5,FALSE)</f>
        <v>44799</v>
      </c>
      <c r="G1155" s="42">
        <f>VLOOKUP(A1155,'forecast data dump'!$A$1:$H$3450,8,FALSE)</f>
        <v>0</v>
      </c>
      <c r="H1155" s="5" t="s">
        <v>3741</v>
      </c>
      <c r="I1155" s="39">
        <f t="shared" si="338"/>
        <v>80</v>
      </c>
      <c r="J1155" s="5"/>
      <c r="K1155" s="5"/>
      <c r="L1155" s="33">
        <f t="shared" si="339"/>
        <v>9686</v>
      </c>
      <c r="M1155" s="33">
        <f t="shared" si="340"/>
        <v>9686</v>
      </c>
      <c r="N1155" s="33">
        <f t="shared" si="341"/>
        <v>0</v>
      </c>
      <c r="T1155">
        <v>1</v>
      </c>
      <c r="U1155" s="29">
        <f t="shared" si="342"/>
        <v>0</v>
      </c>
      <c r="V1155" s="29">
        <f t="shared" si="343"/>
        <v>0</v>
      </c>
      <c r="W1155" s="29">
        <f t="shared" si="344"/>
        <v>0</v>
      </c>
      <c r="X1155" s="29">
        <f t="shared" si="345"/>
        <v>0</v>
      </c>
      <c r="Y1155" s="29">
        <f t="shared" si="346"/>
        <v>0</v>
      </c>
      <c r="Z1155" s="29">
        <f t="shared" si="347"/>
        <v>9686</v>
      </c>
    </row>
    <row r="1156" spans="1:26" x14ac:dyDescent="0.3">
      <c r="A1156" s="5" t="s">
        <v>2556</v>
      </c>
      <c r="B1156" s="5" t="s">
        <v>2557</v>
      </c>
      <c r="C1156" s="5">
        <v>80</v>
      </c>
      <c r="D1156" s="6">
        <v>9686</v>
      </c>
      <c r="E1156" s="17">
        <f>VLOOKUP(A1156,'forecast data dump'!$A$1:$H$3450,4,FALSE)</f>
        <v>44802</v>
      </c>
      <c r="F1156" s="17">
        <f>VLOOKUP(A1156,'forecast data dump'!$A$1:$H$3450,5,FALSE)</f>
        <v>44806</v>
      </c>
      <c r="G1156" s="42">
        <f>VLOOKUP(A1156,'forecast data dump'!$A$1:$H$3450,8,FALSE)</f>
        <v>0</v>
      </c>
      <c r="H1156" s="5" t="s">
        <v>3741</v>
      </c>
      <c r="I1156" s="39">
        <f t="shared" si="338"/>
        <v>80</v>
      </c>
      <c r="J1156" s="5"/>
      <c r="K1156" s="5"/>
      <c r="L1156" s="33">
        <f t="shared" si="339"/>
        <v>9686</v>
      </c>
      <c r="M1156" s="33">
        <f t="shared" si="340"/>
        <v>9686</v>
      </c>
      <c r="N1156" s="33">
        <f t="shared" si="341"/>
        <v>0</v>
      </c>
      <c r="T1156">
        <v>1</v>
      </c>
      <c r="U1156" s="29">
        <f t="shared" si="342"/>
        <v>0</v>
      </c>
      <c r="V1156" s="29">
        <f t="shared" si="343"/>
        <v>0</v>
      </c>
      <c r="W1156" s="29">
        <f t="shared" si="344"/>
        <v>0</v>
      </c>
      <c r="X1156" s="29">
        <f t="shared" si="345"/>
        <v>0</v>
      </c>
      <c r="Y1156" s="29">
        <f t="shared" si="346"/>
        <v>0</v>
      </c>
      <c r="Z1156" s="29">
        <f t="shared" si="347"/>
        <v>9686</v>
      </c>
    </row>
    <row r="1157" spans="1:26" x14ac:dyDescent="0.3">
      <c r="A1157" s="5" t="s">
        <v>2556</v>
      </c>
      <c r="B1157" s="5" t="s">
        <v>2557</v>
      </c>
      <c r="C1157" s="5">
        <v>80</v>
      </c>
      <c r="D1157" s="6">
        <v>10737</v>
      </c>
      <c r="E1157" s="17">
        <f>VLOOKUP(A1157,'forecast data dump'!$A$1:$H$3450,4,FALSE)</f>
        <v>44802</v>
      </c>
      <c r="F1157" s="17">
        <f>VLOOKUP(A1157,'forecast data dump'!$A$1:$H$3450,5,FALSE)</f>
        <v>44806</v>
      </c>
      <c r="G1157" s="42">
        <f>VLOOKUP(A1157,'forecast data dump'!$A$1:$H$3450,8,FALSE)</f>
        <v>0</v>
      </c>
      <c r="H1157" s="5" t="s">
        <v>3749</v>
      </c>
      <c r="I1157" s="39">
        <f t="shared" si="338"/>
        <v>80</v>
      </c>
      <c r="J1157" s="5"/>
      <c r="K1157" s="5"/>
      <c r="L1157" s="33">
        <f t="shared" si="339"/>
        <v>10737</v>
      </c>
      <c r="M1157" s="33">
        <f t="shared" si="340"/>
        <v>10737</v>
      </c>
      <c r="N1157" s="33">
        <f t="shared" si="341"/>
        <v>0</v>
      </c>
      <c r="T1157">
        <v>1</v>
      </c>
      <c r="U1157" s="29">
        <f t="shared" si="342"/>
        <v>0</v>
      </c>
      <c r="V1157" s="29">
        <f t="shared" si="343"/>
        <v>0</v>
      </c>
      <c r="W1157" s="29">
        <f t="shared" si="344"/>
        <v>0</v>
      </c>
      <c r="X1157" s="29">
        <f t="shared" si="345"/>
        <v>0</v>
      </c>
      <c r="Y1157" s="29">
        <f t="shared" si="346"/>
        <v>0</v>
      </c>
      <c r="Z1157" s="29">
        <f t="shared" si="347"/>
        <v>10737</v>
      </c>
    </row>
    <row r="1158" spans="1:26" x14ac:dyDescent="0.3">
      <c r="A1158" s="5" t="s">
        <v>2564</v>
      </c>
      <c r="B1158" s="5" t="s">
        <v>2565</v>
      </c>
      <c r="C1158" s="5">
        <v>80</v>
      </c>
      <c r="D1158" s="6">
        <v>10615</v>
      </c>
      <c r="E1158" s="17">
        <f>VLOOKUP(A1158,'forecast data dump'!$A$1:$H$3450,4,FALSE)</f>
        <v>44810</v>
      </c>
      <c r="F1158" s="17">
        <f>VLOOKUP(A1158,'forecast data dump'!$A$1:$H$3450,5,FALSE)</f>
        <v>44811</v>
      </c>
      <c r="G1158" s="42">
        <f>VLOOKUP(A1158,'forecast data dump'!$A$1:$H$3450,8,FALSE)</f>
        <v>0</v>
      </c>
      <c r="H1158" s="5" t="s">
        <v>3752</v>
      </c>
      <c r="I1158" s="39">
        <f t="shared" si="338"/>
        <v>80</v>
      </c>
      <c r="J1158" s="5"/>
      <c r="K1158" s="5"/>
      <c r="L1158" s="33">
        <f t="shared" si="339"/>
        <v>10615</v>
      </c>
      <c r="M1158" s="33">
        <f t="shared" si="340"/>
        <v>10615</v>
      </c>
      <c r="N1158" s="33">
        <f t="shared" si="341"/>
        <v>0</v>
      </c>
      <c r="T1158">
        <v>1</v>
      </c>
      <c r="U1158" s="29">
        <f t="shared" si="342"/>
        <v>0</v>
      </c>
      <c r="V1158" s="29">
        <f t="shared" si="343"/>
        <v>0</v>
      </c>
      <c r="W1158" s="29">
        <f t="shared" si="344"/>
        <v>0</v>
      </c>
      <c r="X1158" s="29">
        <f t="shared" si="345"/>
        <v>0</v>
      </c>
      <c r="Y1158" s="29">
        <f t="shared" si="346"/>
        <v>0</v>
      </c>
      <c r="Z1158" s="29">
        <f t="shared" si="347"/>
        <v>10615</v>
      </c>
    </row>
    <row r="1159" spans="1:26" x14ac:dyDescent="0.3">
      <c r="A1159" s="5" t="s">
        <v>2564</v>
      </c>
      <c r="B1159" s="5" t="s">
        <v>2565</v>
      </c>
      <c r="C1159" s="5">
        <v>60</v>
      </c>
      <c r="D1159" s="6">
        <v>7264</v>
      </c>
      <c r="E1159" s="17">
        <f>VLOOKUP(A1159,'forecast data dump'!$A$1:$H$3450,4,FALSE)</f>
        <v>44810</v>
      </c>
      <c r="F1159" s="17">
        <f>VLOOKUP(A1159,'forecast data dump'!$A$1:$H$3450,5,FALSE)</f>
        <v>44811</v>
      </c>
      <c r="G1159" s="42">
        <f>VLOOKUP(A1159,'forecast data dump'!$A$1:$H$3450,8,FALSE)</f>
        <v>0</v>
      </c>
      <c r="H1159" s="5" t="s">
        <v>3759</v>
      </c>
      <c r="I1159" s="39">
        <f t="shared" si="338"/>
        <v>60</v>
      </c>
      <c r="J1159" s="5"/>
      <c r="K1159" s="5"/>
      <c r="L1159" s="33">
        <f t="shared" si="339"/>
        <v>7264</v>
      </c>
      <c r="M1159" s="33">
        <f t="shared" si="340"/>
        <v>7264</v>
      </c>
      <c r="N1159" s="33">
        <f t="shared" si="341"/>
        <v>0</v>
      </c>
      <c r="T1159">
        <v>1</v>
      </c>
      <c r="U1159" s="29">
        <f t="shared" si="342"/>
        <v>0</v>
      </c>
      <c r="V1159" s="29">
        <f t="shared" si="343"/>
        <v>0</v>
      </c>
      <c r="W1159" s="29">
        <f t="shared" si="344"/>
        <v>0</v>
      </c>
      <c r="X1159" s="29">
        <f t="shared" si="345"/>
        <v>0</v>
      </c>
      <c r="Y1159" s="29">
        <f t="shared" si="346"/>
        <v>0</v>
      </c>
      <c r="Z1159" s="29">
        <f t="shared" si="347"/>
        <v>7264</v>
      </c>
    </row>
    <row r="1160" spans="1:26" x14ac:dyDescent="0.3">
      <c r="A1160" s="3" t="s">
        <v>7900</v>
      </c>
      <c r="B1160" s="3"/>
      <c r="C1160" s="3"/>
      <c r="D1160" s="4"/>
      <c r="E1160" s="15"/>
      <c r="F1160" s="15"/>
      <c r="G1160" s="41"/>
      <c r="H1160" s="3"/>
      <c r="I1160" s="38"/>
      <c r="J1160" s="3"/>
      <c r="K1160" s="3"/>
      <c r="L1160" s="32"/>
      <c r="M1160" s="32"/>
      <c r="N1160" s="32"/>
      <c r="U1160" s="29"/>
      <c r="V1160" s="29"/>
      <c r="W1160" s="29"/>
      <c r="X1160" s="29"/>
      <c r="Y1160" s="29"/>
      <c r="Z1160" s="29"/>
    </row>
    <row r="1161" spans="1:26" x14ac:dyDescent="0.3">
      <c r="A1161" s="5" t="s">
        <v>2192</v>
      </c>
      <c r="B1161" s="5" t="s">
        <v>2193</v>
      </c>
      <c r="C1161" s="5">
        <v>16</v>
      </c>
      <c r="D1161" s="6">
        <v>2427</v>
      </c>
      <c r="E1161" s="17" t="str">
        <f>VLOOKUP(A1161,'forecast data dump'!$A$1:$H$3450,4,FALSE)</f>
        <v>13-May-20 A</v>
      </c>
      <c r="F1161" s="17">
        <f>VLOOKUP(A1161,'forecast data dump'!$A$1:$H$3450,5,FALSE)</f>
        <v>44407</v>
      </c>
      <c r="G1161" s="42">
        <f>VLOOKUP(A1161,'forecast data dump'!$A$1:$H$3450,8,FALSE)</f>
        <v>0.75</v>
      </c>
      <c r="H1161" s="5" t="s">
        <v>3733</v>
      </c>
      <c r="I1161" s="39">
        <f t="shared" ref="I1161:I1212" si="348">C1161*(1-G1161)</f>
        <v>4</v>
      </c>
      <c r="J1161" s="5"/>
      <c r="K1161" s="5"/>
      <c r="L1161" s="33">
        <f t="shared" ref="L1161:L1212" si="349">D1161*(1-G1161)</f>
        <v>606.75</v>
      </c>
      <c r="M1161" s="33">
        <f t="shared" ref="M1161:M1212" si="350">IF(J1161="",L1161,(D1161/C1161)*J1161)</f>
        <v>606.75</v>
      </c>
      <c r="N1161" s="33">
        <f t="shared" ref="N1161:N1212" si="351">L1161-M1161</f>
        <v>0</v>
      </c>
      <c r="R1161">
        <v>1</v>
      </c>
      <c r="U1161" s="29">
        <f t="shared" si="342"/>
        <v>0</v>
      </c>
      <c r="V1161" s="29">
        <f t="shared" si="343"/>
        <v>0</v>
      </c>
      <c r="W1161" s="29">
        <f t="shared" si="344"/>
        <v>0</v>
      </c>
      <c r="X1161" s="29">
        <f t="shared" si="345"/>
        <v>606.75</v>
      </c>
      <c r="Y1161" s="29">
        <f t="shared" si="346"/>
        <v>0</v>
      </c>
      <c r="Z1161" s="29">
        <f t="shared" si="347"/>
        <v>0</v>
      </c>
    </row>
    <row r="1162" spans="1:26" x14ac:dyDescent="0.3">
      <c r="A1162" s="5" t="s">
        <v>2192</v>
      </c>
      <c r="B1162" s="5" t="s">
        <v>2193</v>
      </c>
      <c r="C1162" s="5">
        <v>30</v>
      </c>
      <c r="D1162" s="6">
        <v>3526</v>
      </c>
      <c r="E1162" s="17" t="str">
        <f>VLOOKUP(A1162,'forecast data dump'!$A$1:$H$3450,4,FALSE)</f>
        <v>13-May-20 A</v>
      </c>
      <c r="F1162" s="17">
        <f>VLOOKUP(A1162,'forecast data dump'!$A$1:$H$3450,5,FALSE)</f>
        <v>44407</v>
      </c>
      <c r="G1162" s="42">
        <f>VLOOKUP(A1162,'forecast data dump'!$A$1:$H$3450,8,FALSE)</f>
        <v>0.75</v>
      </c>
      <c r="H1162" s="5" t="s">
        <v>3745</v>
      </c>
      <c r="I1162" s="39">
        <f t="shared" si="348"/>
        <v>7.5</v>
      </c>
      <c r="J1162" s="5"/>
      <c r="K1162" s="5"/>
      <c r="L1162" s="33">
        <f t="shared" si="349"/>
        <v>881.5</v>
      </c>
      <c r="M1162" s="33">
        <f t="shared" si="350"/>
        <v>881.5</v>
      </c>
      <c r="N1162" s="33">
        <f t="shared" si="351"/>
        <v>0</v>
      </c>
      <c r="R1162">
        <v>1</v>
      </c>
      <c r="U1162" s="29">
        <f t="shared" si="342"/>
        <v>0</v>
      </c>
      <c r="V1162" s="29">
        <f t="shared" si="343"/>
        <v>0</v>
      </c>
      <c r="W1162" s="29">
        <f t="shared" si="344"/>
        <v>0</v>
      </c>
      <c r="X1162" s="29">
        <f t="shared" si="345"/>
        <v>881.5</v>
      </c>
      <c r="Y1162" s="29">
        <f t="shared" si="346"/>
        <v>0</v>
      </c>
      <c r="Z1162" s="29">
        <f t="shared" si="347"/>
        <v>0</v>
      </c>
    </row>
    <row r="1163" spans="1:26" x14ac:dyDescent="0.3">
      <c r="A1163" s="5" t="s">
        <v>2194</v>
      </c>
      <c r="B1163" s="5" t="s">
        <v>2195</v>
      </c>
      <c r="C1163" s="5">
        <v>30</v>
      </c>
      <c r="D1163" s="6">
        <v>4550</v>
      </c>
      <c r="E1163" s="17">
        <f>VLOOKUP(A1163,'forecast data dump'!$A$1:$H$3450,4,FALSE)</f>
        <v>44410</v>
      </c>
      <c r="F1163" s="17">
        <f>VLOOKUP(A1163,'forecast data dump'!$A$1:$H$3450,5,FALSE)</f>
        <v>44495</v>
      </c>
      <c r="G1163" s="42">
        <f>VLOOKUP(A1163,'forecast data dump'!$A$1:$H$3450,8,FALSE)</f>
        <v>0</v>
      </c>
      <c r="H1163" s="5" t="s">
        <v>3733</v>
      </c>
      <c r="I1163" s="39">
        <f t="shared" si="348"/>
        <v>30</v>
      </c>
      <c r="J1163" s="5"/>
      <c r="K1163" s="5"/>
      <c r="L1163" s="33">
        <f t="shared" si="349"/>
        <v>4550</v>
      </c>
      <c r="M1163" s="33">
        <f t="shared" si="350"/>
        <v>4550</v>
      </c>
      <c r="N1163" s="33">
        <f t="shared" si="351"/>
        <v>0</v>
      </c>
      <c r="T1163">
        <v>1</v>
      </c>
      <c r="U1163" s="29">
        <f t="shared" si="342"/>
        <v>0</v>
      </c>
      <c r="V1163" s="29">
        <f t="shared" si="343"/>
        <v>0</v>
      </c>
      <c r="W1163" s="29">
        <f t="shared" si="344"/>
        <v>0</v>
      </c>
      <c r="X1163" s="29">
        <f t="shared" si="345"/>
        <v>0</v>
      </c>
      <c r="Y1163" s="29">
        <f t="shared" si="346"/>
        <v>0</v>
      </c>
      <c r="Z1163" s="29">
        <f t="shared" si="347"/>
        <v>4550</v>
      </c>
    </row>
    <row r="1164" spans="1:26" x14ac:dyDescent="0.3">
      <c r="A1164" s="5" t="s">
        <v>2194</v>
      </c>
      <c r="B1164" s="5" t="s">
        <v>2195</v>
      </c>
      <c r="C1164" s="5">
        <v>10</v>
      </c>
      <c r="D1164" s="6">
        <v>1175</v>
      </c>
      <c r="E1164" s="17">
        <f>VLOOKUP(A1164,'forecast data dump'!$A$1:$H$3450,4,FALSE)</f>
        <v>44410</v>
      </c>
      <c r="F1164" s="17">
        <f>VLOOKUP(A1164,'forecast data dump'!$A$1:$H$3450,5,FALSE)</f>
        <v>44495</v>
      </c>
      <c r="G1164" s="42">
        <f>VLOOKUP(A1164,'forecast data dump'!$A$1:$H$3450,8,FALSE)</f>
        <v>0</v>
      </c>
      <c r="H1164" s="5" t="s">
        <v>3745</v>
      </c>
      <c r="I1164" s="39">
        <f t="shared" si="348"/>
        <v>10</v>
      </c>
      <c r="J1164" s="5"/>
      <c r="K1164" s="5"/>
      <c r="L1164" s="33">
        <f t="shared" si="349"/>
        <v>1175</v>
      </c>
      <c r="M1164" s="33">
        <f t="shared" si="350"/>
        <v>1175</v>
      </c>
      <c r="N1164" s="33">
        <f t="shared" si="351"/>
        <v>0</v>
      </c>
      <c r="T1164">
        <v>1</v>
      </c>
      <c r="U1164" s="29">
        <f t="shared" si="342"/>
        <v>0</v>
      </c>
      <c r="V1164" s="29">
        <f t="shared" si="343"/>
        <v>0</v>
      </c>
      <c r="W1164" s="29">
        <f t="shared" si="344"/>
        <v>0</v>
      </c>
      <c r="X1164" s="29">
        <f t="shared" si="345"/>
        <v>0</v>
      </c>
      <c r="Y1164" s="29">
        <f t="shared" si="346"/>
        <v>0</v>
      </c>
      <c r="Z1164" s="29">
        <f t="shared" si="347"/>
        <v>1175</v>
      </c>
    </row>
    <row r="1165" spans="1:26" x14ac:dyDescent="0.3">
      <c r="A1165" s="5" t="s">
        <v>2194</v>
      </c>
      <c r="B1165" s="5" t="s">
        <v>2195</v>
      </c>
      <c r="C1165" s="5">
        <v>10</v>
      </c>
      <c r="D1165" s="6">
        <v>1175</v>
      </c>
      <c r="E1165" s="17">
        <f>VLOOKUP(A1165,'forecast data dump'!$A$1:$H$3450,4,FALSE)</f>
        <v>44410</v>
      </c>
      <c r="F1165" s="17">
        <f>VLOOKUP(A1165,'forecast data dump'!$A$1:$H$3450,5,FALSE)</f>
        <v>44495</v>
      </c>
      <c r="G1165" s="42">
        <f>VLOOKUP(A1165,'forecast data dump'!$A$1:$H$3450,8,FALSE)</f>
        <v>0</v>
      </c>
      <c r="H1165" s="5" t="s">
        <v>3741</v>
      </c>
      <c r="I1165" s="39">
        <f t="shared" si="348"/>
        <v>10</v>
      </c>
      <c r="J1165" s="5"/>
      <c r="K1165" s="5"/>
      <c r="L1165" s="33">
        <f t="shared" si="349"/>
        <v>1175</v>
      </c>
      <c r="M1165" s="33">
        <f t="shared" si="350"/>
        <v>1175</v>
      </c>
      <c r="N1165" s="33">
        <f t="shared" si="351"/>
        <v>0</v>
      </c>
      <c r="T1165">
        <v>1</v>
      </c>
      <c r="U1165" s="29">
        <f t="shared" si="342"/>
        <v>0</v>
      </c>
      <c r="V1165" s="29">
        <f t="shared" si="343"/>
        <v>0</v>
      </c>
      <c r="W1165" s="29">
        <f t="shared" si="344"/>
        <v>0</v>
      </c>
      <c r="X1165" s="29">
        <f t="shared" si="345"/>
        <v>0</v>
      </c>
      <c r="Y1165" s="29">
        <f t="shared" si="346"/>
        <v>0</v>
      </c>
      <c r="Z1165" s="29">
        <f t="shared" si="347"/>
        <v>1175</v>
      </c>
    </row>
    <row r="1166" spans="1:26" x14ac:dyDescent="0.3">
      <c r="A1166" s="5" t="s">
        <v>2196</v>
      </c>
      <c r="B1166" s="5" t="s">
        <v>2197</v>
      </c>
      <c r="C1166" s="5">
        <v>40</v>
      </c>
      <c r="D1166" s="6">
        <v>6067</v>
      </c>
      <c r="E1166" s="17" t="str">
        <f>VLOOKUP(A1166,'forecast data dump'!$A$1:$H$3450,4,FALSE)</f>
        <v>29-Apr-21 A</v>
      </c>
      <c r="F1166" s="17">
        <f>VLOOKUP(A1166,'forecast data dump'!$A$1:$H$3450,5,FALSE)</f>
        <v>44512</v>
      </c>
      <c r="G1166" s="42">
        <v>0.5</v>
      </c>
      <c r="H1166" s="5" t="s">
        <v>3733</v>
      </c>
      <c r="I1166" s="39">
        <f t="shared" si="348"/>
        <v>20</v>
      </c>
      <c r="J1166" s="5"/>
      <c r="K1166" s="5"/>
      <c r="L1166" s="33">
        <f t="shared" si="349"/>
        <v>3033.5</v>
      </c>
      <c r="M1166" s="33">
        <f t="shared" si="350"/>
        <v>3033.5</v>
      </c>
      <c r="N1166" s="33">
        <f t="shared" si="351"/>
        <v>0</v>
      </c>
      <c r="R1166">
        <v>1</v>
      </c>
      <c r="U1166" s="29">
        <f t="shared" si="342"/>
        <v>0</v>
      </c>
      <c r="V1166" s="29">
        <f t="shared" si="343"/>
        <v>0</v>
      </c>
      <c r="W1166" s="29">
        <f t="shared" si="344"/>
        <v>0</v>
      </c>
      <c r="X1166" s="29">
        <f t="shared" si="345"/>
        <v>3033.5</v>
      </c>
      <c r="Y1166" s="29">
        <f t="shared" si="346"/>
        <v>0</v>
      </c>
      <c r="Z1166" s="29">
        <f t="shared" si="347"/>
        <v>0</v>
      </c>
    </row>
    <row r="1167" spans="1:26" x14ac:dyDescent="0.3">
      <c r="A1167" s="5" t="s">
        <v>2196</v>
      </c>
      <c r="B1167" s="5" t="s">
        <v>2197</v>
      </c>
      <c r="C1167" s="5">
        <v>20</v>
      </c>
      <c r="D1167" s="6">
        <v>2351</v>
      </c>
      <c r="E1167" s="17" t="str">
        <f>VLOOKUP(A1167,'forecast data dump'!$A$1:$H$3450,4,FALSE)</f>
        <v>29-Apr-21 A</v>
      </c>
      <c r="F1167" s="17">
        <f>VLOOKUP(A1167,'forecast data dump'!$A$1:$H$3450,5,FALSE)</f>
        <v>44512</v>
      </c>
      <c r="G1167" s="42">
        <v>0.5</v>
      </c>
      <c r="H1167" s="5" t="s">
        <v>3745</v>
      </c>
      <c r="I1167" s="39">
        <f t="shared" si="348"/>
        <v>10</v>
      </c>
      <c r="J1167" s="5"/>
      <c r="K1167" s="5"/>
      <c r="L1167" s="33">
        <f t="shared" si="349"/>
        <v>1175.5</v>
      </c>
      <c r="M1167" s="33">
        <f t="shared" si="350"/>
        <v>1175.5</v>
      </c>
      <c r="N1167" s="33">
        <f t="shared" si="351"/>
        <v>0</v>
      </c>
      <c r="R1167">
        <v>1</v>
      </c>
      <c r="U1167" s="29">
        <f t="shared" si="342"/>
        <v>0</v>
      </c>
      <c r="V1167" s="29">
        <f t="shared" si="343"/>
        <v>0</v>
      </c>
      <c r="W1167" s="29">
        <f t="shared" si="344"/>
        <v>0</v>
      </c>
      <c r="X1167" s="29">
        <f t="shared" si="345"/>
        <v>1175.5</v>
      </c>
      <c r="Y1167" s="29">
        <f t="shared" si="346"/>
        <v>0</v>
      </c>
      <c r="Z1167" s="29">
        <f t="shared" si="347"/>
        <v>0</v>
      </c>
    </row>
    <row r="1168" spans="1:26" x14ac:dyDescent="0.3">
      <c r="A1168" s="5" t="s">
        <v>2198</v>
      </c>
      <c r="B1168" s="5" t="s">
        <v>2199</v>
      </c>
      <c r="C1168" s="5">
        <v>8</v>
      </c>
      <c r="D1168" s="6">
        <v>1213</v>
      </c>
      <c r="E1168" s="17">
        <f>VLOOKUP(A1168,'forecast data dump'!$A$1:$H$3450,4,FALSE)</f>
        <v>44515</v>
      </c>
      <c r="F1168" s="17">
        <f>VLOOKUP(A1168,'forecast data dump'!$A$1:$H$3450,5,FALSE)</f>
        <v>44530</v>
      </c>
      <c r="G1168" s="42">
        <f>VLOOKUP(A1168,'forecast data dump'!$A$1:$H$3450,8,FALSE)</f>
        <v>0</v>
      </c>
      <c r="H1168" s="5" t="s">
        <v>3733</v>
      </c>
      <c r="I1168" s="39">
        <f t="shared" si="348"/>
        <v>8</v>
      </c>
      <c r="J1168" s="5"/>
      <c r="K1168" s="5"/>
      <c r="L1168" s="33">
        <f t="shared" si="349"/>
        <v>1213</v>
      </c>
      <c r="M1168" s="33">
        <f t="shared" si="350"/>
        <v>1213</v>
      </c>
      <c r="N1168" s="33">
        <f t="shared" si="351"/>
        <v>0</v>
      </c>
      <c r="T1168">
        <v>1</v>
      </c>
      <c r="U1168" s="29">
        <f t="shared" si="342"/>
        <v>0</v>
      </c>
      <c r="V1168" s="29">
        <f t="shared" si="343"/>
        <v>0</v>
      </c>
      <c r="W1168" s="29">
        <f t="shared" si="344"/>
        <v>0</v>
      </c>
      <c r="X1168" s="29">
        <f t="shared" si="345"/>
        <v>0</v>
      </c>
      <c r="Y1168" s="29">
        <f t="shared" si="346"/>
        <v>0</v>
      </c>
      <c r="Z1168" s="29">
        <f t="shared" si="347"/>
        <v>1213</v>
      </c>
    </row>
    <row r="1169" spans="1:26" x14ac:dyDescent="0.3">
      <c r="A1169" s="5" t="s">
        <v>2198</v>
      </c>
      <c r="B1169" s="5" t="s">
        <v>2199</v>
      </c>
      <c r="C1169" s="5">
        <v>8</v>
      </c>
      <c r="D1169" s="6">
        <v>940</v>
      </c>
      <c r="E1169" s="17">
        <f>VLOOKUP(A1169,'forecast data dump'!$A$1:$H$3450,4,FALSE)</f>
        <v>44515</v>
      </c>
      <c r="F1169" s="17">
        <f>VLOOKUP(A1169,'forecast data dump'!$A$1:$H$3450,5,FALSE)</f>
        <v>44530</v>
      </c>
      <c r="G1169" s="42">
        <f>VLOOKUP(A1169,'forecast data dump'!$A$1:$H$3450,8,FALSE)</f>
        <v>0</v>
      </c>
      <c r="H1169" s="5" t="s">
        <v>3745</v>
      </c>
      <c r="I1169" s="39">
        <f t="shared" si="348"/>
        <v>8</v>
      </c>
      <c r="J1169" s="5"/>
      <c r="K1169" s="5"/>
      <c r="L1169" s="33">
        <f t="shared" si="349"/>
        <v>940</v>
      </c>
      <c r="M1169" s="33">
        <f t="shared" si="350"/>
        <v>940</v>
      </c>
      <c r="N1169" s="33">
        <f t="shared" si="351"/>
        <v>0</v>
      </c>
      <c r="T1169">
        <v>1</v>
      </c>
      <c r="U1169" s="29">
        <f t="shared" si="342"/>
        <v>0</v>
      </c>
      <c r="V1169" s="29">
        <f t="shared" si="343"/>
        <v>0</v>
      </c>
      <c r="W1169" s="29">
        <f t="shared" si="344"/>
        <v>0</v>
      </c>
      <c r="X1169" s="29">
        <f t="shared" si="345"/>
        <v>0</v>
      </c>
      <c r="Y1169" s="29">
        <f t="shared" si="346"/>
        <v>0</v>
      </c>
      <c r="Z1169" s="29">
        <f t="shared" si="347"/>
        <v>940</v>
      </c>
    </row>
    <row r="1170" spans="1:26" x14ac:dyDescent="0.3">
      <c r="A1170" s="5" t="s">
        <v>2198</v>
      </c>
      <c r="B1170" s="5" t="s">
        <v>2199</v>
      </c>
      <c r="C1170" s="5">
        <v>8</v>
      </c>
      <c r="D1170" s="6">
        <v>940</v>
      </c>
      <c r="E1170" s="17">
        <f>VLOOKUP(A1170,'forecast data dump'!$A$1:$H$3450,4,FALSE)</f>
        <v>44515</v>
      </c>
      <c r="F1170" s="17">
        <f>VLOOKUP(A1170,'forecast data dump'!$A$1:$H$3450,5,FALSE)</f>
        <v>44530</v>
      </c>
      <c r="G1170" s="42">
        <f>VLOOKUP(A1170,'forecast data dump'!$A$1:$H$3450,8,FALSE)</f>
        <v>0</v>
      </c>
      <c r="H1170" s="5" t="s">
        <v>3741</v>
      </c>
      <c r="I1170" s="39">
        <f t="shared" si="348"/>
        <v>8</v>
      </c>
      <c r="J1170" s="5"/>
      <c r="K1170" s="5"/>
      <c r="L1170" s="33">
        <f t="shared" si="349"/>
        <v>940</v>
      </c>
      <c r="M1170" s="33">
        <f t="shared" si="350"/>
        <v>940</v>
      </c>
      <c r="N1170" s="33">
        <f t="shared" si="351"/>
        <v>0</v>
      </c>
      <c r="T1170">
        <v>1</v>
      </c>
      <c r="U1170" s="29">
        <f t="shared" si="342"/>
        <v>0</v>
      </c>
      <c r="V1170" s="29">
        <f t="shared" si="343"/>
        <v>0</v>
      </c>
      <c r="W1170" s="29">
        <f t="shared" si="344"/>
        <v>0</v>
      </c>
      <c r="X1170" s="29">
        <f t="shared" si="345"/>
        <v>0</v>
      </c>
      <c r="Y1170" s="29">
        <f t="shared" si="346"/>
        <v>0</v>
      </c>
      <c r="Z1170" s="29">
        <f t="shared" si="347"/>
        <v>940</v>
      </c>
    </row>
    <row r="1171" spans="1:26" x14ac:dyDescent="0.3">
      <c r="A1171" s="5" t="s">
        <v>2200</v>
      </c>
      <c r="B1171" s="5" t="s">
        <v>2201</v>
      </c>
      <c r="C1171" s="5">
        <v>8</v>
      </c>
      <c r="D1171" s="6">
        <v>1213</v>
      </c>
      <c r="E1171" s="17">
        <f>VLOOKUP(A1171,'forecast data dump'!$A$1:$H$3450,4,FALSE)</f>
        <v>44531</v>
      </c>
      <c r="F1171" s="17">
        <f>VLOOKUP(A1171,'forecast data dump'!$A$1:$H$3450,5,FALSE)</f>
        <v>44544</v>
      </c>
      <c r="G1171" s="42">
        <f>VLOOKUP(A1171,'forecast data dump'!$A$1:$H$3450,8,FALSE)</f>
        <v>0</v>
      </c>
      <c r="H1171" s="5" t="s">
        <v>3733</v>
      </c>
      <c r="I1171" s="39">
        <f t="shared" si="348"/>
        <v>8</v>
      </c>
      <c r="J1171" s="5"/>
      <c r="K1171" s="5"/>
      <c r="L1171" s="33">
        <f t="shared" si="349"/>
        <v>1213</v>
      </c>
      <c r="M1171" s="33">
        <f t="shared" si="350"/>
        <v>1213</v>
      </c>
      <c r="N1171" s="33">
        <f t="shared" si="351"/>
        <v>0</v>
      </c>
      <c r="T1171">
        <v>1</v>
      </c>
      <c r="U1171" s="29">
        <f t="shared" si="342"/>
        <v>0</v>
      </c>
      <c r="V1171" s="29">
        <f t="shared" si="343"/>
        <v>0</v>
      </c>
      <c r="W1171" s="29">
        <f t="shared" si="344"/>
        <v>0</v>
      </c>
      <c r="X1171" s="29">
        <f t="shared" si="345"/>
        <v>0</v>
      </c>
      <c r="Y1171" s="29">
        <f t="shared" si="346"/>
        <v>0</v>
      </c>
      <c r="Z1171" s="29">
        <f t="shared" si="347"/>
        <v>1213</v>
      </c>
    </row>
    <row r="1172" spans="1:26" x14ac:dyDescent="0.3">
      <c r="A1172" s="5" t="s">
        <v>2200</v>
      </c>
      <c r="B1172" s="5" t="s">
        <v>2201</v>
      </c>
      <c r="C1172" s="5">
        <v>8</v>
      </c>
      <c r="D1172" s="6">
        <v>940</v>
      </c>
      <c r="E1172" s="17">
        <f>VLOOKUP(A1172,'forecast data dump'!$A$1:$H$3450,4,FALSE)</f>
        <v>44531</v>
      </c>
      <c r="F1172" s="17">
        <f>VLOOKUP(A1172,'forecast data dump'!$A$1:$H$3450,5,FALSE)</f>
        <v>44544</v>
      </c>
      <c r="G1172" s="42">
        <f>VLOOKUP(A1172,'forecast data dump'!$A$1:$H$3450,8,FALSE)</f>
        <v>0</v>
      </c>
      <c r="H1172" s="5" t="s">
        <v>3745</v>
      </c>
      <c r="I1172" s="39">
        <f t="shared" si="348"/>
        <v>8</v>
      </c>
      <c r="J1172" s="5"/>
      <c r="K1172" s="5"/>
      <c r="L1172" s="33">
        <f t="shared" si="349"/>
        <v>940</v>
      </c>
      <c r="M1172" s="33">
        <f t="shared" si="350"/>
        <v>940</v>
      </c>
      <c r="N1172" s="33">
        <f t="shared" si="351"/>
        <v>0</v>
      </c>
      <c r="T1172">
        <v>1</v>
      </c>
      <c r="U1172" s="29">
        <f t="shared" si="342"/>
        <v>0</v>
      </c>
      <c r="V1172" s="29">
        <f t="shared" si="343"/>
        <v>0</v>
      </c>
      <c r="W1172" s="29">
        <f t="shared" si="344"/>
        <v>0</v>
      </c>
      <c r="X1172" s="29">
        <f t="shared" si="345"/>
        <v>0</v>
      </c>
      <c r="Y1172" s="29">
        <f t="shared" si="346"/>
        <v>0</v>
      </c>
      <c r="Z1172" s="29">
        <f t="shared" si="347"/>
        <v>940</v>
      </c>
    </row>
    <row r="1173" spans="1:26" x14ac:dyDescent="0.3">
      <c r="A1173" s="5" t="s">
        <v>2200</v>
      </c>
      <c r="B1173" s="5" t="s">
        <v>2201</v>
      </c>
      <c r="C1173" s="5">
        <v>8</v>
      </c>
      <c r="D1173" s="6">
        <v>940</v>
      </c>
      <c r="E1173" s="17">
        <f>VLOOKUP(A1173,'forecast data dump'!$A$1:$H$3450,4,FALSE)</f>
        <v>44531</v>
      </c>
      <c r="F1173" s="17">
        <f>VLOOKUP(A1173,'forecast data dump'!$A$1:$H$3450,5,FALSE)</f>
        <v>44544</v>
      </c>
      <c r="G1173" s="42">
        <f>VLOOKUP(A1173,'forecast data dump'!$A$1:$H$3450,8,FALSE)</f>
        <v>0</v>
      </c>
      <c r="H1173" s="5" t="s">
        <v>3741</v>
      </c>
      <c r="I1173" s="39">
        <f t="shared" si="348"/>
        <v>8</v>
      </c>
      <c r="J1173" s="5"/>
      <c r="K1173" s="5"/>
      <c r="L1173" s="33">
        <f t="shared" si="349"/>
        <v>940</v>
      </c>
      <c r="M1173" s="33">
        <f t="shared" si="350"/>
        <v>940</v>
      </c>
      <c r="N1173" s="33">
        <f t="shared" si="351"/>
        <v>0</v>
      </c>
      <c r="T1173">
        <v>1</v>
      </c>
      <c r="U1173" s="29">
        <f t="shared" si="342"/>
        <v>0</v>
      </c>
      <c r="V1173" s="29">
        <f t="shared" si="343"/>
        <v>0</v>
      </c>
      <c r="W1173" s="29">
        <f t="shared" si="344"/>
        <v>0</v>
      </c>
      <c r="X1173" s="29">
        <f t="shared" si="345"/>
        <v>0</v>
      </c>
      <c r="Y1173" s="29">
        <f t="shared" si="346"/>
        <v>0</v>
      </c>
      <c r="Z1173" s="29">
        <f t="shared" si="347"/>
        <v>940</v>
      </c>
    </row>
    <row r="1174" spans="1:26" x14ac:dyDescent="0.3">
      <c r="A1174" s="5" t="s">
        <v>2202</v>
      </c>
      <c r="B1174" s="5" t="s">
        <v>2203</v>
      </c>
      <c r="C1174" s="5">
        <v>8</v>
      </c>
      <c r="D1174" s="6">
        <v>1250</v>
      </c>
      <c r="E1174" s="17">
        <f>VLOOKUP(A1174,'forecast data dump'!$A$1:$H$3450,4,FALSE)</f>
        <v>44783</v>
      </c>
      <c r="F1174" s="17">
        <f>VLOOKUP(A1174,'forecast data dump'!$A$1:$H$3450,5,FALSE)</f>
        <v>44783</v>
      </c>
      <c r="G1174" s="42">
        <f>VLOOKUP(A1174,'forecast data dump'!$A$1:$H$3450,8,FALSE)</f>
        <v>0</v>
      </c>
      <c r="H1174" s="5" t="s">
        <v>3733</v>
      </c>
      <c r="I1174" s="39">
        <f t="shared" si="348"/>
        <v>8</v>
      </c>
      <c r="J1174" s="5"/>
      <c r="K1174" s="5"/>
      <c r="L1174" s="33">
        <f t="shared" si="349"/>
        <v>1250</v>
      </c>
      <c r="M1174" s="33">
        <f t="shared" si="350"/>
        <v>1250</v>
      </c>
      <c r="N1174" s="33">
        <f t="shared" si="351"/>
        <v>0</v>
      </c>
      <c r="T1174">
        <v>1</v>
      </c>
      <c r="U1174" s="29">
        <f t="shared" si="342"/>
        <v>0</v>
      </c>
      <c r="V1174" s="29">
        <f t="shared" si="343"/>
        <v>0</v>
      </c>
      <c r="W1174" s="29">
        <f t="shared" si="344"/>
        <v>0</v>
      </c>
      <c r="X1174" s="29">
        <f t="shared" si="345"/>
        <v>0</v>
      </c>
      <c r="Y1174" s="29">
        <f t="shared" si="346"/>
        <v>0</v>
      </c>
      <c r="Z1174" s="29">
        <f t="shared" si="347"/>
        <v>1250</v>
      </c>
    </row>
    <row r="1175" spans="1:26" x14ac:dyDescent="0.3">
      <c r="A1175" s="5" t="s">
        <v>2202</v>
      </c>
      <c r="B1175" s="5" t="s">
        <v>2203</v>
      </c>
      <c r="C1175" s="5">
        <v>8</v>
      </c>
      <c r="D1175" s="6">
        <v>969</v>
      </c>
      <c r="E1175" s="17">
        <f>VLOOKUP(A1175,'forecast data dump'!$A$1:$H$3450,4,FALSE)</f>
        <v>44783</v>
      </c>
      <c r="F1175" s="17">
        <f>VLOOKUP(A1175,'forecast data dump'!$A$1:$H$3450,5,FALSE)</f>
        <v>44783</v>
      </c>
      <c r="G1175" s="42">
        <f>VLOOKUP(A1175,'forecast data dump'!$A$1:$H$3450,8,FALSE)</f>
        <v>0</v>
      </c>
      <c r="H1175" s="5" t="s">
        <v>3741</v>
      </c>
      <c r="I1175" s="39">
        <f t="shared" si="348"/>
        <v>8</v>
      </c>
      <c r="J1175" s="5"/>
      <c r="K1175" s="5"/>
      <c r="L1175" s="33">
        <f t="shared" si="349"/>
        <v>969</v>
      </c>
      <c r="M1175" s="33">
        <f t="shared" si="350"/>
        <v>969</v>
      </c>
      <c r="N1175" s="33">
        <f t="shared" si="351"/>
        <v>0</v>
      </c>
      <c r="T1175">
        <v>1</v>
      </c>
      <c r="U1175" s="29">
        <f t="shared" si="342"/>
        <v>0</v>
      </c>
      <c r="V1175" s="29">
        <f t="shared" si="343"/>
        <v>0</v>
      </c>
      <c r="W1175" s="29">
        <f t="shared" si="344"/>
        <v>0</v>
      </c>
      <c r="X1175" s="29">
        <f t="shared" si="345"/>
        <v>0</v>
      </c>
      <c r="Y1175" s="29">
        <f t="shared" si="346"/>
        <v>0</v>
      </c>
      <c r="Z1175" s="29">
        <f t="shared" si="347"/>
        <v>969</v>
      </c>
    </row>
    <row r="1176" spans="1:26" x14ac:dyDescent="0.3">
      <c r="A1176" s="5" t="s">
        <v>2204</v>
      </c>
      <c r="B1176" s="5" t="s">
        <v>2205</v>
      </c>
      <c r="C1176" s="5">
        <v>8</v>
      </c>
      <c r="D1176" s="6">
        <v>1250</v>
      </c>
      <c r="E1176" s="17">
        <f>VLOOKUP(A1176,'forecast data dump'!$A$1:$H$3450,4,FALSE)</f>
        <v>44784</v>
      </c>
      <c r="F1176" s="17">
        <f>VLOOKUP(A1176,'forecast data dump'!$A$1:$H$3450,5,FALSE)</f>
        <v>44795</v>
      </c>
      <c r="G1176" s="42">
        <f>VLOOKUP(A1176,'forecast data dump'!$A$1:$H$3450,8,FALSE)</f>
        <v>0</v>
      </c>
      <c r="H1176" s="5" t="s">
        <v>3733</v>
      </c>
      <c r="I1176" s="39">
        <f t="shared" si="348"/>
        <v>8</v>
      </c>
      <c r="J1176" s="5"/>
      <c r="K1176" s="5"/>
      <c r="L1176" s="33">
        <f t="shared" si="349"/>
        <v>1250</v>
      </c>
      <c r="M1176" s="33">
        <f t="shared" si="350"/>
        <v>1250</v>
      </c>
      <c r="N1176" s="33">
        <f t="shared" si="351"/>
        <v>0</v>
      </c>
      <c r="T1176">
        <v>1</v>
      </c>
      <c r="U1176" s="29">
        <f t="shared" si="342"/>
        <v>0</v>
      </c>
      <c r="V1176" s="29">
        <f t="shared" si="343"/>
        <v>0</v>
      </c>
      <c r="W1176" s="29">
        <f t="shared" si="344"/>
        <v>0</v>
      </c>
      <c r="X1176" s="29">
        <f t="shared" si="345"/>
        <v>0</v>
      </c>
      <c r="Y1176" s="29">
        <f t="shared" si="346"/>
        <v>0</v>
      </c>
      <c r="Z1176" s="29">
        <f t="shared" si="347"/>
        <v>1250</v>
      </c>
    </row>
    <row r="1177" spans="1:26" x14ac:dyDescent="0.3">
      <c r="A1177" s="5" t="s">
        <v>2204</v>
      </c>
      <c r="B1177" s="5" t="s">
        <v>2205</v>
      </c>
      <c r="C1177" s="5">
        <v>8</v>
      </c>
      <c r="D1177" s="6">
        <v>969</v>
      </c>
      <c r="E1177" s="17">
        <f>VLOOKUP(A1177,'forecast data dump'!$A$1:$H$3450,4,FALSE)</f>
        <v>44784</v>
      </c>
      <c r="F1177" s="17">
        <f>VLOOKUP(A1177,'forecast data dump'!$A$1:$H$3450,5,FALSE)</f>
        <v>44795</v>
      </c>
      <c r="G1177" s="42">
        <f>VLOOKUP(A1177,'forecast data dump'!$A$1:$H$3450,8,FALSE)</f>
        <v>0</v>
      </c>
      <c r="H1177" s="5" t="s">
        <v>3745</v>
      </c>
      <c r="I1177" s="39">
        <f t="shared" si="348"/>
        <v>8</v>
      </c>
      <c r="J1177" s="5"/>
      <c r="K1177" s="5"/>
      <c r="L1177" s="33">
        <f t="shared" si="349"/>
        <v>969</v>
      </c>
      <c r="M1177" s="33">
        <f t="shared" si="350"/>
        <v>969</v>
      </c>
      <c r="N1177" s="33">
        <f t="shared" si="351"/>
        <v>0</v>
      </c>
      <c r="T1177">
        <v>1</v>
      </c>
      <c r="U1177" s="29">
        <f t="shared" si="342"/>
        <v>0</v>
      </c>
      <c r="V1177" s="29">
        <f t="shared" si="343"/>
        <v>0</v>
      </c>
      <c r="W1177" s="29">
        <f t="shared" si="344"/>
        <v>0</v>
      </c>
      <c r="X1177" s="29">
        <f t="shared" si="345"/>
        <v>0</v>
      </c>
      <c r="Y1177" s="29">
        <f t="shared" si="346"/>
        <v>0</v>
      </c>
      <c r="Z1177" s="29">
        <f t="shared" si="347"/>
        <v>969</v>
      </c>
    </row>
    <row r="1178" spans="1:26" x14ac:dyDescent="0.3">
      <c r="A1178" s="5" t="s">
        <v>2204</v>
      </c>
      <c r="B1178" s="5" t="s">
        <v>2205</v>
      </c>
      <c r="C1178" s="5">
        <v>16</v>
      </c>
      <c r="D1178" s="6">
        <v>1937</v>
      </c>
      <c r="E1178" s="17">
        <f>VLOOKUP(A1178,'forecast data dump'!$A$1:$H$3450,4,FALSE)</f>
        <v>44784</v>
      </c>
      <c r="F1178" s="17">
        <f>VLOOKUP(A1178,'forecast data dump'!$A$1:$H$3450,5,FALSE)</f>
        <v>44795</v>
      </c>
      <c r="G1178" s="42">
        <f>VLOOKUP(A1178,'forecast data dump'!$A$1:$H$3450,8,FALSE)</f>
        <v>0</v>
      </c>
      <c r="H1178" s="5" t="s">
        <v>3741</v>
      </c>
      <c r="I1178" s="39">
        <f t="shared" si="348"/>
        <v>16</v>
      </c>
      <c r="J1178" s="5"/>
      <c r="K1178" s="5"/>
      <c r="L1178" s="33">
        <f t="shared" si="349"/>
        <v>1937</v>
      </c>
      <c r="M1178" s="33">
        <f t="shared" si="350"/>
        <v>1937</v>
      </c>
      <c r="N1178" s="33">
        <f t="shared" si="351"/>
        <v>0</v>
      </c>
      <c r="T1178">
        <v>1</v>
      </c>
      <c r="U1178" s="29">
        <f t="shared" si="342"/>
        <v>0</v>
      </c>
      <c r="V1178" s="29">
        <f t="shared" si="343"/>
        <v>0</v>
      </c>
      <c r="W1178" s="29">
        <f t="shared" si="344"/>
        <v>0</v>
      </c>
      <c r="X1178" s="29">
        <f t="shared" si="345"/>
        <v>0</v>
      </c>
      <c r="Y1178" s="29">
        <f t="shared" si="346"/>
        <v>0</v>
      </c>
      <c r="Z1178" s="29">
        <f t="shared" si="347"/>
        <v>1937</v>
      </c>
    </row>
    <row r="1179" spans="1:26" x14ac:dyDescent="0.3">
      <c r="A1179" s="5" t="s">
        <v>2206</v>
      </c>
      <c r="B1179" s="5" t="s">
        <v>2207</v>
      </c>
      <c r="C1179" s="5">
        <v>8</v>
      </c>
      <c r="D1179" s="6">
        <v>1250</v>
      </c>
      <c r="E1179" s="17">
        <f>VLOOKUP(A1179,'forecast data dump'!$A$1:$H$3450,4,FALSE)</f>
        <v>44796</v>
      </c>
      <c r="F1179" s="17">
        <f>VLOOKUP(A1179,'forecast data dump'!$A$1:$H$3450,5,FALSE)</f>
        <v>44802</v>
      </c>
      <c r="G1179" s="42">
        <f>VLOOKUP(A1179,'forecast data dump'!$A$1:$H$3450,8,FALSE)</f>
        <v>0</v>
      </c>
      <c r="H1179" s="5" t="s">
        <v>3733</v>
      </c>
      <c r="I1179" s="39">
        <f t="shared" si="348"/>
        <v>8</v>
      </c>
      <c r="J1179" s="5"/>
      <c r="K1179" s="5"/>
      <c r="L1179" s="33">
        <f t="shared" si="349"/>
        <v>1250</v>
      </c>
      <c r="M1179" s="33">
        <f t="shared" si="350"/>
        <v>1250</v>
      </c>
      <c r="N1179" s="33">
        <f t="shared" si="351"/>
        <v>0</v>
      </c>
      <c r="T1179">
        <v>1</v>
      </c>
      <c r="U1179" s="29">
        <f t="shared" si="342"/>
        <v>0</v>
      </c>
      <c r="V1179" s="29">
        <f t="shared" si="343"/>
        <v>0</v>
      </c>
      <c r="W1179" s="29">
        <f t="shared" si="344"/>
        <v>0</v>
      </c>
      <c r="X1179" s="29">
        <f t="shared" si="345"/>
        <v>0</v>
      </c>
      <c r="Y1179" s="29">
        <f t="shared" si="346"/>
        <v>0</v>
      </c>
      <c r="Z1179" s="29">
        <f t="shared" si="347"/>
        <v>1250</v>
      </c>
    </row>
    <row r="1180" spans="1:26" x14ac:dyDescent="0.3">
      <c r="A1180" s="5" t="s">
        <v>2206</v>
      </c>
      <c r="B1180" s="5" t="s">
        <v>2207</v>
      </c>
      <c r="C1180" s="5">
        <v>8</v>
      </c>
      <c r="D1180" s="6">
        <v>969</v>
      </c>
      <c r="E1180" s="17">
        <f>VLOOKUP(A1180,'forecast data dump'!$A$1:$H$3450,4,FALSE)</f>
        <v>44796</v>
      </c>
      <c r="F1180" s="17">
        <f>VLOOKUP(A1180,'forecast data dump'!$A$1:$H$3450,5,FALSE)</f>
        <v>44802</v>
      </c>
      <c r="G1180" s="42">
        <f>VLOOKUP(A1180,'forecast data dump'!$A$1:$H$3450,8,FALSE)</f>
        <v>0</v>
      </c>
      <c r="H1180" s="5" t="s">
        <v>3745</v>
      </c>
      <c r="I1180" s="39">
        <f t="shared" si="348"/>
        <v>8</v>
      </c>
      <c r="J1180" s="5"/>
      <c r="K1180" s="5"/>
      <c r="L1180" s="33">
        <f t="shared" si="349"/>
        <v>969</v>
      </c>
      <c r="M1180" s="33">
        <f t="shared" si="350"/>
        <v>969</v>
      </c>
      <c r="N1180" s="33">
        <f t="shared" si="351"/>
        <v>0</v>
      </c>
      <c r="T1180">
        <v>1</v>
      </c>
      <c r="U1180" s="29">
        <f t="shared" si="342"/>
        <v>0</v>
      </c>
      <c r="V1180" s="29">
        <f t="shared" si="343"/>
        <v>0</v>
      </c>
      <c r="W1180" s="29">
        <f t="shared" si="344"/>
        <v>0</v>
      </c>
      <c r="X1180" s="29">
        <f t="shared" si="345"/>
        <v>0</v>
      </c>
      <c r="Y1180" s="29">
        <f t="shared" si="346"/>
        <v>0</v>
      </c>
      <c r="Z1180" s="29">
        <f t="shared" si="347"/>
        <v>969</v>
      </c>
    </row>
    <row r="1181" spans="1:26" x14ac:dyDescent="0.3">
      <c r="A1181" s="5" t="s">
        <v>2206</v>
      </c>
      <c r="B1181" s="5" t="s">
        <v>2207</v>
      </c>
      <c r="C1181" s="5">
        <v>16</v>
      </c>
      <c r="D1181" s="6">
        <v>1937</v>
      </c>
      <c r="E1181" s="17">
        <f>VLOOKUP(A1181,'forecast data dump'!$A$1:$H$3450,4,FALSE)</f>
        <v>44796</v>
      </c>
      <c r="F1181" s="17">
        <f>VLOOKUP(A1181,'forecast data dump'!$A$1:$H$3450,5,FALSE)</f>
        <v>44802</v>
      </c>
      <c r="G1181" s="42">
        <f>VLOOKUP(A1181,'forecast data dump'!$A$1:$H$3450,8,FALSE)</f>
        <v>0</v>
      </c>
      <c r="H1181" s="5" t="s">
        <v>3741</v>
      </c>
      <c r="I1181" s="39">
        <f t="shared" si="348"/>
        <v>16</v>
      </c>
      <c r="J1181" s="5"/>
      <c r="K1181" s="5"/>
      <c r="L1181" s="33">
        <f t="shared" si="349"/>
        <v>1937</v>
      </c>
      <c r="M1181" s="33">
        <f t="shared" si="350"/>
        <v>1937</v>
      </c>
      <c r="N1181" s="33">
        <f t="shared" si="351"/>
        <v>0</v>
      </c>
      <c r="T1181">
        <v>1</v>
      </c>
      <c r="U1181" s="29">
        <f t="shared" si="342"/>
        <v>0</v>
      </c>
      <c r="V1181" s="29">
        <f t="shared" si="343"/>
        <v>0</v>
      </c>
      <c r="W1181" s="29">
        <f t="shared" si="344"/>
        <v>0</v>
      </c>
      <c r="X1181" s="29">
        <f t="shared" si="345"/>
        <v>0</v>
      </c>
      <c r="Y1181" s="29">
        <f t="shared" si="346"/>
        <v>0</v>
      </c>
      <c r="Z1181" s="29">
        <f t="shared" si="347"/>
        <v>1937</v>
      </c>
    </row>
    <row r="1182" spans="1:26" x14ac:dyDescent="0.3">
      <c r="A1182" s="5" t="s">
        <v>2208</v>
      </c>
      <c r="B1182" s="5" t="s">
        <v>2209</v>
      </c>
      <c r="C1182" s="5">
        <v>8</v>
      </c>
      <c r="D1182" s="6">
        <v>969</v>
      </c>
      <c r="E1182" s="17">
        <f>VLOOKUP(A1182,'forecast data dump'!$A$1:$H$3450,4,FALSE)</f>
        <v>44803</v>
      </c>
      <c r="F1182" s="17">
        <f>VLOOKUP(A1182,'forecast data dump'!$A$1:$H$3450,5,FALSE)</f>
        <v>44810</v>
      </c>
      <c r="G1182" s="42">
        <f>VLOOKUP(A1182,'forecast data dump'!$A$1:$H$3450,8,FALSE)</f>
        <v>0</v>
      </c>
      <c r="H1182" s="5" t="s">
        <v>3741</v>
      </c>
      <c r="I1182" s="39">
        <f t="shared" si="348"/>
        <v>8</v>
      </c>
      <c r="J1182" s="5"/>
      <c r="K1182" s="5"/>
      <c r="L1182" s="33">
        <f t="shared" si="349"/>
        <v>969</v>
      </c>
      <c r="M1182" s="33">
        <f t="shared" si="350"/>
        <v>969</v>
      </c>
      <c r="N1182" s="33">
        <f t="shared" si="351"/>
        <v>0</v>
      </c>
      <c r="T1182">
        <v>1</v>
      </c>
      <c r="U1182" s="29">
        <f t="shared" si="342"/>
        <v>0</v>
      </c>
      <c r="V1182" s="29">
        <f t="shared" si="343"/>
        <v>0</v>
      </c>
      <c r="W1182" s="29">
        <f t="shared" si="344"/>
        <v>0</v>
      </c>
      <c r="X1182" s="29">
        <f t="shared" si="345"/>
        <v>0</v>
      </c>
      <c r="Y1182" s="29">
        <f t="shared" si="346"/>
        <v>0</v>
      </c>
      <c r="Z1182" s="29">
        <f t="shared" si="347"/>
        <v>969</v>
      </c>
    </row>
    <row r="1183" spans="1:26" x14ac:dyDescent="0.3">
      <c r="A1183" s="5" t="s">
        <v>2210</v>
      </c>
      <c r="B1183" s="5" t="s">
        <v>2211</v>
      </c>
      <c r="C1183" s="5">
        <v>120</v>
      </c>
      <c r="D1183" s="6">
        <v>14529</v>
      </c>
      <c r="E1183" s="17">
        <f>VLOOKUP(A1183,'forecast data dump'!$A$1:$H$3450,4,FALSE)</f>
        <v>44811</v>
      </c>
      <c r="F1183" s="17">
        <f>VLOOKUP(A1183,'forecast data dump'!$A$1:$H$3450,5,FALSE)</f>
        <v>44817</v>
      </c>
      <c r="G1183" s="42">
        <f>VLOOKUP(A1183,'forecast data dump'!$A$1:$H$3450,8,FALSE)</f>
        <v>0</v>
      </c>
      <c r="H1183" s="5" t="s">
        <v>3741</v>
      </c>
      <c r="I1183" s="39">
        <f t="shared" si="348"/>
        <v>120</v>
      </c>
      <c r="J1183" s="5"/>
      <c r="K1183" s="5"/>
      <c r="L1183" s="33">
        <f t="shared" si="349"/>
        <v>14529</v>
      </c>
      <c r="M1183" s="33">
        <f t="shared" si="350"/>
        <v>14529</v>
      </c>
      <c r="N1183" s="33">
        <f t="shared" si="351"/>
        <v>0</v>
      </c>
      <c r="T1183">
        <v>1</v>
      </c>
      <c r="U1183" s="29">
        <f t="shared" si="342"/>
        <v>0</v>
      </c>
      <c r="V1183" s="29">
        <f t="shared" si="343"/>
        <v>0</v>
      </c>
      <c r="W1183" s="29">
        <f t="shared" si="344"/>
        <v>0</v>
      </c>
      <c r="X1183" s="29">
        <f t="shared" si="345"/>
        <v>0</v>
      </c>
      <c r="Y1183" s="29">
        <f t="shared" si="346"/>
        <v>0</v>
      </c>
      <c r="Z1183" s="29">
        <f t="shared" si="347"/>
        <v>14529</v>
      </c>
    </row>
    <row r="1184" spans="1:26" x14ac:dyDescent="0.3">
      <c r="A1184" s="5" t="s">
        <v>2210</v>
      </c>
      <c r="B1184" s="5" t="s">
        <v>2211</v>
      </c>
      <c r="C1184" s="5">
        <v>24</v>
      </c>
      <c r="D1184" s="6">
        <v>3750</v>
      </c>
      <c r="E1184" s="17">
        <f>VLOOKUP(A1184,'forecast data dump'!$A$1:$H$3450,4,FALSE)</f>
        <v>44811</v>
      </c>
      <c r="F1184" s="17">
        <f>VLOOKUP(A1184,'forecast data dump'!$A$1:$H$3450,5,FALSE)</f>
        <v>44817</v>
      </c>
      <c r="G1184" s="42">
        <f>VLOOKUP(A1184,'forecast data dump'!$A$1:$H$3450,8,FALSE)</f>
        <v>0</v>
      </c>
      <c r="H1184" s="5" t="s">
        <v>3744</v>
      </c>
      <c r="I1184" s="39">
        <f t="shared" si="348"/>
        <v>24</v>
      </c>
      <c r="J1184" s="5"/>
      <c r="K1184" s="5"/>
      <c r="L1184" s="33">
        <f t="shared" si="349"/>
        <v>3750</v>
      </c>
      <c r="M1184" s="33">
        <f t="shared" si="350"/>
        <v>3750</v>
      </c>
      <c r="N1184" s="33">
        <f t="shared" si="351"/>
        <v>0</v>
      </c>
      <c r="T1184">
        <v>1</v>
      </c>
      <c r="U1184" s="29">
        <f t="shared" si="342"/>
        <v>0</v>
      </c>
      <c r="V1184" s="29">
        <f t="shared" si="343"/>
        <v>0</v>
      </c>
      <c r="W1184" s="29">
        <f t="shared" si="344"/>
        <v>0</v>
      </c>
      <c r="X1184" s="29">
        <f t="shared" si="345"/>
        <v>0</v>
      </c>
      <c r="Y1184" s="29">
        <f t="shared" si="346"/>
        <v>0</v>
      </c>
      <c r="Z1184" s="29">
        <f t="shared" si="347"/>
        <v>3750</v>
      </c>
    </row>
    <row r="1185" spans="1:26" x14ac:dyDescent="0.3">
      <c r="A1185" s="5" t="s">
        <v>2210</v>
      </c>
      <c r="B1185" s="5" t="s">
        <v>2211</v>
      </c>
      <c r="C1185" s="5">
        <v>120</v>
      </c>
      <c r="D1185" s="6">
        <v>14529</v>
      </c>
      <c r="E1185" s="17">
        <f>VLOOKUP(A1185,'forecast data dump'!$A$1:$H$3450,4,FALSE)</f>
        <v>44811</v>
      </c>
      <c r="F1185" s="17">
        <f>VLOOKUP(A1185,'forecast data dump'!$A$1:$H$3450,5,FALSE)</f>
        <v>44817</v>
      </c>
      <c r="G1185" s="42">
        <f>VLOOKUP(A1185,'forecast data dump'!$A$1:$H$3450,8,FALSE)</f>
        <v>0</v>
      </c>
      <c r="H1185" s="5" t="s">
        <v>3742</v>
      </c>
      <c r="I1185" s="39">
        <f t="shared" si="348"/>
        <v>120</v>
      </c>
      <c r="J1185" s="5"/>
      <c r="K1185" s="5"/>
      <c r="L1185" s="33">
        <f t="shared" si="349"/>
        <v>14529</v>
      </c>
      <c r="M1185" s="33">
        <f t="shared" si="350"/>
        <v>14529</v>
      </c>
      <c r="N1185" s="33">
        <f t="shared" si="351"/>
        <v>0</v>
      </c>
      <c r="T1185">
        <v>1</v>
      </c>
      <c r="U1185" s="29">
        <f t="shared" si="342"/>
        <v>0</v>
      </c>
      <c r="V1185" s="29">
        <f t="shared" si="343"/>
        <v>0</v>
      </c>
      <c r="W1185" s="29">
        <f t="shared" si="344"/>
        <v>0</v>
      </c>
      <c r="X1185" s="29">
        <f t="shared" si="345"/>
        <v>0</v>
      </c>
      <c r="Y1185" s="29">
        <f t="shared" si="346"/>
        <v>0</v>
      </c>
      <c r="Z1185" s="29">
        <f t="shared" si="347"/>
        <v>14529</v>
      </c>
    </row>
    <row r="1186" spans="1:26" x14ac:dyDescent="0.3">
      <c r="A1186" s="5" t="s">
        <v>2210</v>
      </c>
      <c r="B1186" s="5" t="s">
        <v>2211</v>
      </c>
      <c r="C1186" s="5">
        <v>24</v>
      </c>
      <c r="D1186" s="6">
        <v>2906</v>
      </c>
      <c r="E1186" s="17">
        <f>VLOOKUP(A1186,'forecast data dump'!$A$1:$H$3450,4,FALSE)</f>
        <v>44811</v>
      </c>
      <c r="F1186" s="17">
        <f>VLOOKUP(A1186,'forecast data dump'!$A$1:$H$3450,5,FALSE)</f>
        <v>44817</v>
      </c>
      <c r="G1186" s="42">
        <f>VLOOKUP(A1186,'forecast data dump'!$A$1:$H$3450,8,FALSE)</f>
        <v>0</v>
      </c>
      <c r="H1186" s="5" t="s">
        <v>3745</v>
      </c>
      <c r="I1186" s="39">
        <f t="shared" si="348"/>
        <v>24</v>
      </c>
      <c r="J1186" s="5"/>
      <c r="K1186" s="5"/>
      <c r="L1186" s="33">
        <f t="shared" si="349"/>
        <v>2906</v>
      </c>
      <c r="M1186" s="33">
        <f t="shared" si="350"/>
        <v>2906</v>
      </c>
      <c r="N1186" s="33">
        <f t="shared" si="351"/>
        <v>0</v>
      </c>
      <c r="T1186">
        <v>1</v>
      </c>
      <c r="U1186" s="29">
        <f t="shared" si="342"/>
        <v>0</v>
      </c>
      <c r="V1186" s="29">
        <f t="shared" si="343"/>
        <v>0</v>
      </c>
      <c r="W1186" s="29">
        <f t="shared" si="344"/>
        <v>0</v>
      </c>
      <c r="X1186" s="29">
        <f t="shared" si="345"/>
        <v>0</v>
      </c>
      <c r="Y1186" s="29">
        <f t="shared" si="346"/>
        <v>0</v>
      </c>
      <c r="Z1186" s="29">
        <f t="shared" si="347"/>
        <v>2906</v>
      </c>
    </row>
    <row r="1187" spans="1:26" x14ac:dyDescent="0.3">
      <c r="A1187" s="5" t="s">
        <v>2210</v>
      </c>
      <c r="B1187" s="5" t="s">
        <v>2211</v>
      </c>
      <c r="C1187" s="5">
        <v>24</v>
      </c>
      <c r="D1187" s="6">
        <v>3750</v>
      </c>
      <c r="E1187" s="17">
        <f>VLOOKUP(A1187,'forecast data dump'!$A$1:$H$3450,4,FALSE)</f>
        <v>44811</v>
      </c>
      <c r="F1187" s="17">
        <f>VLOOKUP(A1187,'forecast data dump'!$A$1:$H$3450,5,FALSE)</f>
        <v>44817</v>
      </c>
      <c r="G1187" s="42">
        <f>VLOOKUP(A1187,'forecast data dump'!$A$1:$H$3450,8,FALSE)</f>
        <v>0</v>
      </c>
      <c r="H1187" s="5" t="s">
        <v>3733</v>
      </c>
      <c r="I1187" s="39">
        <f t="shared" si="348"/>
        <v>24</v>
      </c>
      <c r="J1187" s="5"/>
      <c r="K1187" s="5"/>
      <c r="L1187" s="33">
        <f t="shared" si="349"/>
        <v>3750</v>
      </c>
      <c r="M1187" s="33">
        <f t="shared" si="350"/>
        <v>3750</v>
      </c>
      <c r="N1187" s="33">
        <f t="shared" si="351"/>
        <v>0</v>
      </c>
      <c r="T1187">
        <v>1</v>
      </c>
      <c r="U1187" s="29">
        <f t="shared" ref="U1187:U1250" si="352">O1187*M1187</f>
        <v>0</v>
      </c>
      <c r="V1187" s="29">
        <f t="shared" ref="V1187:V1250" si="353">P1187*M1187</f>
        <v>0</v>
      </c>
      <c r="W1187" s="29">
        <f t="shared" ref="W1187:W1250" si="354">Q1187*M1187</f>
        <v>0</v>
      </c>
      <c r="X1187" s="29">
        <f t="shared" ref="X1187:X1250" si="355">R1187*M1187</f>
        <v>0</v>
      </c>
      <c r="Y1187" s="29">
        <f t="shared" ref="Y1187:Y1250" si="356">S1187*M1187</f>
        <v>0</v>
      </c>
      <c r="Z1187" s="29">
        <f t="shared" ref="Z1187:Z1250" si="357">T1187*M1187</f>
        <v>3750</v>
      </c>
    </row>
    <row r="1188" spans="1:26" x14ac:dyDescent="0.3">
      <c r="A1188" s="5" t="s">
        <v>2210</v>
      </c>
      <c r="B1188" s="5" t="s">
        <v>2211</v>
      </c>
      <c r="C1188" s="5">
        <v>240</v>
      </c>
      <c r="D1188" s="6">
        <v>31845</v>
      </c>
      <c r="E1188" s="17">
        <f>VLOOKUP(A1188,'forecast data dump'!$A$1:$H$3450,4,FALSE)</f>
        <v>44811</v>
      </c>
      <c r="F1188" s="17">
        <f>VLOOKUP(A1188,'forecast data dump'!$A$1:$H$3450,5,FALSE)</f>
        <v>44817</v>
      </c>
      <c r="G1188" s="42">
        <f>VLOOKUP(A1188,'forecast data dump'!$A$1:$H$3450,8,FALSE)</f>
        <v>0</v>
      </c>
      <c r="H1188" s="5" t="s">
        <v>3752</v>
      </c>
      <c r="I1188" s="39">
        <f t="shared" si="348"/>
        <v>240</v>
      </c>
      <c r="J1188" s="5"/>
      <c r="K1188" s="5"/>
      <c r="L1188" s="33">
        <f t="shared" si="349"/>
        <v>31845</v>
      </c>
      <c r="M1188" s="33">
        <f t="shared" si="350"/>
        <v>31845</v>
      </c>
      <c r="N1188" s="33">
        <f t="shared" si="351"/>
        <v>0</v>
      </c>
      <c r="T1188">
        <v>1</v>
      </c>
      <c r="U1188" s="29">
        <f t="shared" si="352"/>
        <v>0</v>
      </c>
      <c r="V1188" s="29">
        <f t="shared" si="353"/>
        <v>0</v>
      </c>
      <c r="W1188" s="29">
        <f t="shared" si="354"/>
        <v>0</v>
      </c>
      <c r="X1188" s="29">
        <f t="shared" si="355"/>
        <v>0</v>
      </c>
      <c r="Y1188" s="29">
        <f t="shared" si="356"/>
        <v>0</v>
      </c>
      <c r="Z1188" s="29">
        <f t="shared" si="357"/>
        <v>31845</v>
      </c>
    </row>
    <row r="1189" spans="1:26" x14ac:dyDescent="0.3">
      <c r="A1189" s="5" t="s">
        <v>2212</v>
      </c>
      <c r="B1189" s="5" t="s">
        <v>2213</v>
      </c>
      <c r="C1189" s="5">
        <v>8</v>
      </c>
      <c r="D1189" s="6">
        <v>1250</v>
      </c>
      <c r="E1189" s="17">
        <f>VLOOKUP(A1189,'forecast data dump'!$A$1:$H$3450,4,FALSE)</f>
        <v>44818</v>
      </c>
      <c r="F1189" s="17">
        <f>VLOOKUP(A1189,'forecast data dump'!$A$1:$H$3450,5,FALSE)</f>
        <v>44824</v>
      </c>
      <c r="G1189" s="42">
        <f>VLOOKUP(A1189,'forecast data dump'!$A$1:$H$3450,8,FALSE)</f>
        <v>0</v>
      </c>
      <c r="H1189" s="5" t="s">
        <v>3733</v>
      </c>
      <c r="I1189" s="39">
        <f t="shared" si="348"/>
        <v>8</v>
      </c>
      <c r="J1189" s="5"/>
      <c r="K1189" s="5"/>
      <c r="L1189" s="33">
        <f t="shared" si="349"/>
        <v>1250</v>
      </c>
      <c r="M1189" s="33">
        <f t="shared" si="350"/>
        <v>1250</v>
      </c>
      <c r="N1189" s="33">
        <f t="shared" si="351"/>
        <v>0</v>
      </c>
      <c r="T1189">
        <v>1</v>
      </c>
      <c r="U1189" s="29">
        <f t="shared" si="352"/>
        <v>0</v>
      </c>
      <c r="V1189" s="29">
        <f t="shared" si="353"/>
        <v>0</v>
      </c>
      <c r="W1189" s="29">
        <f t="shared" si="354"/>
        <v>0</v>
      </c>
      <c r="X1189" s="29">
        <f t="shared" si="355"/>
        <v>0</v>
      </c>
      <c r="Y1189" s="29">
        <f t="shared" si="356"/>
        <v>0</v>
      </c>
      <c r="Z1189" s="29">
        <f t="shared" si="357"/>
        <v>1250</v>
      </c>
    </row>
    <row r="1190" spans="1:26" x14ac:dyDescent="0.3">
      <c r="A1190" s="5" t="s">
        <v>2212</v>
      </c>
      <c r="B1190" s="5" t="s">
        <v>2213</v>
      </c>
      <c r="C1190" s="5">
        <v>8</v>
      </c>
      <c r="D1190" s="6">
        <v>969</v>
      </c>
      <c r="E1190" s="17">
        <f>VLOOKUP(A1190,'forecast data dump'!$A$1:$H$3450,4,FALSE)</f>
        <v>44818</v>
      </c>
      <c r="F1190" s="17">
        <f>VLOOKUP(A1190,'forecast data dump'!$A$1:$H$3450,5,FALSE)</f>
        <v>44824</v>
      </c>
      <c r="G1190" s="42">
        <f>VLOOKUP(A1190,'forecast data dump'!$A$1:$H$3450,8,FALSE)</f>
        <v>0</v>
      </c>
      <c r="H1190" s="5" t="s">
        <v>3745</v>
      </c>
      <c r="I1190" s="39">
        <f t="shared" si="348"/>
        <v>8</v>
      </c>
      <c r="J1190" s="5"/>
      <c r="K1190" s="5"/>
      <c r="L1190" s="33">
        <f t="shared" si="349"/>
        <v>969</v>
      </c>
      <c r="M1190" s="33">
        <f t="shared" si="350"/>
        <v>969</v>
      </c>
      <c r="N1190" s="33">
        <f t="shared" si="351"/>
        <v>0</v>
      </c>
      <c r="T1190">
        <v>1</v>
      </c>
      <c r="U1190" s="29">
        <f t="shared" si="352"/>
        <v>0</v>
      </c>
      <c r="V1190" s="29">
        <f t="shared" si="353"/>
        <v>0</v>
      </c>
      <c r="W1190" s="29">
        <f t="shared" si="354"/>
        <v>0</v>
      </c>
      <c r="X1190" s="29">
        <f t="shared" si="355"/>
        <v>0</v>
      </c>
      <c r="Y1190" s="29">
        <f t="shared" si="356"/>
        <v>0</v>
      </c>
      <c r="Z1190" s="29">
        <f t="shared" si="357"/>
        <v>969</v>
      </c>
    </row>
    <row r="1191" spans="1:26" x14ac:dyDescent="0.3">
      <c r="A1191" s="5" t="s">
        <v>2212</v>
      </c>
      <c r="B1191" s="5" t="s">
        <v>2213</v>
      </c>
      <c r="C1191" s="5">
        <v>8</v>
      </c>
      <c r="D1191" s="6">
        <v>969</v>
      </c>
      <c r="E1191" s="17">
        <f>VLOOKUP(A1191,'forecast data dump'!$A$1:$H$3450,4,FALSE)</f>
        <v>44818</v>
      </c>
      <c r="F1191" s="17">
        <f>VLOOKUP(A1191,'forecast data dump'!$A$1:$H$3450,5,FALSE)</f>
        <v>44824</v>
      </c>
      <c r="G1191" s="42">
        <f>VLOOKUP(A1191,'forecast data dump'!$A$1:$H$3450,8,FALSE)</f>
        <v>0</v>
      </c>
      <c r="H1191" s="5" t="s">
        <v>3741</v>
      </c>
      <c r="I1191" s="39">
        <f t="shared" si="348"/>
        <v>8</v>
      </c>
      <c r="J1191" s="5"/>
      <c r="K1191" s="5"/>
      <c r="L1191" s="33">
        <f t="shared" si="349"/>
        <v>969</v>
      </c>
      <c r="M1191" s="33">
        <f t="shared" si="350"/>
        <v>969</v>
      </c>
      <c r="N1191" s="33">
        <f t="shared" si="351"/>
        <v>0</v>
      </c>
      <c r="T1191">
        <v>1</v>
      </c>
      <c r="U1191" s="29">
        <f t="shared" si="352"/>
        <v>0</v>
      </c>
      <c r="V1191" s="29">
        <f t="shared" si="353"/>
        <v>0</v>
      </c>
      <c r="W1191" s="29">
        <f t="shared" si="354"/>
        <v>0</v>
      </c>
      <c r="X1191" s="29">
        <f t="shared" si="355"/>
        <v>0</v>
      </c>
      <c r="Y1191" s="29">
        <f t="shared" si="356"/>
        <v>0</v>
      </c>
      <c r="Z1191" s="29">
        <f t="shared" si="357"/>
        <v>969</v>
      </c>
    </row>
    <row r="1192" spans="1:26" x14ac:dyDescent="0.3">
      <c r="A1192" s="5" t="s">
        <v>2212</v>
      </c>
      <c r="B1192" s="5" t="s">
        <v>2213</v>
      </c>
      <c r="C1192" s="5">
        <v>8</v>
      </c>
      <c r="D1192" s="6">
        <v>969</v>
      </c>
      <c r="E1192" s="17">
        <f>VLOOKUP(A1192,'forecast data dump'!$A$1:$H$3450,4,FALSE)</f>
        <v>44818</v>
      </c>
      <c r="F1192" s="17">
        <f>VLOOKUP(A1192,'forecast data dump'!$A$1:$H$3450,5,FALSE)</f>
        <v>44824</v>
      </c>
      <c r="G1192" s="42">
        <f>VLOOKUP(A1192,'forecast data dump'!$A$1:$H$3450,8,FALSE)</f>
        <v>0</v>
      </c>
      <c r="H1192" s="5" t="s">
        <v>3742</v>
      </c>
      <c r="I1192" s="39">
        <f t="shared" si="348"/>
        <v>8</v>
      </c>
      <c r="J1192" s="5"/>
      <c r="K1192" s="5"/>
      <c r="L1192" s="33">
        <f t="shared" si="349"/>
        <v>969</v>
      </c>
      <c r="M1192" s="33">
        <f t="shared" si="350"/>
        <v>969</v>
      </c>
      <c r="N1192" s="33">
        <f t="shared" si="351"/>
        <v>0</v>
      </c>
      <c r="T1192">
        <v>1</v>
      </c>
      <c r="U1192" s="29">
        <f t="shared" si="352"/>
        <v>0</v>
      </c>
      <c r="V1192" s="29">
        <f t="shared" si="353"/>
        <v>0</v>
      </c>
      <c r="W1192" s="29">
        <f t="shared" si="354"/>
        <v>0</v>
      </c>
      <c r="X1192" s="29">
        <f t="shared" si="355"/>
        <v>0</v>
      </c>
      <c r="Y1192" s="29">
        <f t="shared" si="356"/>
        <v>0</v>
      </c>
      <c r="Z1192" s="29">
        <f t="shared" si="357"/>
        <v>969</v>
      </c>
    </row>
    <row r="1193" spans="1:26" x14ac:dyDescent="0.3">
      <c r="A1193" s="5" t="s">
        <v>2214</v>
      </c>
      <c r="B1193" s="5" t="s">
        <v>2215</v>
      </c>
      <c r="C1193" s="5">
        <v>8</v>
      </c>
      <c r="D1193" s="6">
        <v>1250</v>
      </c>
      <c r="E1193" s="17">
        <f>VLOOKUP(A1193,'forecast data dump'!$A$1:$H$3450,4,FALSE)</f>
        <v>44825</v>
      </c>
      <c r="F1193" s="17">
        <f>VLOOKUP(A1193,'forecast data dump'!$A$1:$H$3450,5,FALSE)</f>
        <v>44831</v>
      </c>
      <c r="G1193" s="42">
        <f>VLOOKUP(A1193,'forecast data dump'!$A$1:$H$3450,8,FALSE)</f>
        <v>0</v>
      </c>
      <c r="H1193" s="5" t="s">
        <v>3733</v>
      </c>
      <c r="I1193" s="39">
        <f t="shared" si="348"/>
        <v>8</v>
      </c>
      <c r="J1193" s="5"/>
      <c r="K1193" s="5"/>
      <c r="L1193" s="33">
        <f t="shared" si="349"/>
        <v>1250</v>
      </c>
      <c r="M1193" s="33">
        <f t="shared" si="350"/>
        <v>1250</v>
      </c>
      <c r="N1193" s="33">
        <f t="shared" si="351"/>
        <v>0</v>
      </c>
      <c r="T1193">
        <v>1</v>
      </c>
      <c r="U1193" s="29">
        <f t="shared" si="352"/>
        <v>0</v>
      </c>
      <c r="V1193" s="29">
        <f t="shared" si="353"/>
        <v>0</v>
      </c>
      <c r="W1193" s="29">
        <f t="shared" si="354"/>
        <v>0</v>
      </c>
      <c r="X1193" s="29">
        <f t="shared" si="355"/>
        <v>0</v>
      </c>
      <c r="Y1193" s="29">
        <f t="shared" si="356"/>
        <v>0</v>
      </c>
      <c r="Z1193" s="29">
        <f t="shared" si="357"/>
        <v>1250</v>
      </c>
    </row>
    <row r="1194" spans="1:26" x14ac:dyDescent="0.3">
      <c r="A1194" s="5" t="s">
        <v>2214</v>
      </c>
      <c r="B1194" s="5" t="s">
        <v>2215</v>
      </c>
      <c r="C1194" s="5">
        <v>8</v>
      </c>
      <c r="D1194" s="6">
        <v>969</v>
      </c>
      <c r="E1194" s="17">
        <f>VLOOKUP(A1194,'forecast data dump'!$A$1:$H$3450,4,FALSE)</f>
        <v>44825</v>
      </c>
      <c r="F1194" s="17">
        <f>VLOOKUP(A1194,'forecast data dump'!$A$1:$H$3450,5,FALSE)</f>
        <v>44831</v>
      </c>
      <c r="G1194" s="42">
        <f>VLOOKUP(A1194,'forecast data dump'!$A$1:$H$3450,8,FALSE)</f>
        <v>0</v>
      </c>
      <c r="H1194" s="5" t="s">
        <v>3745</v>
      </c>
      <c r="I1194" s="39">
        <f t="shared" si="348"/>
        <v>8</v>
      </c>
      <c r="J1194" s="5"/>
      <c r="K1194" s="5"/>
      <c r="L1194" s="33">
        <f t="shared" si="349"/>
        <v>969</v>
      </c>
      <c r="M1194" s="33">
        <f t="shared" si="350"/>
        <v>969</v>
      </c>
      <c r="N1194" s="33">
        <f t="shared" si="351"/>
        <v>0</v>
      </c>
      <c r="T1194">
        <v>1</v>
      </c>
      <c r="U1194" s="29">
        <f t="shared" si="352"/>
        <v>0</v>
      </c>
      <c r="V1194" s="29">
        <f t="shared" si="353"/>
        <v>0</v>
      </c>
      <c r="W1194" s="29">
        <f t="shared" si="354"/>
        <v>0</v>
      </c>
      <c r="X1194" s="29">
        <f t="shared" si="355"/>
        <v>0</v>
      </c>
      <c r="Y1194" s="29">
        <f t="shared" si="356"/>
        <v>0</v>
      </c>
      <c r="Z1194" s="29">
        <f t="shared" si="357"/>
        <v>969</v>
      </c>
    </row>
    <row r="1195" spans="1:26" x14ac:dyDescent="0.3">
      <c r="A1195" s="5" t="s">
        <v>2214</v>
      </c>
      <c r="B1195" s="5" t="s">
        <v>2215</v>
      </c>
      <c r="C1195" s="5">
        <v>8</v>
      </c>
      <c r="D1195" s="6">
        <v>969</v>
      </c>
      <c r="E1195" s="17">
        <f>VLOOKUP(A1195,'forecast data dump'!$A$1:$H$3450,4,FALSE)</f>
        <v>44825</v>
      </c>
      <c r="F1195" s="17">
        <f>VLOOKUP(A1195,'forecast data dump'!$A$1:$H$3450,5,FALSE)</f>
        <v>44831</v>
      </c>
      <c r="G1195" s="42">
        <f>VLOOKUP(A1195,'forecast data dump'!$A$1:$H$3450,8,FALSE)</f>
        <v>0</v>
      </c>
      <c r="H1195" s="5" t="s">
        <v>3741</v>
      </c>
      <c r="I1195" s="39">
        <f t="shared" si="348"/>
        <v>8</v>
      </c>
      <c r="J1195" s="5"/>
      <c r="K1195" s="5"/>
      <c r="L1195" s="33">
        <f t="shared" si="349"/>
        <v>969</v>
      </c>
      <c r="M1195" s="33">
        <f t="shared" si="350"/>
        <v>969</v>
      </c>
      <c r="N1195" s="33">
        <f t="shared" si="351"/>
        <v>0</v>
      </c>
      <c r="T1195">
        <v>1</v>
      </c>
      <c r="U1195" s="29">
        <f t="shared" si="352"/>
        <v>0</v>
      </c>
      <c r="V1195" s="29">
        <f t="shared" si="353"/>
        <v>0</v>
      </c>
      <c r="W1195" s="29">
        <f t="shared" si="354"/>
        <v>0</v>
      </c>
      <c r="X1195" s="29">
        <f t="shared" si="355"/>
        <v>0</v>
      </c>
      <c r="Y1195" s="29">
        <f t="shared" si="356"/>
        <v>0</v>
      </c>
      <c r="Z1195" s="29">
        <f t="shared" si="357"/>
        <v>969</v>
      </c>
    </row>
    <row r="1196" spans="1:26" x14ac:dyDescent="0.3">
      <c r="A1196" s="5" t="s">
        <v>2214</v>
      </c>
      <c r="B1196" s="5" t="s">
        <v>2215</v>
      </c>
      <c r="C1196" s="5">
        <v>8</v>
      </c>
      <c r="D1196" s="6">
        <v>969</v>
      </c>
      <c r="E1196" s="17">
        <f>VLOOKUP(A1196,'forecast data dump'!$A$1:$H$3450,4,FALSE)</f>
        <v>44825</v>
      </c>
      <c r="F1196" s="17">
        <f>VLOOKUP(A1196,'forecast data dump'!$A$1:$H$3450,5,FALSE)</f>
        <v>44831</v>
      </c>
      <c r="G1196" s="42">
        <f>VLOOKUP(A1196,'forecast data dump'!$A$1:$H$3450,8,FALSE)</f>
        <v>0</v>
      </c>
      <c r="H1196" s="5" t="s">
        <v>3742</v>
      </c>
      <c r="I1196" s="39">
        <f t="shared" si="348"/>
        <v>8</v>
      </c>
      <c r="J1196" s="5"/>
      <c r="K1196" s="5"/>
      <c r="L1196" s="33">
        <f t="shared" si="349"/>
        <v>969</v>
      </c>
      <c r="M1196" s="33">
        <f t="shared" si="350"/>
        <v>969</v>
      </c>
      <c r="N1196" s="33">
        <f t="shared" si="351"/>
        <v>0</v>
      </c>
      <c r="T1196">
        <v>1</v>
      </c>
      <c r="U1196" s="29">
        <f t="shared" si="352"/>
        <v>0</v>
      </c>
      <c r="V1196" s="29">
        <f t="shared" si="353"/>
        <v>0</v>
      </c>
      <c r="W1196" s="29">
        <f t="shared" si="354"/>
        <v>0</v>
      </c>
      <c r="X1196" s="29">
        <f t="shared" si="355"/>
        <v>0</v>
      </c>
      <c r="Y1196" s="29">
        <f t="shared" si="356"/>
        <v>0</v>
      </c>
      <c r="Z1196" s="29">
        <f t="shared" si="357"/>
        <v>969</v>
      </c>
    </row>
    <row r="1197" spans="1:26" x14ac:dyDescent="0.3">
      <c r="A1197" s="5" t="s">
        <v>2216</v>
      </c>
      <c r="B1197" s="5" t="s">
        <v>2217</v>
      </c>
      <c r="C1197" s="5">
        <v>400</v>
      </c>
      <c r="D1197" s="6">
        <v>73035</v>
      </c>
      <c r="E1197" s="17">
        <f>VLOOKUP(A1197,'forecast data dump'!$A$1:$H$3450,4,FALSE)</f>
        <v>44832</v>
      </c>
      <c r="F1197" s="17">
        <f>VLOOKUP(A1197,'forecast data dump'!$A$1:$H$3450,5,FALSE)</f>
        <v>44838</v>
      </c>
      <c r="G1197" s="42">
        <f>VLOOKUP(A1197,'forecast data dump'!$A$1:$H$3450,8,FALSE)</f>
        <v>0</v>
      </c>
      <c r="H1197" s="5" t="s">
        <v>3740</v>
      </c>
      <c r="I1197" s="39">
        <f t="shared" si="348"/>
        <v>400</v>
      </c>
      <c r="J1197" s="5"/>
      <c r="K1197" s="5"/>
      <c r="L1197" s="33">
        <f t="shared" si="349"/>
        <v>73035</v>
      </c>
      <c r="M1197" s="33">
        <f t="shared" si="350"/>
        <v>73035</v>
      </c>
      <c r="N1197" s="33">
        <f t="shared" si="351"/>
        <v>0</v>
      </c>
      <c r="T1197">
        <v>1</v>
      </c>
      <c r="U1197" s="29">
        <f t="shared" si="352"/>
        <v>0</v>
      </c>
      <c r="V1197" s="29">
        <f t="shared" si="353"/>
        <v>0</v>
      </c>
      <c r="W1197" s="29">
        <f t="shared" si="354"/>
        <v>0</v>
      </c>
      <c r="X1197" s="29">
        <f t="shared" si="355"/>
        <v>0</v>
      </c>
      <c r="Y1197" s="29">
        <f t="shared" si="356"/>
        <v>0</v>
      </c>
      <c r="Z1197" s="29">
        <f t="shared" si="357"/>
        <v>73035</v>
      </c>
    </row>
    <row r="1198" spans="1:26" x14ac:dyDescent="0.3">
      <c r="A1198" s="5" t="s">
        <v>2216</v>
      </c>
      <c r="B1198" s="5" t="s">
        <v>2217</v>
      </c>
      <c r="C1198" s="5">
        <v>40</v>
      </c>
      <c r="D1198" s="6">
        <v>4843</v>
      </c>
      <c r="E1198" s="17">
        <f>VLOOKUP(A1198,'forecast data dump'!$A$1:$H$3450,4,FALSE)</f>
        <v>44832</v>
      </c>
      <c r="F1198" s="17">
        <f>VLOOKUP(A1198,'forecast data dump'!$A$1:$H$3450,5,FALSE)</f>
        <v>44838</v>
      </c>
      <c r="G1198" s="42">
        <f>VLOOKUP(A1198,'forecast data dump'!$A$1:$H$3450,8,FALSE)</f>
        <v>0</v>
      </c>
      <c r="H1198" s="5" t="s">
        <v>3741</v>
      </c>
      <c r="I1198" s="39">
        <f t="shared" si="348"/>
        <v>40</v>
      </c>
      <c r="J1198" s="5"/>
      <c r="K1198" s="5"/>
      <c r="L1198" s="33">
        <f t="shared" si="349"/>
        <v>4843</v>
      </c>
      <c r="M1198" s="33">
        <f t="shared" si="350"/>
        <v>4843</v>
      </c>
      <c r="N1198" s="33">
        <f t="shared" si="351"/>
        <v>0</v>
      </c>
      <c r="T1198">
        <v>1</v>
      </c>
      <c r="U1198" s="29">
        <f t="shared" si="352"/>
        <v>0</v>
      </c>
      <c r="V1198" s="29">
        <f t="shared" si="353"/>
        <v>0</v>
      </c>
      <c r="W1198" s="29">
        <f t="shared" si="354"/>
        <v>0</v>
      </c>
      <c r="X1198" s="29">
        <f t="shared" si="355"/>
        <v>0</v>
      </c>
      <c r="Y1198" s="29">
        <f t="shared" si="356"/>
        <v>0</v>
      </c>
      <c r="Z1198" s="29">
        <f t="shared" si="357"/>
        <v>4843</v>
      </c>
    </row>
    <row r="1199" spans="1:26" x14ac:dyDescent="0.3">
      <c r="A1199" s="5" t="s">
        <v>2216</v>
      </c>
      <c r="B1199" s="5" t="s">
        <v>2217</v>
      </c>
      <c r="C1199" s="5">
        <v>40</v>
      </c>
      <c r="D1199" s="6">
        <v>6249</v>
      </c>
      <c r="E1199" s="17">
        <f>VLOOKUP(A1199,'forecast data dump'!$A$1:$H$3450,4,FALSE)</f>
        <v>44832</v>
      </c>
      <c r="F1199" s="17">
        <f>VLOOKUP(A1199,'forecast data dump'!$A$1:$H$3450,5,FALSE)</f>
        <v>44838</v>
      </c>
      <c r="G1199" s="42">
        <f>VLOOKUP(A1199,'forecast data dump'!$A$1:$H$3450,8,FALSE)</f>
        <v>0</v>
      </c>
      <c r="H1199" s="5" t="s">
        <v>3744</v>
      </c>
      <c r="I1199" s="39">
        <f t="shared" si="348"/>
        <v>40</v>
      </c>
      <c r="J1199" s="5"/>
      <c r="K1199" s="5"/>
      <c r="L1199" s="33">
        <f t="shared" si="349"/>
        <v>6249</v>
      </c>
      <c r="M1199" s="33">
        <f t="shared" si="350"/>
        <v>6249</v>
      </c>
      <c r="N1199" s="33">
        <f t="shared" si="351"/>
        <v>0</v>
      </c>
      <c r="T1199">
        <v>1</v>
      </c>
      <c r="U1199" s="29">
        <f t="shared" si="352"/>
        <v>0</v>
      </c>
      <c r="V1199" s="29">
        <f t="shared" si="353"/>
        <v>0</v>
      </c>
      <c r="W1199" s="29">
        <f t="shared" si="354"/>
        <v>0</v>
      </c>
      <c r="X1199" s="29">
        <f t="shared" si="355"/>
        <v>0</v>
      </c>
      <c r="Y1199" s="29">
        <f t="shared" si="356"/>
        <v>0</v>
      </c>
      <c r="Z1199" s="29">
        <f t="shared" si="357"/>
        <v>6249</v>
      </c>
    </row>
    <row r="1200" spans="1:26" x14ac:dyDescent="0.3">
      <c r="A1200" s="5" t="s">
        <v>2216</v>
      </c>
      <c r="B1200" s="5" t="s">
        <v>2217</v>
      </c>
      <c r="C1200" s="5">
        <v>40</v>
      </c>
      <c r="D1200" s="6">
        <v>4843</v>
      </c>
      <c r="E1200" s="17">
        <f>VLOOKUP(A1200,'forecast data dump'!$A$1:$H$3450,4,FALSE)</f>
        <v>44832</v>
      </c>
      <c r="F1200" s="17">
        <f>VLOOKUP(A1200,'forecast data dump'!$A$1:$H$3450,5,FALSE)</f>
        <v>44838</v>
      </c>
      <c r="G1200" s="42">
        <f>VLOOKUP(A1200,'forecast data dump'!$A$1:$H$3450,8,FALSE)</f>
        <v>0</v>
      </c>
      <c r="H1200" s="5" t="s">
        <v>3742</v>
      </c>
      <c r="I1200" s="39">
        <f t="shared" si="348"/>
        <v>40</v>
      </c>
      <c r="J1200" s="5"/>
      <c r="K1200" s="5"/>
      <c r="L1200" s="33">
        <f t="shared" si="349"/>
        <v>4843</v>
      </c>
      <c r="M1200" s="33">
        <f t="shared" si="350"/>
        <v>4843</v>
      </c>
      <c r="N1200" s="33">
        <f t="shared" si="351"/>
        <v>0</v>
      </c>
      <c r="T1200">
        <v>1</v>
      </c>
      <c r="U1200" s="29">
        <f t="shared" si="352"/>
        <v>0</v>
      </c>
      <c r="V1200" s="29">
        <f t="shared" si="353"/>
        <v>0</v>
      </c>
      <c r="W1200" s="29">
        <f t="shared" si="354"/>
        <v>0</v>
      </c>
      <c r="X1200" s="29">
        <f t="shared" si="355"/>
        <v>0</v>
      </c>
      <c r="Y1200" s="29">
        <f t="shared" si="356"/>
        <v>0</v>
      </c>
      <c r="Z1200" s="29">
        <f t="shared" si="357"/>
        <v>4843</v>
      </c>
    </row>
    <row r="1201" spans="1:26" x14ac:dyDescent="0.3">
      <c r="A1201" s="5" t="s">
        <v>2216</v>
      </c>
      <c r="B1201" s="5" t="s">
        <v>2217</v>
      </c>
      <c r="C1201" s="5">
        <v>40</v>
      </c>
      <c r="D1201" s="6">
        <v>6249</v>
      </c>
      <c r="E1201" s="17">
        <f>VLOOKUP(A1201,'forecast data dump'!$A$1:$H$3450,4,FALSE)</f>
        <v>44832</v>
      </c>
      <c r="F1201" s="17">
        <f>VLOOKUP(A1201,'forecast data dump'!$A$1:$H$3450,5,FALSE)</f>
        <v>44838</v>
      </c>
      <c r="G1201" s="42">
        <f>VLOOKUP(A1201,'forecast data dump'!$A$1:$H$3450,8,FALSE)</f>
        <v>0</v>
      </c>
      <c r="H1201" s="5" t="s">
        <v>3733</v>
      </c>
      <c r="I1201" s="39">
        <f t="shared" si="348"/>
        <v>40</v>
      </c>
      <c r="J1201" s="5"/>
      <c r="K1201" s="5"/>
      <c r="L1201" s="33">
        <f t="shared" si="349"/>
        <v>6249</v>
      </c>
      <c r="M1201" s="33">
        <f t="shared" si="350"/>
        <v>6249</v>
      </c>
      <c r="N1201" s="33">
        <f t="shared" si="351"/>
        <v>0</v>
      </c>
      <c r="T1201">
        <v>1</v>
      </c>
      <c r="U1201" s="29">
        <f t="shared" si="352"/>
        <v>0</v>
      </c>
      <c r="V1201" s="29">
        <f t="shared" si="353"/>
        <v>0</v>
      </c>
      <c r="W1201" s="29">
        <f t="shared" si="354"/>
        <v>0</v>
      </c>
      <c r="X1201" s="29">
        <f t="shared" si="355"/>
        <v>0</v>
      </c>
      <c r="Y1201" s="29">
        <f t="shared" si="356"/>
        <v>0</v>
      </c>
      <c r="Z1201" s="29">
        <f t="shared" si="357"/>
        <v>6249</v>
      </c>
    </row>
    <row r="1202" spans="1:26" x14ac:dyDescent="0.3">
      <c r="A1202" s="5" t="s">
        <v>2216</v>
      </c>
      <c r="B1202" s="5" t="s">
        <v>2217</v>
      </c>
      <c r="C1202" s="5">
        <v>40</v>
      </c>
      <c r="D1202" s="6">
        <v>4843</v>
      </c>
      <c r="E1202" s="17">
        <f>VLOOKUP(A1202,'forecast data dump'!$A$1:$H$3450,4,FALSE)</f>
        <v>44832</v>
      </c>
      <c r="F1202" s="17">
        <f>VLOOKUP(A1202,'forecast data dump'!$A$1:$H$3450,5,FALSE)</f>
        <v>44838</v>
      </c>
      <c r="G1202" s="42">
        <f>VLOOKUP(A1202,'forecast data dump'!$A$1:$H$3450,8,FALSE)</f>
        <v>0</v>
      </c>
      <c r="H1202" s="5" t="s">
        <v>3745</v>
      </c>
      <c r="I1202" s="39">
        <f t="shared" si="348"/>
        <v>40</v>
      </c>
      <c r="J1202" s="5"/>
      <c r="K1202" s="5"/>
      <c r="L1202" s="33">
        <f t="shared" si="349"/>
        <v>4843</v>
      </c>
      <c r="M1202" s="33">
        <f t="shared" si="350"/>
        <v>4843</v>
      </c>
      <c r="N1202" s="33">
        <f t="shared" si="351"/>
        <v>0</v>
      </c>
      <c r="T1202">
        <v>1</v>
      </c>
      <c r="U1202" s="29">
        <f t="shared" si="352"/>
        <v>0</v>
      </c>
      <c r="V1202" s="29">
        <f t="shared" si="353"/>
        <v>0</v>
      </c>
      <c r="W1202" s="29">
        <f t="shared" si="354"/>
        <v>0</v>
      </c>
      <c r="X1202" s="29">
        <f t="shared" si="355"/>
        <v>0</v>
      </c>
      <c r="Y1202" s="29">
        <f t="shared" si="356"/>
        <v>0</v>
      </c>
      <c r="Z1202" s="29">
        <f t="shared" si="357"/>
        <v>4843</v>
      </c>
    </row>
    <row r="1203" spans="1:26" x14ac:dyDescent="0.3">
      <c r="A1203" s="5" t="s">
        <v>2218</v>
      </c>
      <c r="B1203" s="5" t="s">
        <v>2219</v>
      </c>
      <c r="C1203" s="5">
        <v>10000</v>
      </c>
      <c r="D1203" s="6">
        <v>11607</v>
      </c>
      <c r="E1203" s="17">
        <f>VLOOKUP(A1203,'forecast data dump'!$A$1:$H$3450,4,FALSE)</f>
        <v>44410</v>
      </c>
      <c r="F1203" s="17">
        <f>VLOOKUP(A1203,'forecast data dump'!$A$1:$H$3450,5,FALSE)</f>
        <v>44495</v>
      </c>
      <c r="G1203" s="42">
        <f>VLOOKUP(A1203,'forecast data dump'!$A$1:$H$3450,8,FALSE)</f>
        <v>0</v>
      </c>
      <c r="H1203" s="5" t="s">
        <v>3762</v>
      </c>
      <c r="I1203" s="39">
        <f t="shared" si="348"/>
        <v>10000</v>
      </c>
      <c r="J1203" s="5"/>
      <c r="K1203" s="5"/>
      <c r="L1203" s="33">
        <f t="shared" si="349"/>
        <v>11607</v>
      </c>
      <c r="M1203" s="33">
        <f t="shared" si="350"/>
        <v>11607</v>
      </c>
      <c r="N1203" s="33">
        <f t="shared" si="351"/>
        <v>0</v>
      </c>
      <c r="Q1203">
        <v>1</v>
      </c>
      <c r="U1203" s="29">
        <f t="shared" si="352"/>
        <v>0</v>
      </c>
      <c r="V1203" s="29">
        <f t="shared" si="353"/>
        <v>0</v>
      </c>
      <c r="W1203" s="29">
        <f t="shared" si="354"/>
        <v>11607</v>
      </c>
      <c r="X1203" s="29">
        <f t="shared" si="355"/>
        <v>0</v>
      </c>
      <c r="Y1203" s="29">
        <f t="shared" si="356"/>
        <v>0</v>
      </c>
      <c r="Z1203" s="29">
        <f t="shared" si="357"/>
        <v>0</v>
      </c>
    </row>
    <row r="1204" spans="1:26" x14ac:dyDescent="0.3">
      <c r="A1204" s="5" t="s">
        <v>2220</v>
      </c>
      <c r="B1204" s="5" t="s">
        <v>2221</v>
      </c>
      <c r="C1204" s="5">
        <v>500</v>
      </c>
      <c r="D1204" s="6">
        <v>592</v>
      </c>
      <c r="E1204" s="17">
        <f>VLOOKUP(A1204,'forecast data dump'!$A$1:$H$3450,4,FALSE)</f>
        <v>44783</v>
      </c>
      <c r="F1204" s="17">
        <f>VLOOKUP(A1204,'forecast data dump'!$A$1:$H$3450,5,FALSE)</f>
        <v>44783</v>
      </c>
      <c r="G1204" s="42">
        <f>VLOOKUP(A1204,'forecast data dump'!$A$1:$H$3450,8,FALSE)</f>
        <v>0</v>
      </c>
      <c r="H1204" s="5" t="s">
        <v>3762</v>
      </c>
      <c r="I1204" s="39">
        <f t="shared" si="348"/>
        <v>500</v>
      </c>
      <c r="J1204" s="5"/>
      <c r="K1204" s="5"/>
      <c r="L1204" s="33">
        <f t="shared" si="349"/>
        <v>592</v>
      </c>
      <c r="M1204" s="33">
        <f t="shared" si="350"/>
        <v>592</v>
      </c>
      <c r="N1204" s="33">
        <f t="shared" si="351"/>
        <v>0</v>
      </c>
      <c r="Q1204">
        <v>1</v>
      </c>
      <c r="U1204" s="29">
        <f t="shared" si="352"/>
        <v>0</v>
      </c>
      <c r="V1204" s="29">
        <f t="shared" si="353"/>
        <v>0</v>
      </c>
      <c r="W1204" s="29">
        <f t="shared" si="354"/>
        <v>592</v>
      </c>
      <c r="X1204" s="29">
        <f t="shared" si="355"/>
        <v>0</v>
      </c>
      <c r="Y1204" s="29">
        <f t="shared" si="356"/>
        <v>0</v>
      </c>
      <c r="Z1204" s="29">
        <f t="shared" si="357"/>
        <v>0</v>
      </c>
    </row>
    <row r="1205" spans="1:26" x14ac:dyDescent="0.3">
      <c r="A1205" s="5" t="s">
        <v>2222</v>
      </c>
      <c r="B1205" s="5" t="s">
        <v>2223</v>
      </c>
      <c r="C1205" s="5">
        <v>500</v>
      </c>
      <c r="D1205" s="6">
        <v>592</v>
      </c>
      <c r="E1205" s="17">
        <f>VLOOKUP(A1205,'forecast data dump'!$A$1:$H$3450,4,FALSE)</f>
        <v>44784</v>
      </c>
      <c r="F1205" s="17">
        <f>VLOOKUP(A1205,'forecast data dump'!$A$1:$H$3450,5,FALSE)</f>
        <v>44795</v>
      </c>
      <c r="G1205" s="42">
        <f>VLOOKUP(A1205,'forecast data dump'!$A$1:$H$3450,8,FALSE)</f>
        <v>0</v>
      </c>
      <c r="H1205" s="5" t="s">
        <v>3762</v>
      </c>
      <c r="I1205" s="39">
        <f t="shared" si="348"/>
        <v>500</v>
      </c>
      <c r="J1205" s="5"/>
      <c r="K1205" s="5"/>
      <c r="L1205" s="33">
        <f t="shared" si="349"/>
        <v>592</v>
      </c>
      <c r="M1205" s="33">
        <f t="shared" si="350"/>
        <v>592</v>
      </c>
      <c r="N1205" s="33">
        <f t="shared" si="351"/>
        <v>0</v>
      </c>
      <c r="Q1205">
        <v>1</v>
      </c>
      <c r="U1205" s="29">
        <f t="shared" si="352"/>
        <v>0</v>
      </c>
      <c r="V1205" s="29">
        <f t="shared" si="353"/>
        <v>0</v>
      </c>
      <c r="W1205" s="29">
        <f t="shared" si="354"/>
        <v>592</v>
      </c>
      <c r="X1205" s="29">
        <f t="shared" si="355"/>
        <v>0</v>
      </c>
      <c r="Y1205" s="29">
        <f t="shared" si="356"/>
        <v>0</v>
      </c>
      <c r="Z1205" s="29">
        <f t="shared" si="357"/>
        <v>0</v>
      </c>
    </row>
    <row r="1206" spans="1:26" x14ac:dyDescent="0.3">
      <c r="A1206" s="5" t="s">
        <v>2224</v>
      </c>
      <c r="B1206" s="5" t="s">
        <v>2225</v>
      </c>
      <c r="C1206" s="5">
        <v>500</v>
      </c>
      <c r="D1206" s="6">
        <v>592</v>
      </c>
      <c r="E1206" s="17">
        <f>VLOOKUP(A1206,'forecast data dump'!$A$1:$H$3450,4,FALSE)</f>
        <v>44796</v>
      </c>
      <c r="F1206" s="17">
        <f>VLOOKUP(A1206,'forecast data dump'!$A$1:$H$3450,5,FALSE)</f>
        <v>44802</v>
      </c>
      <c r="G1206" s="42">
        <f>VLOOKUP(A1206,'forecast data dump'!$A$1:$H$3450,8,FALSE)</f>
        <v>0</v>
      </c>
      <c r="H1206" s="5" t="s">
        <v>3762</v>
      </c>
      <c r="I1206" s="39">
        <f t="shared" si="348"/>
        <v>500</v>
      </c>
      <c r="J1206" s="5"/>
      <c r="K1206" s="5"/>
      <c r="L1206" s="33">
        <f t="shared" si="349"/>
        <v>592</v>
      </c>
      <c r="M1206" s="33">
        <f t="shared" si="350"/>
        <v>592</v>
      </c>
      <c r="N1206" s="33">
        <f t="shared" si="351"/>
        <v>0</v>
      </c>
      <c r="Q1206">
        <v>1</v>
      </c>
      <c r="U1206" s="29">
        <f t="shared" si="352"/>
        <v>0</v>
      </c>
      <c r="V1206" s="29">
        <f t="shared" si="353"/>
        <v>0</v>
      </c>
      <c r="W1206" s="29">
        <f t="shared" si="354"/>
        <v>592</v>
      </c>
      <c r="X1206" s="29">
        <f t="shared" si="355"/>
        <v>0</v>
      </c>
      <c r="Y1206" s="29">
        <f t="shared" si="356"/>
        <v>0</v>
      </c>
      <c r="Z1206" s="29">
        <f t="shared" si="357"/>
        <v>0</v>
      </c>
    </row>
    <row r="1207" spans="1:26" x14ac:dyDescent="0.3">
      <c r="A1207" s="5" t="s">
        <v>2226</v>
      </c>
      <c r="B1207" s="5" t="s">
        <v>2227</v>
      </c>
      <c r="C1207" s="5">
        <v>500</v>
      </c>
      <c r="D1207" s="6">
        <v>592</v>
      </c>
      <c r="E1207" s="17">
        <f>VLOOKUP(A1207,'forecast data dump'!$A$1:$H$3450,4,FALSE)</f>
        <v>44803</v>
      </c>
      <c r="F1207" s="17">
        <f>VLOOKUP(A1207,'forecast data dump'!$A$1:$H$3450,5,FALSE)</f>
        <v>44810</v>
      </c>
      <c r="G1207" s="42">
        <f>VLOOKUP(A1207,'forecast data dump'!$A$1:$H$3450,8,FALSE)</f>
        <v>0</v>
      </c>
      <c r="H1207" s="5" t="s">
        <v>3762</v>
      </c>
      <c r="I1207" s="39">
        <f t="shared" si="348"/>
        <v>500</v>
      </c>
      <c r="J1207" s="5"/>
      <c r="K1207" s="5"/>
      <c r="L1207" s="33">
        <f t="shared" si="349"/>
        <v>592</v>
      </c>
      <c r="M1207" s="33">
        <f t="shared" si="350"/>
        <v>592</v>
      </c>
      <c r="N1207" s="33">
        <f t="shared" si="351"/>
        <v>0</v>
      </c>
      <c r="Q1207">
        <v>1</v>
      </c>
      <c r="U1207" s="29">
        <f t="shared" si="352"/>
        <v>0</v>
      </c>
      <c r="V1207" s="29">
        <f t="shared" si="353"/>
        <v>0</v>
      </c>
      <c r="W1207" s="29">
        <f t="shared" si="354"/>
        <v>592</v>
      </c>
      <c r="X1207" s="29">
        <f t="shared" si="355"/>
        <v>0</v>
      </c>
      <c r="Y1207" s="29">
        <f t="shared" si="356"/>
        <v>0</v>
      </c>
      <c r="Z1207" s="29">
        <f t="shared" si="357"/>
        <v>0</v>
      </c>
    </row>
    <row r="1208" spans="1:26" x14ac:dyDescent="0.3">
      <c r="A1208" s="5" t="s">
        <v>2228</v>
      </c>
      <c r="B1208" s="5" t="s">
        <v>2229</v>
      </c>
      <c r="C1208" s="5">
        <v>500</v>
      </c>
      <c r="D1208" s="6">
        <v>592</v>
      </c>
      <c r="E1208" s="17">
        <f>VLOOKUP(A1208,'forecast data dump'!$A$1:$H$3450,4,FALSE)</f>
        <v>44811</v>
      </c>
      <c r="F1208" s="17">
        <f>VLOOKUP(A1208,'forecast data dump'!$A$1:$H$3450,5,FALSE)</f>
        <v>44817</v>
      </c>
      <c r="G1208" s="42">
        <f>VLOOKUP(A1208,'forecast data dump'!$A$1:$H$3450,8,FALSE)</f>
        <v>0</v>
      </c>
      <c r="H1208" s="5" t="s">
        <v>3762</v>
      </c>
      <c r="I1208" s="39">
        <f t="shared" si="348"/>
        <v>500</v>
      </c>
      <c r="J1208" s="5"/>
      <c r="K1208" s="5"/>
      <c r="L1208" s="33">
        <f t="shared" si="349"/>
        <v>592</v>
      </c>
      <c r="M1208" s="33">
        <f t="shared" si="350"/>
        <v>592</v>
      </c>
      <c r="N1208" s="33">
        <f t="shared" si="351"/>
        <v>0</v>
      </c>
      <c r="Q1208">
        <v>1</v>
      </c>
      <c r="U1208" s="29">
        <f t="shared" si="352"/>
        <v>0</v>
      </c>
      <c r="V1208" s="29">
        <f t="shared" si="353"/>
        <v>0</v>
      </c>
      <c r="W1208" s="29">
        <f t="shared" si="354"/>
        <v>592</v>
      </c>
      <c r="X1208" s="29">
        <f t="shared" si="355"/>
        <v>0</v>
      </c>
      <c r="Y1208" s="29">
        <f t="shared" si="356"/>
        <v>0</v>
      </c>
      <c r="Z1208" s="29">
        <f t="shared" si="357"/>
        <v>0</v>
      </c>
    </row>
    <row r="1209" spans="1:26" x14ac:dyDescent="0.3">
      <c r="A1209" s="5" t="s">
        <v>2230</v>
      </c>
      <c r="B1209" s="5" t="s">
        <v>2231</v>
      </c>
      <c r="C1209" s="5">
        <v>500</v>
      </c>
      <c r="D1209" s="6">
        <v>592</v>
      </c>
      <c r="E1209" s="17">
        <f>VLOOKUP(A1209,'forecast data dump'!$A$1:$H$3450,4,FALSE)</f>
        <v>44832</v>
      </c>
      <c r="F1209" s="17">
        <f>VLOOKUP(A1209,'forecast data dump'!$A$1:$H$3450,5,FALSE)</f>
        <v>44838</v>
      </c>
      <c r="G1209" s="42">
        <f>VLOOKUP(A1209,'forecast data dump'!$A$1:$H$3450,8,FALSE)</f>
        <v>0</v>
      </c>
      <c r="H1209" s="5" t="s">
        <v>3762</v>
      </c>
      <c r="I1209" s="39">
        <f t="shared" si="348"/>
        <v>500</v>
      </c>
      <c r="J1209" s="5"/>
      <c r="K1209" s="5"/>
      <c r="L1209" s="33">
        <f t="shared" si="349"/>
        <v>592</v>
      </c>
      <c r="M1209" s="33">
        <f t="shared" si="350"/>
        <v>592</v>
      </c>
      <c r="N1209" s="33">
        <f t="shared" si="351"/>
        <v>0</v>
      </c>
      <c r="Q1209">
        <v>1</v>
      </c>
      <c r="U1209" s="29">
        <f t="shared" si="352"/>
        <v>0</v>
      </c>
      <c r="V1209" s="29">
        <f t="shared" si="353"/>
        <v>0</v>
      </c>
      <c r="W1209" s="29">
        <f t="shared" si="354"/>
        <v>592</v>
      </c>
      <c r="X1209" s="29">
        <f t="shared" si="355"/>
        <v>0</v>
      </c>
      <c r="Y1209" s="29">
        <f t="shared" si="356"/>
        <v>0</v>
      </c>
      <c r="Z1209" s="29">
        <f t="shared" si="357"/>
        <v>0</v>
      </c>
    </row>
    <row r="1210" spans="1:26" x14ac:dyDescent="0.3">
      <c r="A1210" s="5" t="s">
        <v>2233</v>
      </c>
      <c r="B1210" s="5" t="s">
        <v>2234</v>
      </c>
      <c r="C1210" s="5">
        <v>20</v>
      </c>
      <c r="D1210" s="6">
        <v>2654</v>
      </c>
      <c r="E1210" s="17">
        <f>VLOOKUP(A1210,'forecast data dump'!$A$1:$H$3450,4,FALSE)</f>
        <v>44803</v>
      </c>
      <c r="F1210" s="17">
        <f>VLOOKUP(A1210,'forecast data dump'!$A$1:$H$3450,5,FALSE)</f>
        <v>44810</v>
      </c>
      <c r="G1210" s="42">
        <f>VLOOKUP(A1210,'forecast data dump'!$A$1:$H$3450,8,FALSE)</f>
        <v>0</v>
      </c>
      <c r="H1210" s="5" t="s">
        <v>3752</v>
      </c>
      <c r="I1210" s="39">
        <f t="shared" si="348"/>
        <v>20</v>
      </c>
      <c r="J1210" s="5"/>
      <c r="K1210" s="5"/>
      <c r="L1210" s="33">
        <f t="shared" si="349"/>
        <v>2654</v>
      </c>
      <c r="M1210" s="33">
        <f t="shared" si="350"/>
        <v>2654</v>
      </c>
      <c r="N1210" s="33">
        <f t="shared" si="351"/>
        <v>0</v>
      </c>
      <c r="T1210">
        <v>1</v>
      </c>
      <c r="U1210" s="29">
        <f t="shared" si="352"/>
        <v>0</v>
      </c>
      <c r="V1210" s="29">
        <f t="shared" si="353"/>
        <v>0</v>
      </c>
      <c r="W1210" s="29">
        <f t="shared" si="354"/>
        <v>0</v>
      </c>
      <c r="X1210" s="29">
        <f t="shared" si="355"/>
        <v>0</v>
      </c>
      <c r="Y1210" s="29">
        <f t="shared" si="356"/>
        <v>0</v>
      </c>
      <c r="Z1210" s="29">
        <f t="shared" si="357"/>
        <v>2654</v>
      </c>
    </row>
    <row r="1211" spans="1:26" x14ac:dyDescent="0.3">
      <c r="A1211" s="5" t="s">
        <v>2233</v>
      </c>
      <c r="B1211" s="5" t="s">
        <v>2234</v>
      </c>
      <c r="C1211" s="5">
        <v>24</v>
      </c>
      <c r="D1211" s="6">
        <v>2906</v>
      </c>
      <c r="E1211" s="17">
        <f>VLOOKUP(A1211,'forecast data dump'!$A$1:$H$3450,4,FALSE)</f>
        <v>44803</v>
      </c>
      <c r="F1211" s="17">
        <f>VLOOKUP(A1211,'forecast data dump'!$A$1:$H$3450,5,FALSE)</f>
        <v>44810</v>
      </c>
      <c r="G1211" s="42">
        <f>VLOOKUP(A1211,'forecast data dump'!$A$1:$H$3450,8,FALSE)</f>
        <v>0</v>
      </c>
      <c r="H1211" s="5" t="s">
        <v>3759</v>
      </c>
      <c r="I1211" s="39">
        <f t="shared" si="348"/>
        <v>24</v>
      </c>
      <c r="J1211" s="5"/>
      <c r="K1211" s="5"/>
      <c r="L1211" s="33">
        <f t="shared" si="349"/>
        <v>2906</v>
      </c>
      <c r="M1211" s="33">
        <f t="shared" si="350"/>
        <v>2906</v>
      </c>
      <c r="N1211" s="33">
        <f t="shared" si="351"/>
        <v>0</v>
      </c>
      <c r="T1211">
        <v>1</v>
      </c>
      <c r="U1211" s="29">
        <f t="shared" si="352"/>
        <v>0</v>
      </c>
      <c r="V1211" s="29">
        <f t="shared" si="353"/>
        <v>0</v>
      </c>
      <c r="W1211" s="29">
        <f t="shared" si="354"/>
        <v>0</v>
      </c>
      <c r="X1211" s="29">
        <f t="shared" si="355"/>
        <v>0</v>
      </c>
      <c r="Y1211" s="29">
        <f t="shared" si="356"/>
        <v>0</v>
      </c>
      <c r="Z1211" s="29">
        <f t="shared" si="357"/>
        <v>2906</v>
      </c>
    </row>
    <row r="1212" spans="1:26" x14ac:dyDescent="0.3">
      <c r="A1212" s="5" t="s">
        <v>2233</v>
      </c>
      <c r="B1212" s="5" t="s">
        <v>2234</v>
      </c>
      <c r="C1212" s="5">
        <v>24</v>
      </c>
      <c r="D1212" s="6">
        <v>3325</v>
      </c>
      <c r="E1212" s="17">
        <f>VLOOKUP(A1212,'forecast data dump'!$A$1:$H$3450,4,FALSE)</f>
        <v>44803</v>
      </c>
      <c r="F1212" s="17">
        <f>VLOOKUP(A1212,'forecast data dump'!$A$1:$H$3450,5,FALSE)</f>
        <v>44810</v>
      </c>
      <c r="G1212" s="42">
        <f>VLOOKUP(A1212,'forecast data dump'!$A$1:$H$3450,8,FALSE)</f>
        <v>0</v>
      </c>
      <c r="H1212" s="5" t="s">
        <v>3765</v>
      </c>
      <c r="I1212" s="39">
        <f t="shared" si="348"/>
        <v>24</v>
      </c>
      <c r="J1212" s="5"/>
      <c r="K1212" s="5"/>
      <c r="L1212" s="33">
        <f t="shared" si="349"/>
        <v>3325</v>
      </c>
      <c r="M1212" s="33">
        <f t="shared" si="350"/>
        <v>3325</v>
      </c>
      <c r="N1212" s="33">
        <f t="shared" si="351"/>
        <v>0</v>
      </c>
      <c r="T1212">
        <v>1</v>
      </c>
      <c r="U1212" s="29">
        <f t="shared" si="352"/>
        <v>0</v>
      </c>
      <c r="V1212" s="29">
        <f t="shared" si="353"/>
        <v>0</v>
      </c>
      <c r="W1212" s="29">
        <f t="shared" si="354"/>
        <v>0</v>
      </c>
      <c r="X1212" s="29">
        <f t="shared" si="355"/>
        <v>0</v>
      </c>
      <c r="Y1212" s="29">
        <f t="shared" si="356"/>
        <v>0</v>
      </c>
      <c r="Z1212" s="29">
        <f t="shared" si="357"/>
        <v>3325</v>
      </c>
    </row>
    <row r="1213" spans="1:26" x14ac:dyDescent="0.3">
      <c r="A1213" s="3" t="s">
        <v>7901</v>
      </c>
      <c r="B1213" s="3"/>
      <c r="C1213" s="3"/>
      <c r="D1213" s="4"/>
      <c r="E1213" s="15"/>
      <c r="F1213" s="15"/>
      <c r="G1213" s="41"/>
      <c r="H1213" s="3"/>
      <c r="I1213" s="38"/>
      <c r="J1213" s="3"/>
      <c r="K1213" s="3"/>
      <c r="L1213" s="32"/>
      <c r="M1213" s="32"/>
      <c r="N1213" s="32"/>
      <c r="U1213" s="29"/>
      <c r="V1213" s="29"/>
      <c r="W1213" s="29"/>
      <c r="X1213" s="29"/>
      <c r="Y1213" s="29"/>
      <c r="Z1213" s="29"/>
    </row>
    <row r="1214" spans="1:26" x14ac:dyDescent="0.3">
      <c r="A1214" s="5" t="s">
        <v>2566</v>
      </c>
      <c r="B1214" s="5" t="s">
        <v>2567</v>
      </c>
      <c r="C1214" s="5">
        <v>40</v>
      </c>
      <c r="D1214" s="6">
        <v>5542</v>
      </c>
      <c r="E1214" s="17">
        <f>VLOOKUP(A1214,'forecast data dump'!$A$1:$H$3450,4,FALSE)</f>
        <v>44643</v>
      </c>
      <c r="F1214" s="17">
        <f>VLOOKUP(A1214,'forecast data dump'!$A$1:$H$3450,5,FALSE)</f>
        <v>44649</v>
      </c>
      <c r="G1214" s="42">
        <f>VLOOKUP(A1214,'forecast data dump'!$A$1:$H$3450,8,FALSE)</f>
        <v>0</v>
      </c>
      <c r="H1214" s="5" t="s">
        <v>3765</v>
      </c>
      <c r="I1214" s="39">
        <f t="shared" ref="I1214:I1277" si="358">C1214*(1-G1214)</f>
        <v>40</v>
      </c>
      <c r="J1214" s="5"/>
      <c r="K1214" s="5"/>
      <c r="L1214" s="33">
        <f t="shared" ref="L1214:L1277" si="359">D1214*(1-G1214)</f>
        <v>5542</v>
      </c>
      <c r="M1214" s="33">
        <f t="shared" ref="M1214:M1277" si="360">IF(J1214="",L1214,(D1214/C1214)*J1214)</f>
        <v>5542</v>
      </c>
      <c r="N1214" s="33">
        <f t="shared" ref="N1214:N1277" si="361">L1214-M1214</f>
        <v>0</v>
      </c>
      <c r="T1214">
        <v>1</v>
      </c>
      <c r="U1214" s="29">
        <f t="shared" si="352"/>
        <v>0</v>
      </c>
      <c r="V1214" s="29">
        <f t="shared" si="353"/>
        <v>0</v>
      </c>
      <c r="W1214" s="29">
        <f t="shared" si="354"/>
        <v>0</v>
      </c>
      <c r="X1214" s="29">
        <f t="shared" si="355"/>
        <v>0</v>
      </c>
      <c r="Y1214" s="29">
        <f t="shared" si="356"/>
        <v>0</v>
      </c>
      <c r="Z1214" s="29">
        <f t="shared" si="357"/>
        <v>5542</v>
      </c>
    </row>
    <row r="1215" spans="1:26" x14ac:dyDescent="0.3">
      <c r="A1215" s="5" t="s">
        <v>2566</v>
      </c>
      <c r="B1215" s="5" t="s">
        <v>2567</v>
      </c>
      <c r="C1215" s="5">
        <v>8</v>
      </c>
      <c r="D1215" s="6">
        <v>851</v>
      </c>
      <c r="E1215" s="17">
        <f>VLOOKUP(A1215,'forecast data dump'!$A$1:$H$3450,4,FALSE)</f>
        <v>44643</v>
      </c>
      <c r="F1215" s="17">
        <f>VLOOKUP(A1215,'forecast data dump'!$A$1:$H$3450,5,FALSE)</f>
        <v>44649</v>
      </c>
      <c r="G1215" s="42">
        <f>VLOOKUP(A1215,'forecast data dump'!$A$1:$H$3450,8,FALSE)</f>
        <v>0</v>
      </c>
      <c r="H1215" s="5" t="s">
        <v>3757</v>
      </c>
      <c r="I1215" s="39">
        <f t="shared" si="358"/>
        <v>8</v>
      </c>
      <c r="J1215" s="5"/>
      <c r="K1215" s="5"/>
      <c r="L1215" s="33">
        <f t="shared" si="359"/>
        <v>851</v>
      </c>
      <c r="M1215" s="33">
        <f t="shared" si="360"/>
        <v>851</v>
      </c>
      <c r="N1215" s="33">
        <f t="shared" si="361"/>
        <v>0</v>
      </c>
      <c r="T1215">
        <v>1</v>
      </c>
      <c r="U1215" s="29">
        <f t="shared" si="352"/>
        <v>0</v>
      </c>
      <c r="V1215" s="29">
        <f t="shared" si="353"/>
        <v>0</v>
      </c>
      <c r="W1215" s="29">
        <f t="shared" si="354"/>
        <v>0</v>
      </c>
      <c r="X1215" s="29">
        <f t="shared" si="355"/>
        <v>0</v>
      </c>
      <c r="Y1215" s="29">
        <f t="shared" si="356"/>
        <v>0</v>
      </c>
      <c r="Z1215" s="29">
        <f t="shared" si="357"/>
        <v>851</v>
      </c>
    </row>
    <row r="1216" spans="1:26" x14ac:dyDescent="0.3">
      <c r="A1216" s="5" t="s">
        <v>2566</v>
      </c>
      <c r="B1216" s="5" t="s">
        <v>2567</v>
      </c>
      <c r="C1216" s="5">
        <v>8</v>
      </c>
      <c r="D1216" s="6">
        <v>1250</v>
      </c>
      <c r="E1216" s="17">
        <f>VLOOKUP(A1216,'forecast data dump'!$A$1:$H$3450,4,FALSE)</f>
        <v>44643</v>
      </c>
      <c r="F1216" s="17">
        <f>VLOOKUP(A1216,'forecast data dump'!$A$1:$H$3450,5,FALSE)</f>
        <v>44649</v>
      </c>
      <c r="G1216" s="42">
        <f>VLOOKUP(A1216,'forecast data dump'!$A$1:$H$3450,8,FALSE)</f>
        <v>0</v>
      </c>
      <c r="H1216" s="5" t="s">
        <v>3763</v>
      </c>
      <c r="I1216" s="39">
        <f t="shared" si="358"/>
        <v>8</v>
      </c>
      <c r="J1216" s="5"/>
      <c r="K1216" s="5"/>
      <c r="L1216" s="33">
        <f t="shared" si="359"/>
        <v>1250</v>
      </c>
      <c r="M1216" s="33">
        <f t="shared" si="360"/>
        <v>1250</v>
      </c>
      <c r="N1216" s="33">
        <f t="shared" si="361"/>
        <v>0</v>
      </c>
      <c r="T1216">
        <v>1</v>
      </c>
      <c r="U1216" s="29">
        <f t="shared" si="352"/>
        <v>0</v>
      </c>
      <c r="V1216" s="29">
        <f t="shared" si="353"/>
        <v>0</v>
      </c>
      <c r="W1216" s="29">
        <f t="shared" si="354"/>
        <v>0</v>
      </c>
      <c r="X1216" s="29">
        <f t="shared" si="355"/>
        <v>0</v>
      </c>
      <c r="Y1216" s="29">
        <f t="shared" si="356"/>
        <v>0</v>
      </c>
      <c r="Z1216" s="29">
        <f t="shared" si="357"/>
        <v>1250</v>
      </c>
    </row>
    <row r="1217" spans="1:26" x14ac:dyDescent="0.3">
      <c r="A1217" s="5" t="s">
        <v>2568</v>
      </c>
      <c r="B1217" s="5" t="s">
        <v>2569</v>
      </c>
      <c r="C1217" s="5">
        <v>16</v>
      </c>
      <c r="D1217" s="6">
        <v>1937</v>
      </c>
      <c r="E1217" s="17">
        <f>VLOOKUP(A1217,'forecast data dump'!$A$1:$H$3450,4,FALSE)</f>
        <v>44797</v>
      </c>
      <c r="F1217" s="17">
        <f>VLOOKUP(A1217,'forecast data dump'!$A$1:$H$3450,5,FALSE)</f>
        <v>44803</v>
      </c>
      <c r="G1217" s="42">
        <f>VLOOKUP(A1217,'forecast data dump'!$A$1:$H$3450,8,FALSE)</f>
        <v>0</v>
      </c>
      <c r="H1217" s="5" t="s">
        <v>3741</v>
      </c>
      <c r="I1217" s="39">
        <f t="shared" si="358"/>
        <v>16</v>
      </c>
      <c r="J1217" s="5"/>
      <c r="K1217" s="5"/>
      <c r="L1217" s="33">
        <f t="shared" si="359"/>
        <v>1937</v>
      </c>
      <c r="M1217" s="33">
        <f t="shared" si="360"/>
        <v>1937</v>
      </c>
      <c r="N1217" s="33">
        <f t="shared" si="361"/>
        <v>0</v>
      </c>
      <c r="T1217">
        <v>1</v>
      </c>
      <c r="U1217" s="29">
        <f t="shared" si="352"/>
        <v>0</v>
      </c>
      <c r="V1217" s="29">
        <f t="shared" si="353"/>
        <v>0</v>
      </c>
      <c r="W1217" s="29">
        <f t="shared" si="354"/>
        <v>0</v>
      </c>
      <c r="X1217" s="29">
        <f t="shared" si="355"/>
        <v>0</v>
      </c>
      <c r="Y1217" s="29">
        <f t="shared" si="356"/>
        <v>0</v>
      </c>
      <c r="Z1217" s="29">
        <f t="shared" si="357"/>
        <v>1937</v>
      </c>
    </row>
    <row r="1218" spans="1:26" x14ac:dyDescent="0.3">
      <c r="A1218" s="5" t="s">
        <v>2570</v>
      </c>
      <c r="B1218" s="5" t="s">
        <v>2571</v>
      </c>
      <c r="C1218" s="5">
        <v>16</v>
      </c>
      <c r="D1218" s="6">
        <v>2500</v>
      </c>
      <c r="E1218" s="17">
        <f>VLOOKUP(A1218,'forecast data dump'!$A$1:$H$3450,4,FALSE)</f>
        <v>44818</v>
      </c>
      <c r="F1218" s="17">
        <f>VLOOKUP(A1218,'forecast data dump'!$A$1:$H$3450,5,FALSE)</f>
        <v>44824</v>
      </c>
      <c r="G1218" s="42">
        <f>VLOOKUP(A1218,'forecast data dump'!$A$1:$H$3450,8,FALSE)</f>
        <v>0</v>
      </c>
      <c r="H1218" s="5" t="s">
        <v>3733</v>
      </c>
      <c r="I1218" s="39">
        <f t="shared" si="358"/>
        <v>16</v>
      </c>
      <c r="J1218" s="5"/>
      <c r="K1218" s="5"/>
      <c r="L1218" s="33">
        <f t="shared" si="359"/>
        <v>2500</v>
      </c>
      <c r="M1218" s="33">
        <f t="shared" si="360"/>
        <v>2500</v>
      </c>
      <c r="N1218" s="33">
        <f t="shared" si="361"/>
        <v>0</v>
      </c>
      <c r="T1218">
        <v>1</v>
      </c>
      <c r="U1218" s="29">
        <f t="shared" si="352"/>
        <v>0</v>
      </c>
      <c r="V1218" s="29">
        <f t="shared" si="353"/>
        <v>0</v>
      </c>
      <c r="W1218" s="29">
        <f t="shared" si="354"/>
        <v>0</v>
      </c>
      <c r="X1218" s="29">
        <f t="shared" si="355"/>
        <v>0</v>
      </c>
      <c r="Y1218" s="29">
        <f t="shared" si="356"/>
        <v>0</v>
      </c>
      <c r="Z1218" s="29">
        <f t="shared" si="357"/>
        <v>2500</v>
      </c>
    </row>
    <row r="1219" spans="1:26" x14ac:dyDescent="0.3">
      <c r="A1219" s="5" t="s">
        <v>2570</v>
      </c>
      <c r="B1219" s="5" t="s">
        <v>2571</v>
      </c>
      <c r="C1219" s="5">
        <v>16</v>
      </c>
      <c r="D1219" s="6">
        <v>1937</v>
      </c>
      <c r="E1219" s="17">
        <f>VLOOKUP(A1219,'forecast data dump'!$A$1:$H$3450,4,FALSE)</f>
        <v>44818</v>
      </c>
      <c r="F1219" s="17">
        <f>VLOOKUP(A1219,'forecast data dump'!$A$1:$H$3450,5,FALSE)</f>
        <v>44824</v>
      </c>
      <c r="G1219" s="42">
        <f>VLOOKUP(A1219,'forecast data dump'!$A$1:$H$3450,8,FALSE)</f>
        <v>0</v>
      </c>
      <c r="H1219" s="5" t="s">
        <v>3742</v>
      </c>
      <c r="I1219" s="39">
        <f t="shared" si="358"/>
        <v>16</v>
      </c>
      <c r="J1219" s="5"/>
      <c r="K1219" s="5"/>
      <c r="L1219" s="33">
        <f t="shared" si="359"/>
        <v>1937</v>
      </c>
      <c r="M1219" s="33">
        <f t="shared" si="360"/>
        <v>1937</v>
      </c>
      <c r="N1219" s="33">
        <f t="shared" si="361"/>
        <v>0</v>
      </c>
      <c r="T1219">
        <v>1</v>
      </c>
      <c r="U1219" s="29">
        <f t="shared" si="352"/>
        <v>0</v>
      </c>
      <c r="V1219" s="29">
        <f t="shared" si="353"/>
        <v>0</v>
      </c>
      <c r="W1219" s="29">
        <f t="shared" si="354"/>
        <v>0</v>
      </c>
      <c r="X1219" s="29">
        <f t="shared" si="355"/>
        <v>0</v>
      </c>
      <c r="Y1219" s="29">
        <f t="shared" si="356"/>
        <v>0</v>
      </c>
      <c r="Z1219" s="29">
        <f t="shared" si="357"/>
        <v>1937</v>
      </c>
    </row>
    <row r="1220" spans="1:26" x14ac:dyDescent="0.3">
      <c r="A1220" s="5" t="s">
        <v>2570</v>
      </c>
      <c r="B1220" s="5" t="s">
        <v>2571</v>
      </c>
      <c r="C1220" s="5">
        <v>16</v>
      </c>
      <c r="D1220" s="6">
        <v>1937</v>
      </c>
      <c r="E1220" s="17">
        <f>VLOOKUP(A1220,'forecast data dump'!$A$1:$H$3450,4,FALSE)</f>
        <v>44818</v>
      </c>
      <c r="F1220" s="17">
        <f>VLOOKUP(A1220,'forecast data dump'!$A$1:$H$3450,5,FALSE)</f>
        <v>44824</v>
      </c>
      <c r="G1220" s="42">
        <f>VLOOKUP(A1220,'forecast data dump'!$A$1:$H$3450,8,FALSE)</f>
        <v>0</v>
      </c>
      <c r="H1220" s="5" t="s">
        <v>3741</v>
      </c>
      <c r="I1220" s="39">
        <f t="shared" si="358"/>
        <v>16</v>
      </c>
      <c r="J1220" s="5"/>
      <c r="K1220" s="5"/>
      <c r="L1220" s="33">
        <f t="shared" si="359"/>
        <v>1937</v>
      </c>
      <c r="M1220" s="33">
        <f t="shared" si="360"/>
        <v>1937</v>
      </c>
      <c r="N1220" s="33">
        <f t="shared" si="361"/>
        <v>0</v>
      </c>
      <c r="T1220">
        <v>1</v>
      </c>
      <c r="U1220" s="29">
        <f t="shared" si="352"/>
        <v>0</v>
      </c>
      <c r="V1220" s="29">
        <f t="shared" si="353"/>
        <v>0</v>
      </c>
      <c r="W1220" s="29">
        <f t="shared" si="354"/>
        <v>0</v>
      </c>
      <c r="X1220" s="29">
        <f t="shared" si="355"/>
        <v>0</v>
      </c>
      <c r="Y1220" s="29">
        <f t="shared" si="356"/>
        <v>0</v>
      </c>
      <c r="Z1220" s="29">
        <f t="shared" si="357"/>
        <v>1937</v>
      </c>
    </row>
    <row r="1221" spans="1:26" x14ac:dyDescent="0.3">
      <c r="A1221" s="5" t="s">
        <v>2570</v>
      </c>
      <c r="B1221" s="5" t="s">
        <v>2571</v>
      </c>
      <c r="C1221" s="5">
        <v>16</v>
      </c>
      <c r="D1221" s="6">
        <v>1937</v>
      </c>
      <c r="E1221" s="17">
        <f>VLOOKUP(A1221,'forecast data dump'!$A$1:$H$3450,4,FALSE)</f>
        <v>44818</v>
      </c>
      <c r="F1221" s="17">
        <f>VLOOKUP(A1221,'forecast data dump'!$A$1:$H$3450,5,FALSE)</f>
        <v>44824</v>
      </c>
      <c r="G1221" s="42">
        <f>VLOOKUP(A1221,'forecast data dump'!$A$1:$H$3450,8,FALSE)</f>
        <v>0</v>
      </c>
      <c r="H1221" s="5" t="s">
        <v>3745</v>
      </c>
      <c r="I1221" s="39">
        <f t="shared" si="358"/>
        <v>16</v>
      </c>
      <c r="J1221" s="5"/>
      <c r="K1221" s="5"/>
      <c r="L1221" s="33">
        <f t="shared" si="359"/>
        <v>1937</v>
      </c>
      <c r="M1221" s="33">
        <f t="shared" si="360"/>
        <v>1937</v>
      </c>
      <c r="N1221" s="33">
        <f t="shared" si="361"/>
        <v>0</v>
      </c>
      <c r="T1221">
        <v>1</v>
      </c>
      <c r="U1221" s="29">
        <f t="shared" si="352"/>
        <v>0</v>
      </c>
      <c r="V1221" s="29">
        <f t="shared" si="353"/>
        <v>0</v>
      </c>
      <c r="W1221" s="29">
        <f t="shared" si="354"/>
        <v>0</v>
      </c>
      <c r="X1221" s="29">
        <f t="shared" si="355"/>
        <v>0</v>
      </c>
      <c r="Y1221" s="29">
        <f t="shared" si="356"/>
        <v>0</v>
      </c>
      <c r="Z1221" s="29">
        <f t="shared" si="357"/>
        <v>1937</v>
      </c>
    </row>
    <row r="1222" spans="1:26" x14ac:dyDescent="0.3">
      <c r="A1222" s="5" t="s">
        <v>2570</v>
      </c>
      <c r="B1222" s="5" t="s">
        <v>2571</v>
      </c>
      <c r="C1222" s="5">
        <v>16</v>
      </c>
      <c r="D1222" s="6">
        <v>2500</v>
      </c>
      <c r="E1222" s="17">
        <f>VLOOKUP(A1222,'forecast data dump'!$A$1:$H$3450,4,FALSE)</f>
        <v>44818</v>
      </c>
      <c r="F1222" s="17">
        <f>VLOOKUP(A1222,'forecast data dump'!$A$1:$H$3450,5,FALSE)</f>
        <v>44824</v>
      </c>
      <c r="G1222" s="42">
        <f>VLOOKUP(A1222,'forecast data dump'!$A$1:$H$3450,8,FALSE)</f>
        <v>0</v>
      </c>
      <c r="H1222" s="5" t="s">
        <v>3744</v>
      </c>
      <c r="I1222" s="39">
        <f t="shared" si="358"/>
        <v>16</v>
      </c>
      <c r="J1222" s="5"/>
      <c r="K1222" s="5"/>
      <c r="L1222" s="33">
        <f t="shared" si="359"/>
        <v>2500</v>
      </c>
      <c r="M1222" s="33">
        <f t="shared" si="360"/>
        <v>2500</v>
      </c>
      <c r="N1222" s="33">
        <f t="shared" si="361"/>
        <v>0</v>
      </c>
      <c r="T1222">
        <v>1</v>
      </c>
      <c r="U1222" s="29">
        <f t="shared" si="352"/>
        <v>0</v>
      </c>
      <c r="V1222" s="29">
        <f t="shared" si="353"/>
        <v>0</v>
      </c>
      <c r="W1222" s="29">
        <f t="shared" si="354"/>
        <v>0</v>
      </c>
      <c r="X1222" s="29">
        <f t="shared" si="355"/>
        <v>0</v>
      </c>
      <c r="Y1222" s="29">
        <f t="shared" si="356"/>
        <v>0</v>
      </c>
      <c r="Z1222" s="29">
        <f t="shared" si="357"/>
        <v>2500</v>
      </c>
    </row>
    <row r="1223" spans="1:26" x14ac:dyDescent="0.3">
      <c r="A1223" s="5" t="s">
        <v>2570</v>
      </c>
      <c r="B1223" s="5" t="s">
        <v>2571</v>
      </c>
      <c r="C1223" s="5">
        <v>16</v>
      </c>
      <c r="D1223" s="6">
        <v>2147</v>
      </c>
      <c r="E1223" s="17">
        <f>VLOOKUP(A1223,'forecast data dump'!$A$1:$H$3450,4,FALSE)</f>
        <v>44818</v>
      </c>
      <c r="F1223" s="17">
        <f>VLOOKUP(A1223,'forecast data dump'!$A$1:$H$3450,5,FALSE)</f>
        <v>44824</v>
      </c>
      <c r="G1223" s="42">
        <f>VLOOKUP(A1223,'forecast data dump'!$A$1:$H$3450,8,FALSE)</f>
        <v>0</v>
      </c>
      <c r="H1223" s="5" t="s">
        <v>3746</v>
      </c>
      <c r="I1223" s="39">
        <f t="shared" si="358"/>
        <v>16</v>
      </c>
      <c r="J1223" s="5"/>
      <c r="K1223" s="5"/>
      <c r="L1223" s="33">
        <f t="shared" si="359"/>
        <v>2147</v>
      </c>
      <c r="M1223" s="33">
        <f t="shared" si="360"/>
        <v>2147</v>
      </c>
      <c r="N1223" s="33">
        <f t="shared" si="361"/>
        <v>0</v>
      </c>
      <c r="T1223">
        <v>1</v>
      </c>
      <c r="U1223" s="29">
        <f t="shared" si="352"/>
        <v>0</v>
      </c>
      <c r="V1223" s="29">
        <f t="shared" si="353"/>
        <v>0</v>
      </c>
      <c r="W1223" s="29">
        <f t="shared" si="354"/>
        <v>0</v>
      </c>
      <c r="X1223" s="29">
        <f t="shared" si="355"/>
        <v>0</v>
      </c>
      <c r="Y1223" s="29">
        <f t="shared" si="356"/>
        <v>0</v>
      </c>
      <c r="Z1223" s="29">
        <f t="shared" si="357"/>
        <v>2147</v>
      </c>
    </row>
    <row r="1224" spans="1:26" x14ac:dyDescent="0.3">
      <c r="A1224" s="5" t="s">
        <v>2570</v>
      </c>
      <c r="B1224" s="5" t="s">
        <v>2571</v>
      </c>
      <c r="C1224" s="5">
        <v>16</v>
      </c>
      <c r="D1224" s="6">
        <v>3495</v>
      </c>
      <c r="E1224" s="17">
        <f>VLOOKUP(A1224,'forecast data dump'!$A$1:$H$3450,4,FALSE)</f>
        <v>44818</v>
      </c>
      <c r="F1224" s="17">
        <f>VLOOKUP(A1224,'forecast data dump'!$A$1:$H$3450,5,FALSE)</f>
        <v>44824</v>
      </c>
      <c r="G1224" s="42">
        <f>VLOOKUP(A1224,'forecast data dump'!$A$1:$H$3450,8,FALSE)</f>
        <v>0</v>
      </c>
      <c r="H1224" s="5" t="s">
        <v>3732</v>
      </c>
      <c r="I1224" s="39">
        <f t="shared" si="358"/>
        <v>16</v>
      </c>
      <c r="J1224" s="5"/>
      <c r="K1224" s="5"/>
      <c r="L1224" s="33">
        <f t="shared" si="359"/>
        <v>3495</v>
      </c>
      <c r="M1224" s="33">
        <f t="shared" si="360"/>
        <v>3495</v>
      </c>
      <c r="N1224" s="33">
        <f t="shared" si="361"/>
        <v>0</v>
      </c>
      <c r="T1224">
        <v>1</v>
      </c>
      <c r="U1224" s="29">
        <f t="shared" si="352"/>
        <v>0</v>
      </c>
      <c r="V1224" s="29">
        <f t="shared" si="353"/>
        <v>0</v>
      </c>
      <c r="W1224" s="29">
        <f t="shared" si="354"/>
        <v>0</v>
      </c>
      <c r="X1224" s="29">
        <f t="shared" si="355"/>
        <v>0</v>
      </c>
      <c r="Y1224" s="29">
        <f t="shared" si="356"/>
        <v>0</v>
      </c>
      <c r="Z1224" s="29">
        <f t="shared" si="357"/>
        <v>3495</v>
      </c>
    </row>
    <row r="1225" spans="1:26" x14ac:dyDescent="0.3">
      <c r="A1225" s="5" t="s">
        <v>2570</v>
      </c>
      <c r="B1225" s="5" t="s">
        <v>2571</v>
      </c>
      <c r="C1225" s="5">
        <v>16</v>
      </c>
      <c r="D1225" s="6">
        <v>2887</v>
      </c>
      <c r="E1225" s="17">
        <f>VLOOKUP(A1225,'forecast data dump'!$A$1:$H$3450,4,FALSE)</f>
        <v>44818</v>
      </c>
      <c r="F1225" s="17">
        <f>VLOOKUP(A1225,'forecast data dump'!$A$1:$H$3450,5,FALSE)</f>
        <v>44824</v>
      </c>
      <c r="G1225" s="42">
        <f>VLOOKUP(A1225,'forecast data dump'!$A$1:$H$3450,8,FALSE)</f>
        <v>0</v>
      </c>
      <c r="H1225" s="5" t="s">
        <v>3731</v>
      </c>
      <c r="I1225" s="39">
        <f t="shared" si="358"/>
        <v>16</v>
      </c>
      <c r="J1225" s="5"/>
      <c r="K1225" s="5"/>
      <c r="L1225" s="33">
        <f t="shared" si="359"/>
        <v>2887</v>
      </c>
      <c r="M1225" s="33">
        <f t="shared" si="360"/>
        <v>2887</v>
      </c>
      <c r="N1225" s="33">
        <f t="shared" si="361"/>
        <v>0</v>
      </c>
      <c r="T1225">
        <v>1</v>
      </c>
      <c r="U1225" s="29">
        <f t="shared" si="352"/>
        <v>0</v>
      </c>
      <c r="V1225" s="29">
        <f t="shared" si="353"/>
        <v>0</v>
      </c>
      <c r="W1225" s="29">
        <f t="shared" si="354"/>
        <v>0</v>
      </c>
      <c r="X1225" s="29">
        <f t="shared" si="355"/>
        <v>0</v>
      </c>
      <c r="Y1225" s="29">
        <f t="shared" si="356"/>
        <v>0</v>
      </c>
      <c r="Z1225" s="29">
        <f t="shared" si="357"/>
        <v>2887</v>
      </c>
    </row>
    <row r="1226" spans="1:26" x14ac:dyDescent="0.3">
      <c r="A1226" s="5" t="s">
        <v>2572</v>
      </c>
      <c r="B1226" s="5" t="s">
        <v>2573</v>
      </c>
      <c r="C1226" s="5">
        <v>16</v>
      </c>
      <c r="D1226" s="6">
        <v>2525</v>
      </c>
      <c r="E1226" s="17">
        <f>VLOOKUP(A1226,'forecast data dump'!$A$1:$H$3450,4,FALSE)</f>
        <v>44825</v>
      </c>
      <c r="F1226" s="17">
        <f>VLOOKUP(A1226,'forecast data dump'!$A$1:$H$3450,5,FALSE)</f>
        <v>44846</v>
      </c>
      <c r="G1226" s="42">
        <f>VLOOKUP(A1226,'forecast data dump'!$A$1:$H$3450,8,FALSE)</f>
        <v>0</v>
      </c>
      <c r="H1226" s="5" t="s">
        <v>3733</v>
      </c>
      <c r="I1226" s="39">
        <f t="shared" si="358"/>
        <v>16</v>
      </c>
      <c r="J1226" s="5"/>
      <c r="K1226" s="5"/>
      <c r="L1226" s="33">
        <f t="shared" si="359"/>
        <v>2525</v>
      </c>
      <c r="M1226" s="33">
        <f t="shared" si="360"/>
        <v>2525</v>
      </c>
      <c r="N1226" s="33">
        <f t="shared" si="361"/>
        <v>0</v>
      </c>
      <c r="T1226">
        <v>1</v>
      </c>
      <c r="U1226" s="29">
        <f t="shared" si="352"/>
        <v>0</v>
      </c>
      <c r="V1226" s="29">
        <f t="shared" si="353"/>
        <v>0</v>
      </c>
      <c r="W1226" s="29">
        <f t="shared" si="354"/>
        <v>0</v>
      </c>
      <c r="X1226" s="29">
        <f t="shared" si="355"/>
        <v>0</v>
      </c>
      <c r="Y1226" s="29">
        <f t="shared" si="356"/>
        <v>0</v>
      </c>
      <c r="Z1226" s="29">
        <f t="shared" si="357"/>
        <v>2525</v>
      </c>
    </row>
    <row r="1227" spans="1:26" x14ac:dyDescent="0.3">
      <c r="A1227" s="5" t="s">
        <v>2572</v>
      </c>
      <c r="B1227" s="5" t="s">
        <v>2573</v>
      </c>
      <c r="C1227" s="5">
        <v>16</v>
      </c>
      <c r="D1227" s="6">
        <v>1957</v>
      </c>
      <c r="E1227" s="17">
        <f>VLOOKUP(A1227,'forecast data dump'!$A$1:$H$3450,4,FALSE)</f>
        <v>44825</v>
      </c>
      <c r="F1227" s="17">
        <f>VLOOKUP(A1227,'forecast data dump'!$A$1:$H$3450,5,FALSE)</f>
        <v>44846</v>
      </c>
      <c r="G1227" s="42">
        <f>VLOOKUP(A1227,'forecast data dump'!$A$1:$H$3450,8,FALSE)</f>
        <v>0</v>
      </c>
      <c r="H1227" s="5" t="s">
        <v>3742</v>
      </c>
      <c r="I1227" s="39">
        <f t="shared" si="358"/>
        <v>16</v>
      </c>
      <c r="J1227" s="5"/>
      <c r="K1227" s="5"/>
      <c r="L1227" s="33">
        <f t="shared" si="359"/>
        <v>1957</v>
      </c>
      <c r="M1227" s="33">
        <f t="shared" si="360"/>
        <v>1957</v>
      </c>
      <c r="N1227" s="33">
        <f t="shared" si="361"/>
        <v>0</v>
      </c>
      <c r="T1227">
        <v>1</v>
      </c>
      <c r="U1227" s="29">
        <f t="shared" si="352"/>
        <v>0</v>
      </c>
      <c r="V1227" s="29">
        <f t="shared" si="353"/>
        <v>0</v>
      </c>
      <c r="W1227" s="29">
        <f t="shared" si="354"/>
        <v>0</v>
      </c>
      <c r="X1227" s="29">
        <f t="shared" si="355"/>
        <v>0</v>
      </c>
      <c r="Y1227" s="29">
        <f t="shared" si="356"/>
        <v>0</v>
      </c>
      <c r="Z1227" s="29">
        <f t="shared" si="357"/>
        <v>1957</v>
      </c>
    </row>
    <row r="1228" spans="1:26" x14ac:dyDescent="0.3">
      <c r="A1228" s="5" t="s">
        <v>2572</v>
      </c>
      <c r="B1228" s="5" t="s">
        <v>2573</v>
      </c>
      <c r="C1228" s="5">
        <v>16</v>
      </c>
      <c r="D1228" s="6">
        <v>1957</v>
      </c>
      <c r="E1228" s="17">
        <f>VLOOKUP(A1228,'forecast data dump'!$A$1:$H$3450,4,FALSE)</f>
        <v>44825</v>
      </c>
      <c r="F1228" s="17">
        <f>VLOOKUP(A1228,'forecast data dump'!$A$1:$H$3450,5,FALSE)</f>
        <v>44846</v>
      </c>
      <c r="G1228" s="42">
        <f>VLOOKUP(A1228,'forecast data dump'!$A$1:$H$3450,8,FALSE)</f>
        <v>0</v>
      </c>
      <c r="H1228" s="5" t="s">
        <v>3741</v>
      </c>
      <c r="I1228" s="39">
        <f t="shared" si="358"/>
        <v>16</v>
      </c>
      <c r="J1228" s="5"/>
      <c r="K1228" s="5"/>
      <c r="L1228" s="33">
        <f t="shared" si="359"/>
        <v>1957</v>
      </c>
      <c r="M1228" s="33">
        <f t="shared" si="360"/>
        <v>1957</v>
      </c>
      <c r="N1228" s="33">
        <f t="shared" si="361"/>
        <v>0</v>
      </c>
      <c r="T1228">
        <v>1</v>
      </c>
      <c r="U1228" s="29">
        <f t="shared" si="352"/>
        <v>0</v>
      </c>
      <c r="V1228" s="29">
        <f t="shared" si="353"/>
        <v>0</v>
      </c>
      <c r="W1228" s="29">
        <f t="shared" si="354"/>
        <v>0</v>
      </c>
      <c r="X1228" s="29">
        <f t="shared" si="355"/>
        <v>0</v>
      </c>
      <c r="Y1228" s="29">
        <f t="shared" si="356"/>
        <v>0</v>
      </c>
      <c r="Z1228" s="29">
        <f t="shared" si="357"/>
        <v>1957</v>
      </c>
    </row>
    <row r="1229" spans="1:26" x14ac:dyDescent="0.3">
      <c r="A1229" s="5" t="s">
        <v>2572</v>
      </c>
      <c r="B1229" s="5" t="s">
        <v>2573</v>
      </c>
      <c r="C1229" s="5">
        <v>16</v>
      </c>
      <c r="D1229" s="6">
        <v>1957</v>
      </c>
      <c r="E1229" s="17">
        <f>VLOOKUP(A1229,'forecast data dump'!$A$1:$H$3450,4,FALSE)</f>
        <v>44825</v>
      </c>
      <c r="F1229" s="17">
        <f>VLOOKUP(A1229,'forecast data dump'!$A$1:$H$3450,5,FALSE)</f>
        <v>44846</v>
      </c>
      <c r="G1229" s="42">
        <f>VLOOKUP(A1229,'forecast data dump'!$A$1:$H$3450,8,FALSE)</f>
        <v>0</v>
      </c>
      <c r="H1229" s="5" t="s">
        <v>3745</v>
      </c>
      <c r="I1229" s="39">
        <f t="shared" si="358"/>
        <v>16</v>
      </c>
      <c r="J1229" s="5"/>
      <c r="K1229" s="5"/>
      <c r="L1229" s="33">
        <f t="shared" si="359"/>
        <v>1957</v>
      </c>
      <c r="M1229" s="33">
        <f t="shared" si="360"/>
        <v>1957</v>
      </c>
      <c r="N1229" s="33">
        <f t="shared" si="361"/>
        <v>0</v>
      </c>
      <c r="T1229">
        <v>1</v>
      </c>
      <c r="U1229" s="29">
        <f t="shared" si="352"/>
        <v>0</v>
      </c>
      <c r="V1229" s="29">
        <f t="shared" si="353"/>
        <v>0</v>
      </c>
      <c r="W1229" s="29">
        <f t="shared" si="354"/>
        <v>0</v>
      </c>
      <c r="X1229" s="29">
        <f t="shared" si="355"/>
        <v>0</v>
      </c>
      <c r="Y1229" s="29">
        <f t="shared" si="356"/>
        <v>0</v>
      </c>
      <c r="Z1229" s="29">
        <f t="shared" si="357"/>
        <v>1957</v>
      </c>
    </row>
    <row r="1230" spans="1:26" x14ac:dyDescent="0.3">
      <c r="A1230" s="5" t="s">
        <v>2572</v>
      </c>
      <c r="B1230" s="5" t="s">
        <v>2573</v>
      </c>
      <c r="C1230" s="5">
        <v>16</v>
      </c>
      <c r="D1230" s="6">
        <v>2525</v>
      </c>
      <c r="E1230" s="17">
        <f>VLOOKUP(A1230,'forecast data dump'!$A$1:$H$3450,4,FALSE)</f>
        <v>44825</v>
      </c>
      <c r="F1230" s="17">
        <f>VLOOKUP(A1230,'forecast data dump'!$A$1:$H$3450,5,FALSE)</f>
        <v>44846</v>
      </c>
      <c r="G1230" s="42">
        <f>VLOOKUP(A1230,'forecast data dump'!$A$1:$H$3450,8,FALSE)</f>
        <v>0</v>
      </c>
      <c r="H1230" s="5" t="s">
        <v>3744</v>
      </c>
      <c r="I1230" s="39">
        <f t="shared" si="358"/>
        <v>16</v>
      </c>
      <c r="J1230" s="5"/>
      <c r="K1230" s="5"/>
      <c r="L1230" s="33">
        <f t="shared" si="359"/>
        <v>2525</v>
      </c>
      <c r="M1230" s="33">
        <f t="shared" si="360"/>
        <v>2525</v>
      </c>
      <c r="N1230" s="33">
        <f t="shared" si="361"/>
        <v>0</v>
      </c>
      <c r="T1230">
        <v>1</v>
      </c>
      <c r="U1230" s="29">
        <f t="shared" si="352"/>
        <v>0</v>
      </c>
      <c r="V1230" s="29">
        <f t="shared" si="353"/>
        <v>0</v>
      </c>
      <c r="W1230" s="29">
        <f t="shared" si="354"/>
        <v>0</v>
      </c>
      <c r="X1230" s="29">
        <f t="shared" si="355"/>
        <v>0</v>
      </c>
      <c r="Y1230" s="29">
        <f t="shared" si="356"/>
        <v>0</v>
      </c>
      <c r="Z1230" s="29">
        <f t="shared" si="357"/>
        <v>2525</v>
      </c>
    </row>
    <row r="1231" spans="1:26" x14ac:dyDescent="0.3">
      <c r="A1231" s="5" t="s">
        <v>2572</v>
      </c>
      <c r="B1231" s="5" t="s">
        <v>2573</v>
      </c>
      <c r="C1231" s="5">
        <v>16</v>
      </c>
      <c r="D1231" s="6">
        <v>2916</v>
      </c>
      <c r="E1231" s="17">
        <f>VLOOKUP(A1231,'forecast data dump'!$A$1:$H$3450,4,FALSE)</f>
        <v>44825</v>
      </c>
      <c r="F1231" s="17">
        <f>VLOOKUP(A1231,'forecast data dump'!$A$1:$H$3450,5,FALSE)</f>
        <v>44846</v>
      </c>
      <c r="G1231" s="42">
        <f>VLOOKUP(A1231,'forecast data dump'!$A$1:$H$3450,8,FALSE)</f>
        <v>0</v>
      </c>
      <c r="H1231" s="5" t="s">
        <v>3731</v>
      </c>
      <c r="I1231" s="39">
        <f t="shared" si="358"/>
        <v>16</v>
      </c>
      <c r="J1231" s="5"/>
      <c r="K1231" s="5"/>
      <c r="L1231" s="33">
        <f t="shared" si="359"/>
        <v>2916</v>
      </c>
      <c r="M1231" s="33">
        <f t="shared" si="360"/>
        <v>2916</v>
      </c>
      <c r="N1231" s="33">
        <f t="shared" si="361"/>
        <v>0</v>
      </c>
      <c r="T1231">
        <v>1</v>
      </c>
      <c r="U1231" s="29">
        <f t="shared" si="352"/>
        <v>0</v>
      </c>
      <c r="V1231" s="29">
        <f t="shared" si="353"/>
        <v>0</v>
      </c>
      <c r="W1231" s="29">
        <f t="shared" si="354"/>
        <v>0</v>
      </c>
      <c r="X1231" s="29">
        <f t="shared" si="355"/>
        <v>0</v>
      </c>
      <c r="Y1231" s="29">
        <f t="shared" si="356"/>
        <v>0</v>
      </c>
      <c r="Z1231" s="29">
        <f t="shared" si="357"/>
        <v>2916</v>
      </c>
    </row>
    <row r="1232" spans="1:26" x14ac:dyDescent="0.3">
      <c r="A1232" s="5" t="s">
        <v>2572</v>
      </c>
      <c r="B1232" s="5" t="s">
        <v>2573</v>
      </c>
      <c r="C1232" s="5">
        <v>16</v>
      </c>
      <c r="D1232" s="6">
        <v>2169</v>
      </c>
      <c r="E1232" s="17">
        <f>VLOOKUP(A1232,'forecast data dump'!$A$1:$H$3450,4,FALSE)</f>
        <v>44825</v>
      </c>
      <c r="F1232" s="17">
        <f>VLOOKUP(A1232,'forecast data dump'!$A$1:$H$3450,5,FALSE)</f>
        <v>44846</v>
      </c>
      <c r="G1232" s="42">
        <f>VLOOKUP(A1232,'forecast data dump'!$A$1:$H$3450,8,FALSE)</f>
        <v>0</v>
      </c>
      <c r="H1232" s="5" t="s">
        <v>3749</v>
      </c>
      <c r="I1232" s="39">
        <f t="shared" si="358"/>
        <v>16</v>
      </c>
      <c r="J1232" s="5"/>
      <c r="K1232" s="5"/>
      <c r="L1232" s="33">
        <f t="shared" si="359"/>
        <v>2169</v>
      </c>
      <c r="M1232" s="33">
        <f t="shared" si="360"/>
        <v>2169</v>
      </c>
      <c r="N1232" s="33">
        <f t="shared" si="361"/>
        <v>0</v>
      </c>
      <c r="T1232">
        <v>1</v>
      </c>
      <c r="U1232" s="29">
        <f t="shared" si="352"/>
        <v>0</v>
      </c>
      <c r="V1232" s="29">
        <f t="shared" si="353"/>
        <v>0</v>
      </c>
      <c r="W1232" s="29">
        <f t="shared" si="354"/>
        <v>0</v>
      </c>
      <c r="X1232" s="29">
        <f t="shared" si="355"/>
        <v>0</v>
      </c>
      <c r="Y1232" s="29">
        <f t="shared" si="356"/>
        <v>0</v>
      </c>
      <c r="Z1232" s="29">
        <f t="shared" si="357"/>
        <v>2169</v>
      </c>
    </row>
    <row r="1233" spans="1:26" x14ac:dyDescent="0.3">
      <c r="A1233" s="5" t="s">
        <v>2572</v>
      </c>
      <c r="B1233" s="5" t="s">
        <v>2573</v>
      </c>
      <c r="C1233" s="5">
        <v>16</v>
      </c>
      <c r="D1233" s="6">
        <v>3530</v>
      </c>
      <c r="E1233" s="17">
        <f>VLOOKUP(A1233,'forecast data dump'!$A$1:$H$3450,4,FALSE)</f>
        <v>44825</v>
      </c>
      <c r="F1233" s="17">
        <f>VLOOKUP(A1233,'forecast data dump'!$A$1:$H$3450,5,FALSE)</f>
        <v>44846</v>
      </c>
      <c r="G1233" s="42">
        <f>VLOOKUP(A1233,'forecast data dump'!$A$1:$H$3450,8,FALSE)</f>
        <v>0</v>
      </c>
      <c r="H1233" s="5" t="s">
        <v>3732</v>
      </c>
      <c r="I1233" s="39">
        <f t="shared" si="358"/>
        <v>16</v>
      </c>
      <c r="J1233" s="5"/>
      <c r="K1233" s="5"/>
      <c r="L1233" s="33">
        <f t="shared" si="359"/>
        <v>3530</v>
      </c>
      <c r="M1233" s="33">
        <f t="shared" si="360"/>
        <v>3530</v>
      </c>
      <c r="N1233" s="33">
        <f t="shared" si="361"/>
        <v>0</v>
      </c>
      <c r="T1233">
        <v>1</v>
      </c>
      <c r="U1233" s="29">
        <f t="shared" si="352"/>
        <v>0</v>
      </c>
      <c r="V1233" s="29">
        <f t="shared" si="353"/>
        <v>0</v>
      </c>
      <c r="W1233" s="29">
        <f t="shared" si="354"/>
        <v>0</v>
      </c>
      <c r="X1233" s="29">
        <f t="shared" si="355"/>
        <v>0</v>
      </c>
      <c r="Y1233" s="29">
        <f t="shared" si="356"/>
        <v>0</v>
      </c>
      <c r="Z1233" s="29">
        <f t="shared" si="357"/>
        <v>3530</v>
      </c>
    </row>
    <row r="1234" spans="1:26" x14ac:dyDescent="0.3">
      <c r="A1234" s="5" t="s">
        <v>2574</v>
      </c>
      <c r="B1234" s="5" t="s">
        <v>2575</v>
      </c>
      <c r="C1234" s="5">
        <v>1000</v>
      </c>
      <c r="D1234" s="6">
        <v>1184</v>
      </c>
      <c r="E1234" s="17">
        <f>VLOOKUP(A1234,'forecast data dump'!$A$1:$H$3450,4,FALSE)</f>
        <v>44643</v>
      </c>
      <c r="F1234" s="17">
        <f>VLOOKUP(A1234,'forecast data dump'!$A$1:$H$3450,5,FALSE)</f>
        <v>44649</v>
      </c>
      <c r="G1234" s="42">
        <f>VLOOKUP(A1234,'forecast data dump'!$A$1:$H$3450,8,FALSE)</f>
        <v>0</v>
      </c>
      <c r="H1234" s="5" t="s">
        <v>3762</v>
      </c>
      <c r="I1234" s="39">
        <f t="shared" si="358"/>
        <v>1000</v>
      </c>
      <c r="J1234" s="5"/>
      <c r="K1234" s="5"/>
      <c r="L1234" s="33">
        <f t="shared" si="359"/>
        <v>1184</v>
      </c>
      <c r="M1234" s="33">
        <f t="shared" si="360"/>
        <v>1184</v>
      </c>
      <c r="N1234" s="33">
        <f t="shared" si="361"/>
        <v>0</v>
      </c>
      <c r="T1234">
        <v>1</v>
      </c>
      <c r="U1234" s="29">
        <f t="shared" si="352"/>
        <v>0</v>
      </c>
      <c r="V1234" s="29">
        <f t="shared" si="353"/>
        <v>0</v>
      </c>
      <c r="W1234" s="29">
        <f t="shared" si="354"/>
        <v>0</v>
      </c>
      <c r="X1234" s="29">
        <f t="shared" si="355"/>
        <v>0</v>
      </c>
      <c r="Y1234" s="29">
        <f t="shared" si="356"/>
        <v>0</v>
      </c>
      <c r="Z1234" s="29">
        <f t="shared" si="357"/>
        <v>1184</v>
      </c>
    </row>
    <row r="1235" spans="1:26" x14ac:dyDescent="0.3">
      <c r="A1235" s="5" t="s">
        <v>2576</v>
      </c>
      <c r="B1235" s="5" t="s">
        <v>2577</v>
      </c>
      <c r="C1235" s="5">
        <v>1000</v>
      </c>
      <c r="D1235" s="6">
        <v>1184</v>
      </c>
      <c r="E1235" s="17">
        <f>VLOOKUP(A1235,'forecast data dump'!$A$1:$H$3450,4,FALSE)</f>
        <v>44797</v>
      </c>
      <c r="F1235" s="17">
        <f>VLOOKUP(A1235,'forecast data dump'!$A$1:$H$3450,5,FALSE)</f>
        <v>44803</v>
      </c>
      <c r="G1235" s="42">
        <f>VLOOKUP(A1235,'forecast data dump'!$A$1:$H$3450,8,FALSE)</f>
        <v>0</v>
      </c>
      <c r="H1235" s="5" t="s">
        <v>3762</v>
      </c>
      <c r="I1235" s="39">
        <f t="shared" si="358"/>
        <v>1000</v>
      </c>
      <c r="J1235" s="5"/>
      <c r="K1235" s="5"/>
      <c r="L1235" s="33">
        <f t="shared" si="359"/>
        <v>1184</v>
      </c>
      <c r="M1235" s="33">
        <f t="shared" si="360"/>
        <v>1184</v>
      </c>
      <c r="N1235" s="33">
        <f t="shared" si="361"/>
        <v>0</v>
      </c>
      <c r="T1235">
        <v>1</v>
      </c>
      <c r="U1235" s="29">
        <f t="shared" si="352"/>
        <v>0</v>
      </c>
      <c r="V1235" s="29">
        <f t="shared" si="353"/>
        <v>0</v>
      </c>
      <c r="W1235" s="29">
        <f t="shared" si="354"/>
        <v>0</v>
      </c>
      <c r="X1235" s="29">
        <f t="shared" si="355"/>
        <v>0</v>
      </c>
      <c r="Y1235" s="29">
        <f t="shared" si="356"/>
        <v>0</v>
      </c>
      <c r="Z1235" s="29">
        <f t="shared" si="357"/>
        <v>1184</v>
      </c>
    </row>
    <row r="1236" spans="1:26" x14ac:dyDescent="0.3">
      <c r="A1236" s="5" t="s">
        <v>2578</v>
      </c>
      <c r="B1236" s="5" t="s">
        <v>2579</v>
      </c>
      <c r="C1236" s="5">
        <v>40</v>
      </c>
      <c r="D1236" s="6">
        <v>5308</v>
      </c>
      <c r="E1236" s="17">
        <f>VLOOKUP(A1236,'forecast data dump'!$A$1:$H$3450,4,FALSE)</f>
        <v>44797</v>
      </c>
      <c r="F1236" s="17">
        <f>VLOOKUP(A1236,'forecast data dump'!$A$1:$H$3450,5,FALSE)</f>
        <v>44803</v>
      </c>
      <c r="G1236" s="42">
        <f>VLOOKUP(A1236,'forecast data dump'!$A$1:$H$3450,8,FALSE)</f>
        <v>0</v>
      </c>
      <c r="H1236" s="5" t="s">
        <v>3752</v>
      </c>
      <c r="I1236" s="39">
        <f t="shared" si="358"/>
        <v>40</v>
      </c>
      <c r="J1236" s="5"/>
      <c r="K1236" s="5"/>
      <c r="L1236" s="33">
        <f t="shared" si="359"/>
        <v>5308</v>
      </c>
      <c r="M1236" s="33">
        <f t="shared" si="360"/>
        <v>5308</v>
      </c>
      <c r="N1236" s="33">
        <f t="shared" si="361"/>
        <v>0</v>
      </c>
      <c r="T1236">
        <v>1</v>
      </c>
      <c r="U1236" s="29">
        <f t="shared" si="352"/>
        <v>0</v>
      </c>
      <c r="V1236" s="29">
        <f t="shared" si="353"/>
        <v>0</v>
      </c>
      <c r="W1236" s="29">
        <f t="shared" si="354"/>
        <v>0</v>
      </c>
      <c r="X1236" s="29">
        <f t="shared" si="355"/>
        <v>0</v>
      </c>
      <c r="Y1236" s="29">
        <f t="shared" si="356"/>
        <v>0</v>
      </c>
      <c r="Z1236" s="29">
        <f t="shared" si="357"/>
        <v>5308</v>
      </c>
    </row>
    <row r="1237" spans="1:26" x14ac:dyDescent="0.3">
      <c r="A1237" s="5" t="s">
        <v>2578</v>
      </c>
      <c r="B1237" s="5" t="s">
        <v>2579</v>
      </c>
      <c r="C1237" s="5">
        <v>48</v>
      </c>
      <c r="D1237" s="6">
        <v>5811</v>
      </c>
      <c r="E1237" s="17">
        <f>VLOOKUP(A1237,'forecast data dump'!$A$1:$H$3450,4,FALSE)</f>
        <v>44797</v>
      </c>
      <c r="F1237" s="17">
        <f>VLOOKUP(A1237,'forecast data dump'!$A$1:$H$3450,5,FALSE)</f>
        <v>44803</v>
      </c>
      <c r="G1237" s="42">
        <f>VLOOKUP(A1237,'forecast data dump'!$A$1:$H$3450,8,FALSE)</f>
        <v>0</v>
      </c>
      <c r="H1237" s="5" t="s">
        <v>3759</v>
      </c>
      <c r="I1237" s="39">
        <f t="shared" si="358"/>
        <v>48</v>
      </c>
      <c r="J1237" s="5"/>
      <c r="K1237" s="5"/>
      <c r="L1237" s="33">
        <f t="shared" si="359"/>
        <v>5811</v>
      </c>
      <c r="M1237" s="33">
        <f t="shared" si="360"/>
        <v>5811</v>
      </c>
      <c r="N1237" s="33">
        <f t="shared" si="361"/>
        <v>0</v>
      </c>
      <c r="T1237">
        <v>1</v>
      </c>
      <c r="U1237" s="29">
        <f t="shared" si="352"/>
        <v>0</v>
      </c>
      <c r="V1237" s="29">
        <f t="shared" si="353"/>
        <v>0</v>
      </c>
      <c r="W1237" s="29">
        <f t="shared" si="354"/>
        <v>0</v>
      </c>
      <c r="X1237" s="29">
        <f t="shared" si="355"/>
        <v>0</v>
      </c>
      <c r="Y1237" s="29">
        <f t="shared" si="356"/>
        <v>0</v>
      </c>
      <c r="Z1237" s="29">
        <f t="shared" si="357"/>
        <v>5811</v>
      </c>
    </row>
    <row r="1238" spans="1:26" x14ac:dyDescent="0.3">
      <c r="A1238" s="5" t="s">
        <v>2578</v>
      </c>
      <c r="B1238" s="5" t="s">
        <v>2579</v>
      </c>
      <c r="C1238" s="5">
        <v>48</v>
      </c>
      <c r="D1238" s="6">
        <v>6650</v>
      </c>
      <c r="E1238" s="17">
        <f>VLOOKUP(A1238,'forecast data dump'!$A$1:$H$3450,4,FALSE)</f>
        <v>44797</v>
      </c>
      <c r="F1238" s="17">
        <f>VLOOKUP(A1238,'forecast data dump'!$A$1:$H$3450,5,FALSE)</f>
        <v>44803</v>
      </c>
      <c r="G1238" s="42">
        <f>VLOOKUP(A1238,'forecast data dump'!$A$1:$H$3450,8,FALSE)</f>
        <v>0</v>
      </c>
      <c r="H1238" s="5" t="s">
        <v>3765</v>
      </c>
      <c r="I1238" s="39">
        <f t="shared" si="358"/>
        <v>48</v>
      </c>
      <c r="J1238" s="5"/>
      <c r="K1238" s="5"/>
      <c r="L1238" s="33">
        <f t="shared" si="359"/>
        <v>6650</v>
      </c>
      <c r="M1238" s="33">
        <f t="shared" si="360"/>
        <v>6650</v>
      </c>
      <c r="N1238" s="33">
        <f t="shared" si="361"/>
        <v>0</v>
      </c>
      <c r="T1238">
        <v>1</v>
      </c>
      <c r="U1238" s="29">
        <f t="shared" si="352"/>
        <v>0</v>
      </c>
      <c r="V1238" s="29">
        <f t="shared" si="353"/>
        <v>0</v>
      </c>
      <c r="W1238" s="29">
        <f t="shared" si="354"/>
        <v>0</v>
      </c>
      <c r="X1238" s="29">
        <f t="shared" si="355"/>
        <v>0</v>
      </c>
      <c r="Y1238" s="29">
        <f t="shared" si="356"/>
        <v>0</v>
      </c>
      <c r="Z1238" s="29">
        <f t="shared" si="357"/>
        <v>6650</v>
      </c>
    </row>
    <row r="1239" spans="1:26" x14ac:dyDescent="0.3">
      <c r="A1239" s="5" t="s">
        <v>2578</v>
      </c>
      <c r="B1239" s="5" t="s">
        <v>2579</v>
      </c>
      <c r="C1239" s="5">
        <v>8</v>
      </c>
      <c r="D1239" s="6">
        <v>851</v>
      </c>
      <c r="E1239" s="17">
        <f>VLOOKUP(A1239,'forecast data dump'!$A$1:$H$3450,4,FALSE)</f>
        <v>44797</v>
      </c>
      <c r="F1239" s="17">
        <f>VLOOKUP(A1239,'forecast data dump'!$A$1:$H$3450,5,FALSE)</f>
        <v>44803</v>
      </c>
      <c r="G1239" s="42">
        <f>VLOOKUP(A1239,'forecast data dump'!$A$1:$H$3450,8,FALSE)</f>
        <v>0</v>
      </c>
      <c r="H1239" s="5" t="s">
        <v>3757</v>
      </c>
      <c r="I1239" s="39">
        <f t="shared" si="358"/>
        <v>8</v>
      </c>
      <c r="J1239" s="5"/>
      <c r="K1239" s="5"/>
      <c r="L1239" s="33">
        <f t="shared" si="359"/>
        <v>851</v>
      </c>
      <c r="M1239" s="33">
        <f t="shared" si="360"/>
        <v>851</v>
      </c>
      <c r="N1239" s="33">
        <f t="shared" si="361"/>
        <v>0</v>
      </c>
      <c r="T1239">
        <v>1</v>
      </c>
      <c r="U1239" s="29">
        <f t="shared" si="352"/>
        <v>0</v>
      </c>
      <c r="V1239" s="29">
        <f t="shared" si="353"/>
        <v>0</v>
      </c>
      <c r="W1239" s="29">
        <f t="shared" si="354"/>
        <v>0</v>
      </c>
      <c r="X1239" s="29">
        <f t="shared" si="355"/>
        <v>0</v>
      </c>
      <c r="Y1239" s="29">
        <f t="shared" si="356"/>
        <v>0</v>
      </c>
      <c r="Z1239" s="29">
        <f t="shared" si="357"/>
        <v>851</v>
      </c>
    </row>
    <row r="1240" spans="1:26" x14ac:dyDescent="0.3">
      <c r="A1240" s="5" t="s">
        <v>2578</v>
      </c>
      <c r="B1240" s="5" t="s">
        <v>2579</v>
      </c>
      <c r="C1240" s="5">
        <v>8</v>
      </c>
      <c r="D1240" s="6">
        <v>1250</v>
      </c>
      <c r="E1240" s="17">
        <f>VLOOKUP(A1240,'forecast data dump'!$A$1:$H$3450,4,FALSE)</f>
        <v>44797</v>
      </c>
      <c r="F1240" s="17">
        <f>VLOOKUP(A1240,'forecast data dump'!$A$1:$H$3450,5,FALSE)</f>
        <v>44803</v>
      </c>
      <c r="G1240" s="42">
        <f>VLOOKUP(A1240,'forecast data dump'!$A$1:$H$3450,8,FALSE)</f>
        <v>0</v>
      </c>
      <c r="H1240" s="5" t="s">
        <v>3763</v>
      </c>
      <c r="I1240" s="39">
        <f t="shared" si="358"/>
        <v>8</v>
      </c>
      <c r="J1240" s="5"/>
      <c r="K1240" s="5"/>
      <c r="L1240" s="33">
        <f t="shared" si="359"/>
        <v>1250</v>
      </c>
      <c r="M1240" s="33">
        <f t="shared" si="360"/>
        <v>1250</v>
      </c>
      <c r="N1240" s="33">
        <f t="shared" si="361"/>
        <v>0</v>
      </c>
      <c r="T1240">
        <v>1</v>
      </c>
      <c r="U1240" s="29">
        <f t="shared" si="352"/>
        <v>0</v>
      </c>
      <c r="V1240" s="29">
        <f t="shared" si="353"/>
        <v>0</v>
      </c>
      <c r="W1240" s="29">
        <f t="shared" si="354"/>
        <v>0</v>
      </c>
      <c r="X1240" s="29">
        <f t="shared" si="355"/>
        <v>0</v>
      </c>
      <c r="Y1240" s="29">
        <f t="shared" si="356"/>
        <v>0</v>
      </c>
      <c r="Z1240" s="29">
        <f t="shared" si="357"/>
        <v>1250</v>
      </c>
    </row>
    <row r="1241" spans="1:26" x14ac:dyDescent="0.3">
      <c r="A1241" s="5" t="s">
        <v>2580</v>
      </c>
      <c r="B1241" s="5" t="s">
        <v>2581</v>
      </c>
      <c r="C1241" s="5">
        <v>8</v>
      </c>
      <c r="D1241" s="6">
        <v>1250</v>
      </c>
      <c r="E1241" s="17">
        <f>VLOOKUP(A1241,'forecast data dump'!$A$1:$H$3450,4,FALSE)</f>
        <v>44643</v>
      </c>
      <c r="F1241" s="17">
        <f>VLOOKUP(A1241,'forecast data dump'!$A$1:$H$3450,5,FALSE)</f>
        <v>44649</v>
      </c>
      <c r="G1241" s="42">
        <f>VLOOKUP(A1241,'forecast data dump'!$A$1:$H$3450,8,FALSE)</f>
        <v>0</v>
      </c>
      <c r="H1241" s="5" t="s">
        <v>3733</v>
      </c>
      <c r="I1241" s="39">
        <f t="shared" si="358"/>
        <v>8</v>
      </c>
      <c r="J1241" s="5"/>
      <c r="K1241" s="5"/>
      <c r="L1241" s="33">
        <f t="shared" si="359"/>
        <v>1250</v>
      </c>
      <c r="M1241" s="33">
        <f t="shared" si="360"/>
        <v>1250</v>
      </c>
      <c r="N1241" s="33">
        <f t="shared" si="361"/>
        <v>0</v>
      </c>
      <c r="T1241">
        <v>1</v>
      </c>
      <c r="U1241" s="29">
        <f t="shared" si="352"/>
        <v>0</v>
      </c>
      <c r="V1241" s="29">
        <f t="shared" si="353"/>
        <v>0</v>
      </c>
      <c r="W1241" s="29">
        <f t="shared" si="354"/>
        <v>0</v>
      </c>
      <c r="X1241" s="29">
        <f t="shared" si="355"/>
        <v>0</v>
      </c>
      <c r="Y1241" s="29">
        <f t="shared" si="356"/>
        <v>0</v>
      </c>
      <c r="Z1241" s="29">
        <f t="shared" si="357"/>
        <v>1250</v>
      </c>
    </row>
    <row r="1242" spans="1:26" x14ac:dyDescent="0.3">
      <c r="A1242" s="5" t="s">
        <v>2580</v>
      </c>
      <c r="B1242" s="5" t="s">
        <v>2581</v>
      </c>
      <c r="C1242" s="5">
        <v>24</v>
      </c>
      <c r="D1242" s="6">
        <v>2906</v>
      </c>
      <c r="E1242" s="17">
        <f>VLOOKUP(A1242,'forecast data dump'!$A$1:$H$3450,4,FALSE)</f>
        <v>44643</v>
      </c>
      <c r="F1242" s="17">
        <f>VLOOKUP(A1242,'forecast data dump'!$A$1:$H$3450,5,FALSE)</f>
        <v>44649</v>
      </c>
      <c r="G1242" s="42">
        <f>VLOOKUP(A1242,'forecast data dump'!$A$1:$H$3450,8,FALSE)</f>
        <v>0</v>
      </c>
      <c r="H1242" s="5" t="s">
        <v>3742</v>
      </c>
      <c r="I1242" s="39">
        <f t="shared" si="358"/>
        <v>24</v>
      </c>
      <c r="J1242" s="5"/>
      <c r="K1242" s="5"/>
      <c r="L1242" s="33">
        <f t="shared" si="359"/>
        <v>2906</v>
      </c>
      <c r="M1242" s="33">
        <f t="shared" si="360"/>
        <v>2906</v>
      </c>
      <c r="N1242" s="33">
        <f t="shared" si="361"/>
        <v>0</v>
      </c>
      <c r="T1242">
        <v>1</v>
      </c>
      <c r="U1242" s="29">
        <f t="shared" si="352"/>
        <v>0</v>
      </c>
      <c r="V1242" s="29">
        <f t="shared" si="353"/>
        <v>0</v>
      </c>
      <c r="W1242" s="29">
        <f t="shared" si="354"/>
        <v>0</v>
      </c>
      <c r="X1242" s="29">
        <f t="shared" si="355"/>
        <v>0</v>
      </c>
      <c r="Y1242" s="29">
        <f t="shared" si="356"/>
        <v>0</v>
      </c>
      <c r="Z1242" s="29">
        <f t="shared" si="357"/>
        <v>2906</v>
      </c>
    </row>
    <row r="1243" spans="1:26" x14ac:dyDescent="0.3">
      <c r="A1243" s="5" t="s">
        <v>2580</v>
      </c>
      <c r="B1243" s="5" t="s">
        <v>2581</v>
      </c>
      <c r="C1243" s="5">
        <v>96</v>
      </c>
      <c r="D1243" s="6">
        <v>11623</v>
      </c>
      <c r="E1243" s="17">
        <f>VLOOKUP(A1243,'forecast data dump'!$A$1:$H$3450,4,FALSE)</f>
        <v>44643</v>
      </c>
      <c r="F1243" s="17">
        <f>VLOOKUP(A1243,'forecast data dump'!$A$1:$H$3450,5,FALSE)</f>
        <v>44649</v>
      </c>
      <c r="G1243" s="42">
        <f>VLOOKUP(A1243,'forecast data dump'!$A$1:$H$3450,8,FALSE)</f>
        <v>0</v>
      </c>
      <c r="H1243" s="5" t="s">
        <v>3741</v>
      </c>
      <c r="I1243" s="39">
        <f t="shared" si="358"/>
        <v>96</v>
      </c>
      <c r="J1243" s="5"/>
      <c r="K1243" s="5"/>
      <c r="L1243" s="33">
        <f t="shared" si="359"/>
        <v>11623</v>
      </c>
      <c r="M1243" s="33">
        <f t="shared" si="360"/>
        <v>11623</v>
      </c>
      <c r="N1243" s="33">
        <f t="shared" si="361"/>
        <v>0</v>
      </c>
      <c r="T1243">
        <v>1</v>
      </c>
      <c r="U1243" s="29">
        <f t="shared" si="352"/>
        <v>0</v>
      </c>
      <c r="V1243" s="29">
        <f t="shared" si="353"/>
        <v>0</v>
      </c>
      <c r="W1243" s="29">
        <f t="shared" si="354"/>
        <v>0</v>
      </c>
      <c r="X1243" s="29">
        <f t="shared" si="355"/>
        <v>0</v>
      </c>
      <c r="Y1243" s="29">
        <f t="shared" si="356"/>
        <v>0</v>
      </c>
      <c r="Z1243" s="29">
        <f t="shared" si="357"/>
        <v>11623</v>
      </c>
    </row>
    <row r="1244" spans="1:26" x14ac:dyDescent="0.3">
      <c r="A1244" s="5" t="s">
        <v>2580</v>
      </c>
      <c r="B1244" s="5" t="s">
        <v>2581</v>
      </c>
      <c r="C1244" s="5">
        <v>8</v>
      </c>
      <c r="D1244" s="6">
        <v>969</v>
      </c>
      <c r="E1244" s="17">
        <f>VLOOKUP(A1244,'forecast data dump'!$A$1:$H$3450,4,FALSE)</f>
        <v>44643</v>
      </c>
      <c r="F1244" s="17">
        <f>VLOOKUP(A1244,'forecast data dump'!$A$1:$H$3450,5,FALSE)</f>
        <v>44649</v>
      </c>
      <c r="G1244" s="42">
        <f>VLOOKUP(A1244,'forecast data dump'!$A$1:$H$3450,8,FALSE)</f>
        <v>0</v>
      </c>
      <c r="H1244" s="5" t="s">
        <v>3745</v>
      </c>
      <c r="I1244" s="39">
        <f t="shared" si="358"/>
        <v>8</v>
      </c>
      <c r="J1244" s="5"/>
      <c r="K1244" s="5"/>
      <c r="L1244" s="33">
        <f t="shared" si="359"/>
        <v>969</v>
      </c>
      <c r="M1244" s="33">
        <f t="shared" si="360"/>
        <v>969</v>
      </c>
      <c r="N1244" s="33">
        <f t="shared" si="361"/>
        <v>0</v>
      </c>
      <c r="T1244">
        <v>1</v>
      </c>
      <c r="U1244" s="29">
        <f t="shared" si="352"/>
        <v>0</v>
      </c>
      <c r="V1244" s="29">
        <f t="shared" si="353"/>
        <v>0</v>
      </c>
      <c r="W1244" s="29">
        <f t="shared" si="354"/>
        <v>0</v>
      </c>
      <c r="X1244" s="29">
        <f t="shared" si="355"/>
        <v>0</v>
      </c>
      <c r="Y1244" s="29">
        <f t="shared" si="356"/>
        <v>0</v>
      </c>
      <c r="Z1244" s="29">
        <f t="shared" si="357"/>
        <v>969</v>
      </c>
    </row>
    <row r="1245" spans="1:26" x14ac:dyDescent="0.3">
      <c r="A1245" s="5" t="s">
        <v>2580</v>
      </c>
      <c r="B1245" s="5" t="s">
        <v>2581</v>
      </c>
      <c r="C1245" s="5">
        <v>40</v>
      </c>
      <c r="D1245" s="6">
        <v>4843</v>
      </c>
      <c r="E1245" s="17">
        <f>VLOOKUP(A1245,'forecast data dump'!$A$1:$H$3450,4,FALSE)</f>
        <v>44643</v>
      </c>
      <c r="F1245" s="17">
        <f>VLOOKUP(A1245,'forecast data dump'!$A$1:$H$3450,5,FALSE)</f>
        <v>44649</v>
      </c>
      <c r="G1245" s="42">
        <f>VLOOKUP(A1245,'forecast data dump'!$A$1:$H$3450,8,FALSE)</f>
        <v>0</v>
      </c>
      <c r="H1245" s="5" t="s">
        <v>3760</v>
      </c>
      <c r="I1245" s="39">
        <f t="shared" si="358"/>
        <v>40</v>
      </c>
      <c r="J1245" s="5"/>
      <c r="K1245" s="5"/>
      <c r="L1245" s="33">
        <f t="shared" si="359"/>
        <v>4843</v>
      </c>
      <c r="M1245" s="33">
        <f t="shared" si="360"/>
        <v>4843</v>
      </c>
      <c r="N1245" s="33">
        <f t="shared" si="361"/>
        <v>0</v>
      </c>
      <c r="T1245">
        <v>1</v>
      </c>
      <c r="U1245" s="29">
        <f t="shared" si="352"/>
        <v>0</v>
      </c>
      <c r="V1245" s="29">
        <f t="shared" si="353"/>
        <v>0</v>
      </c>
      <c r="W1245" s="29">
        <f t="shared" si="354"/>
        <v>0</v>
      </c>
      <c r="X1245" s="29">
        <f t="shared" si="355"/>
        <v>0</v>
      </c>
      <c r="Y1245" s="29">
        <f t="shared" si="356"/>
        <v>0</v>
      </c>
      <c r="Z1245" s="29">
        <f t="shared" si="357"/>
        <v>4843</v>
      </c>
    </row>
    <row r="1246" spans="1:26" x14ac:dyDescent="0.3">
      <c r="A1246" s="5" t="s">
        <v>2582</v>
      </c>
      <c r="B1246" s="5" t="s">
        <v>2583</v>
      </c>
      <c r="C1246" s="5">
        <v>40</v>
      </c>
      <c r="D1246" s="6">
        <v>6249</v>
      </c>
      <c r="E1246" s="17">
        <f>VLOOKUP(A1246,'forecast data dump'!$A$1:$H$3450,4,FALSE)</f>
        <v>44690</v>
      </c>
      <c r="F1246" s="17">
        <f>VLOOKUP(A1246,'forecast data dump'!$A$1:$H$3450,5,FALSE)</f>
        <v>44718</v>
      </c>
      <c r="G1246" s="42">
        <f>VLOOKUP(A1246,'forecast data dump'!$A$1:$H$3450,8,FALSE)</f>
        <v>0</v>
      </c>
      <c r="H1246" s="5" t="s">
        <v>3733</v>
      </c>
      <c r="I1246" s="39">
        <f t="shared" si="358"/>
        <v>40</v>
      </c>
      <c r="J1246" s="5"/>
      <c r="K1246" s="5"/>
      <c r="L1246" s="33">
        <f t="shared" si="359"/>
        <v>6249</v>
      </c>
      <c r="M1246" s="33">
        <f t="shared" si="360"/>
        <v>6249</v>
      </c>
      <c r="N1246" s="33">
        <f t="shared" si="361"/>
        <v>0</v>
      </c>
      <c r="T1246">
        <v>1</v>
      </c>
      <c r="U1246" s="29">
        <f t="shared" si="352"/>
        <v>0</v>
      </c>
      <c r="V1246" s="29">
        <f t="shared" si="353"/>
        <v>0</v>
      </c>
      <c r="W1246" s="29">
        <f t="shared" si="354"/>
        <v>0</v>
      </c>
      <c r="X1246" s="29">
        <f t="shared" si="355"/>
        <v>0</v>
      </c>
      <c r="Y1246" s="29">
        <f t="shared" si="356"/>
        <v>0</v>
      </c>
      <c r="Z1246" s="29">
        <f t="shared" si="357"/>
        <v>6249</v>
      </c>
    </row>
    <row r="1247" spans="1:26" x14ac:dyDescent="0.3">
      <c r="A1247" s="5" t="s">
        <v>2582</v>
      </c>
      <c r="B1247" s="5" t="s">
        <v>2583</v>
      </c>
      <c r="C1247" s="5">
        <v>40</v>
      </c>
      <c r="D1247" s="6">
        <v>6249</v>
      </c>
      <c r="E1247" s="17">
        <f>VLOOKUP(A1247,'forecast data dump'!$A$1:$H$3450,4,FALSE)</f>
        <v>44690</v>
      </c>
      <c r="F1247" s="17">
        <f>VLOOKUP(A1247,'forecast data dump'!$A$1:$H$3450,5,FALSE)</f>
        <v>44718</v>
      </c>
      <c r="G1247" s="42">
        <f>VLOOKUP(A1247,'forecast data dump'!$A$1:$H$3450,8,FALSE)</f>
        <v>0</v>
      </c>
      <c r="H1247" s="5" t="s">
        <v>3744</v>
      </c>
      <c r="I1247" s="39">
        <f t="shared" si="358"/>
        <v>40</v>
      </c>
      <c r="J1247" s="5"/>
      <c r="K1247" s="5"/>
      <c r="L1247" s="33">
        <f t="shared" si="359"/>
        <v>6249</v>
      </c>
      <c r="M1247" s="33">
        <f t="shared" si="360"/>
        <v>6249</v>
      </c>
      <c r="N1247" s="33">
        <f t="shared" si="361"/>
        <v>0</v>
      </c>
      <c r="T1247">
        <v>1</v>
      </c>
      <c r="U1247" s="29">
        <f t="shared" si="352"/>
        <v>0</v>
      </c>
      <c r="V1247" s="29">
        <f t="shared" si="353"/>
        <v>0</v>
      </c>
      <c r="W1247" s="29">
        <f t="shared" si="354"/>
        <v>0</v>
      </c>
      <c r="X1247" s="29">
        <f t="shared" si="355"/>
        <v>0</v>
      </c>
      <c r="Y1247" s="29">
        <f t="shared" si="356"/>
        <v>0</v>
      </c>
      <c r="Z1247" s="29">
        <f t="shared" si="357"/>
        <v>6249</v>
      </c>
    </row>
    <row r="1248" spans="1:26" x14ac:dyDescent="0.3">
      <c r="A1248" s="5" t="s">
        <v>2582</v>
      </c>
      <c r="B1248" s="5" t="s">
        <v>2583</v>
      </c>
      <c r="C1248" s="5">
        <v>40</v>
      </c>
      <c r="D1248" s="6">
        <v>7303</v>
      </c>
      <c r="E1248" s="17">
        <f>VLOOKUP(A1248,'forecast data dump'!$A$1:$H$3450,4,FALSE)</f>
        <v>44690</v>
      </c>
      <c r="F1248" s="17">
        <f>VLOOKUP(A1248,'forecast data dump'!$A$1:$H$3450,5,FALSE)</f>
        <v>44718</v>
      </c>
      <c r="G1248" s="42">
        <f>VLOOKUP(A1248,'forecast data dump'!$A$1:$H$3450,8,FALSE)</f>
        <v>0</v>
      </c>
      <c r="H1248" s="5" t="s">
        <v>3740</v>
      </c>
      <c r="I1248" s="39">
        <f t="shared" si="358"/>
        <v>40</v>
      </c>
      <c r="J1248" s="5"/>
      <c r="K1248" s="5"/>
      <c r="L1248" s="33">
        <f t="shared" si="359"/>
        <v>7303</v>
      </c>
      <c r="M1248" s="33">
        <f t="shared" si="360"/>
        <v>7303</v>
      </c>
      <c r="N1248" s="33">
        <f t="shared" si="361"/>
        <v>0</v>
      </c>
      <c r="T1248">
        <v>1</v>
      </c>
      <c r="U1248" s="29">
        <f t="shared" si="352"/>
        <v>0</v>
      </c>
      <c r="V1248" s="29">
        <f t="shared" si="353"/>
        <v>0</v>
      </c>
      <c r="W1248" s="29">
        <f t="shared" si="354"/>
        <v>0</v>
      </c>
      <c r="X1248" s="29">
        <f t="shared" si="355"/>
        <v>0</v>
      </c>
      <c r="Y1248" s="29">
        <f t="shared" si="356"/>
        <v>0</v>
      </c>
      <c r="Z1248" s="29">
        <f t="shared" si="357"/>
        <v>7303</v>
      </c>
    </row>
    <row r="1249" spans="1:26" x14ac:dyDescent="0.3">
      <c r="A1249" s="5" t="s">
        <v>2582</v>
      </c>
      <c r="B1249" s="5" t="s">
        <v>2583</v>
      </c>
      <c r="C1249" s="5">
        <v>40</v>
      </c>
      <c r="D1249" s="6">
        <v>8738</v>
      </c>
      <c r="E1249" s="17">
        <f>VLOOKUP(A1249,'forecast data dump'!$A$1:$H$3450,4,FALSE)</f>
        <v>44690</v>
      </c>
      <c r="F1249" s="17">
        <f>VLOOKUP(A1249,'forecast data dump'!$A$1:$H$3450,5,FALSE)</f>
        <v>44718</v>
      </c>
      <c r="G1249" s="42">
        <f>VLOOKUP(A1249,'forecast data dump'!$A$1:$H$3450,8,FALSE)</f>
        <v>0</v>
      </c>
      <c r="H1249" s="5" t="s">
        <v>3732</v>
      </c>
      <c r="I1249" s="39">
        <f t="shared" si="358"/>
        <v>40</v>
      </c>
      <c r="J1249" s="5"/>
      <c r="K1249" s="5"/>
      <c r="L1249" s="33">
        <f t="shared" si="359"/>
        <v>8738</v>
      </c>
      <c r="M1249" s="33">
        <f t="shared" si="360"/>
        <v>8738</v>
      </c>
      <c r="N1249" s="33">
        <f t="shared" si="361"/>
        <v>0</v>
      </c>
      <c r="T1249">
        <v>1</v>
      </c>
      <c r="U1249" s="29">
        <f t="shared" si="352"/>
        <v>0</v>
      </c>
      <c r="V1249" s="29">
        <f t="shared" si="353"/>
        <v>0</v>
      </c>
      <c r="W1249" s="29">
        <f t="shared" si="354"/>
        <v>0</v>
      </c>
      <c r="X1249" s="29">
        <f t="shared" si="355"/>
        <v>0</v>
      </c>
      <c r="Y1249" s="29">
        <f t="shared" si="356"/>
        <v>0</v>
      </c>
      <c r="Z1249" s="29">
        <f t="shared" si="357"/>
        <v>8738</v>
      </c>
    </row>
    <row r="1250" spans="1:26" x14ac:dyDescent="0.3">
      <c r="A1250" s="5" t="s">
        <v>2584</v>
      </c>
      <c r="B1250" s="5" t="s">
        <v>2585</v>
      </c>
      <c r="C1250" s="5">
        <v>8</v>
      </c>
      <c r="D1250" s="6">
        <v>1250</v>
      </c>
      <c r="E1250" s="17">
        <f>VLOOKUP(A1250,'forecast data dump'!$A$1:$H$3450,4,FALSE)</f>
        <v>44719</v>
      </c>
      <c r="F1250" s="17">
        <f>VLOOKUP(A1250,'forecast data dump'!$A$1:$H$3450,5,FALSE)</f>
        <v>44721</v>
      </c>
      <c r="G1250" s="42">
        <f>VLOOKUP(A1250,'forecast data dump'!$A$1:$H$3450,8,FALSE)</f>
        <v>0</v>
      </c>
      <c r="H1250" s="5" t="s">
        <v>3733</v>
      </c>
      <c r="I1250" s="39">
        <f t="shared" si="358"/>
        <v>8</v>
      </c>
      <c r="J1250" s="5"/>
      <c r="K1250" s="5"/>
      <c r="L1250" s="33">
        <f t="shared" si="359"/>
        <v>1250</v>
      </c>
      <c r="M1250" s="33">
        <f t="shared" si="360"/>
        <v>1250</v>
      </c>
      <c r="N1250" s="33">
        <f t="shared" si="361"/>
        <v>0</v>
      </c>
      <c r="T1250">
        <v>1</v>
      </c>
      <c r="U1250" s="29">
        <f t="shared" si="352"/>
        <v>0</v>
      </c>
      <c r="V1250" s="29">
        <f t="shared" si="353"/>
        <v>0</v>
      </c>
      <c r="W1250" s="29">
        <f t="shared" si="354"/>
        <v>0</v>
      </c>
      <c r="X1250" s="29">
        <f t="shared" si="355"/>
        <v>0</v>
      </c>
      <c r="Y1250" s="29">
        <f t="shared" si="356"/>
        <v>0</v>
      </c>
      <c r="Z1250" s="29">
        <f t="shared" si="357"/>
        <v>1250</v>
      </c>
    </row>
    <row r="1251" spans="1:26" x14ac:dyDescent="0.3">
      <c r="A1251" s="5" t="s">
        <v>2584</v>
      </c>
      <c r="B1251" s="5" t="s">
        <v>2585</v>
      </c>
      <c r="C1251" s="5">
        <v>8</v>
      </c>
      <c r="D1251" s="6">
        <v>1250</v>
      </c>
      <c r="E1251" s="17">
        <f>VLOOKUP(A1251,'forecast data dump'!$A$1:$H$3450,4,FALSE)</f>
        <v>44719</v>
      </c>
      <c r="F1251" s="17">
        <f>VLOOKUP(A1251,'forecast data dump'!$A$1:$H$3450,5,FALSE)</f>
        <v>44721</v>
      </c>
      <c r="G1251" s="42">
        <f>VLOOKUP(A1251,'forecast data dump'!$A$1:$H$3450,8,FALSE)</f>
        <v>0</v>
      </c>
      <c r="H1251" s="5" t="s">
        <v>3744</v>
      </c>
      <c r="I1251" s="39">
        <f t="shared" si="358"/>
        <v>8</v>
      </c>
      <c r="J1251" s="5"/>
      <c r="K1251" s="5"/>
      <c r="L1251" s="33">
        <f t="shared" si="359"/>
        <v>1250</v>
      </c>
      <c r="M1251" s="33">
        <f t="shared" si="360"/>
        <v>1250</v>
      </c>
      <c r="N1251" s="33">
        <f t="shared" si="361"/>
        <v>0</v>
      </c>
      <c r="T1251">
        <v>1</v>
      </c>
      <c r="U1251" s="29">
        <f t="shared" ref="U1251:U1292" si="362">O1251*M1251</f>
        <v>0</v>
      </c>
      <c r="V1251" s="29">
        <f t="shared" ref="V1251:V1292" si="363">P1251*M1251</f>
        <v>0</v>
      </c>
      <c r="W1251" s="29">
        <f t="shared" ref="W1251:W1292" si="364">Q1251*M1251</f>
        <v>0</v>
      </c>
      <c r="X1251" s="29">
        <f t="shared" ref="X1251:X1292" si="365">R1251*M1251</f>
        <v>0</v>
      </c>
      <c r="Y1251" s="29">
        <f t="shared" ref="Y1251:Y1292" si="366">S1251*M1251</f>
        <v>0</v>
      </c>
      <c r="Z1251" s="29">
        <f t="shared" ref="Z1251:Z1292" si="367">T1251*M1251</f>
        <v>1250</v>
      </c>
    </row>
    <row r="1252" spans="1:26" x14ac:dyDescent="0.3">
      <c r="A1252" s="5" t="s">
        <v>2584</v>
      </c>
      <c r="B1252" s="5" t="s">
        <v>2585</v>
      </c>
      <c r="C1252" s="5">
        <v>24</v>
      </c>
      <c r="D1252" s="6">
        <v>5243</v>
      </c>
      <c r="E1252" s="17">
        <f>VLOOKUP(A1252,'forecast data dump'!$A$1:$H$3450,4,FALSE)</f>
        <v>44719</v>
      </c>
      <c r="F1252" s="17">
        <f>VLOOKUP(A1252,'forecast data dump'!$A$1:$H$3450,5,FALSE)</f>
        <v>44721</v>
      </c>
      <c r="G1252" s="42">
        <f>VLOOKUP(A1252,'forecast data dump'!$A$1:$H$3450,8,FALSE)</f>
        <v>0</v>
      </c>
      <c r="H1252" s="5" t="s">
        <v>3732</v>
      </c>
      <c r="I1252" s="39">
        <f t="shared" si="358"/>
        <v>24</v>
      </c>
      <c r="J1252" s="5"/>
      <c r="K1252" s="5"/>
      <c r="L1252" s="33">
        <f t="shared" si="359"/>
        <v>5243</v>
      </c>
      <c r="M1252" s="33">
        <f t="shared" si="360"/>
        <v>5243</v>
      </c>
      <c r="N1252" s="33">
        <f t="shared" si="361"/>
        <v>0</v>
      </c>
      <c r="T1252">
        <v>1</v>
      </c>
      <c r="U1252" s="29">
        <f t="shared" si="362"/>
        <v>0</v>
      </c>
      <c r="V1252" s="29">
        <f t="shared" si="363"/>
        <v>0</v>
      </c>
      <c r="W1252" s="29">
        <f t="shared" si="364"/>
        <v>0</v>
      </c>
      <c r="X1252" s="29">
        <f t="shared" si="365"/>
        <v>0</v>
      </c>
      <c r="Y1252" s="29">
        <f t="shared" si="366"/>
        <v>0</v>
      </c>
      <c r="Z1252" s="29">
        <f t="shared" si="367"/>
        <v>5243</v>
      </c>
    </row>
    <row r="1253" spans="1:26" x14ac:dyDescent="0.3">
      <c r="A1253" s="5" t="s">
        <v>2584</v>
      </c>
      <c r="B1253" s="5" t="s">
        <v>2585</v>
      </c>
      <c r="C1253" s="5">
        <v>24</v>
      </c>
      <c r="D1253" s="6">
        <v>4382</v>
      </c>
      <c r="E1253" s="17">
        <f>VLOOKUP(A1253,'forecast data dump'!$A$1:$H$3450,4,FALSE)</f>
        <v>44719</v>
      </c>
      <c r="F1253" s="17">
        <f>VLOOKUP(A1253,'forecast data dump'!$A$1:$H$3450,5,FALSE)</f>
        <v>44721</v>
      </c>
      <c r="G1253" s="42">
        <f>VLOOKUP(A1253,'forecast data dump'!$A$1:$H$3450,8,FALSE)</f>
        <v>0</v>
      </c>
      <c r="H1253" s="5" t="s">
        <v>3740</v>
      </c>
      <c r="I1253" s="39">
        <f t="shared" si="358"/>
        <v>24</v>
      </c>
      <c r="J1253" s="5"/>
      <c r="K1253" s="5"/>
      <c r="L1253" s="33">
        <f t="shared" si="359"/>
        <v>4382</v>
      </c>
      <c r="M1253" s="33">
        <f t="shared" si="360"/>
        <v>4382</v>
      </c>
      <c r="N1253" s="33">
        <f t="shared" si="361"/>
        <v>0</v>
      </c>
      <c r="T1253">
        <v>1</v>
      </c>
      <c r="U1253" s="29">
        <f t="shared" si="362"/>
        <v>0</v>
      </c>
      <c r="V1253" s="29">
        <f t="shared" si="363"/>
        <v>0</v>
      </c>
      <c r="W1253" s="29">
        <f t="shared" si="364"/>
        <v>0</v>
      </c>
      <c r="X1253" s="29">
        <f t="shared" si="365"/>
        <v>0</v>
      </c>
      <c r="Y1253" s="29">
        <f t="shared" si="366"/>
        <v>0</v>
      </c>
      <c r="Z1253" s="29">
        <f t="shared" si="367"/>
        <v>4382</v>
      </c>
    </row>
    <row r="1254" spans="1:26" x14ac:dyDescent="0.3">
      <c r="A1254" s="5" t="s">
        <v>2586</v>
      </c>
      <c r="B1254" s="5" t="s">
        <v>2587</v>
      </c>
      <c r="C1254" s="5">
        <v>40</v>
      </c>
      <c r="D1254" s="6">
        <v>6249</v>
      </c>
      <c r="E1254" s="17">
        <f>VLOOKUP(A1254,'forecast data dump'!$A$1:$H$3450,4,FALSE)</f>
        <v>44722</v>
      </c>
      <c r="F1254" s="17">
        <f>VLOOKUP(A1254,'forecast data dump'!$A$1:$H$3450,5,FALSE)</f>
        <v>44750</v>
      </c>
      <c r="G1254" s="42">
        <f>VLOOKUP(A1254,'forecast data dump'!$A$1:$H$3450,8,FALSE)</f>
        <v>0</v>
      </c>
      <c r="H1254" s="5" t="s">
        <v>3733</v>
      </c>
      <c r="I1254" s="39">
        <f t="shared" si="358"/>
        <v>40</v>
      </c>
      <c r="J1254" s="5"/>
      <c r="K1254" s="5"/>
      <c r="L1254" s="33">
        <f t="shared" si="359"/>
        <v>6249</v>
      </c>
      <c r="M1254" s="33">
        <f t="shared" si="360"/>
        <v>6249</v>
      </c>
      <c r="N1254" s="33">
        <f t="shared" si="361"/>
        <v>0</v>
      </c>
      <c r="T1254">
        <v>1</v>
      </c>
      <c r="U1254" s="29">
        <f t="shared" si="362"/>
        <v>0</v>
      </c>
      <c r="V1254" s="29">
        <f t="shared" si="363"/>
        <v>0</v>
      </c>
      <c r="W1254" s="29">
        <f t="shared" si="364"/>
        <v>0</v>
      </c>
      <c r="X1254" s="29">
        <f t="shared" si="365"/>
        <v>0</v>
      </c>
      <c r="Y1254" s="29">
        <f t="shared" si="366"/>
        <v>0</v>
      </c>
      <c r="Z1254" s="29">
        <f t="shared" si="367"/>
        <v>6249</v>
      </c>
    </row>
    <row r="1255" spans="1:26" x14ac:dyDescent="0.3">
      <c r="A1255" s="5" t="s">
        <v>2586</v>
      </c>
      <c r="B1255" s="5" t="s">
        <v>2587</v>
      </c>
      <c r="C1255" s="5">
        <v>40</v>
      </c>
      <c r="D1255" s="6">
        <v>6249</v>
      </c>
      <c r="E1255" s="17">
        <f>VLOOKUP(A1255,'forecast data dump'!$A$1:$H$3450,4,FALSE)</f>
        <v>44722</v>
      </c>
      <c r="F1255" s="17">
        <f>VLOOKUP(A1255,'forecast data dump'!$A$1:$H$3450,5,FALSE)</f>
        <v>44750</v>
      </c>
      <c r="G1255" s="42">
        <f>VLOOKUP(A1255,'forecast data dump'!$A$1:$H$3450,8,FALSE)</f>
        <v>0</v>
      </c>
      <c r="H1255" s="5" t="s">
        <v>3744</v>
      </c>
      <c r="I1255" s="39">
        <f t="shared" si="358"/>
        <v>40</v>
      </c>
      <c r="J1255" s="5"/>
      <c r="K1255" s="5"/>
      <c r="L1255" s="33">
        <f t="shared" si="359"/>
        <v>6249</v>
      </c>
      <c r="M1255" s="33">
        <f t="shared" si="360"/>
        <v>6249</v>
      </c>
      <c r="N1255" s="33">
        <f t="shared" si="361"/>
        <v>0</v>
      </c>
      <c r="T1255">
        <v>1</v>
      </c>
      <c r="U1255" s="29">
        <f t="shared" si="362"/>
        <v>0</v>
      </c>
      <c r="V1255" s="29">
        <f t="shared" si="363"/>
        <v>0</v>
      </c>
      <c r="W1255" s="29">
        <f t="shared" si="364"/>
        <v>0</v>
      </c>
      <c r="X1255" s="29">
        <f t="shared" si="365"/>
        <v>0</v>
      </c>
      <c r="Y1255" s="29">
        <f t="shared" si="366"/>
        <v>0</v>
      </c>
      <c r="Z1255" s="29">
        <f t="shared" si="367"/>
        <v>6249</v>
      </c>
    </row>
    <row r="1256" spans="1:26" x14ac:dyDescent="0.3">
      <c r="A1256" s="5" t="s">
        <v>2586</v>
      </c>
      <c r="B1256" s="5" t="s">
        <v>2587</v>
      </c>
      <c r="C1256" s="5">
        <v>40</v>
      </c>
      <c r="D1256" s="6">
        <v>7303</v>
      </c>
      <c r="E1256" s="17">
        <f>VLOOKUP(A1256,'forecast data dump'!$A$1:$H$3450,4,FALSE)</f>
        <v>44722</v>
      </c>
      <c r="F1256" s="17">
        <f>VLOOKUP(A1256,'forecast data dump'!$A$1:$H$3450,5,FALSE)</f>
        <v>44750</v>
      </c>
      <c r="G1256" s="42">
        <f>VLOOKUP(A1256,'forecast data dump'!$A$1:$H$3450,8,FALSE)</f>
        <v>0</v>
      </c>
      <c r="H1256" s="5" t="s">
        <v>3740</v>
      </c>
      <c r="I1256" s="39">
        <f t="shared" si="358"/>
        <v>40</v>
      </c>
      <c r="J1256" s="5"/>
      <c r="K1256" s="5"/>
      <c r="L1256" s="33">
        <f t="shared" si="359"/>
        <v>7303</v>
      </c>
      <c r="M1256" s="33">
        <f t="shared" si="360"/>
        <v>7303</v>
      </c>
      <c r="N1256" s="33">
        <f t="shared" si="361"/>
        <v>0</v>
      </c>
      <c r="T1256">
        <v>1</v>
      </c>
      <c r="U1256" s="29">
        <f t="shared" si="362"/>
        <v>0</v>
      </c>
      <c r="V1256" s="29">
        <f t="shared" si="363"/>
        <v>0</v>
      </c>
      <c r="W1256" s="29">
        <f t="shared" si="364"/>
        <v>0</v>
      </c>
      <c r="X1256" s="29">
        <f t="shared" si="365"/>
        <v>0</v>
      </c>
      <c r="Y1256" s="29">
        <f t="shared" si="366"/>
        <v>0</v>
      </c>
      <c r="Z1256" s="29">
        <f t="shared" si="367"/>
        <v>7303</v>
      </c>
    </row>
    <row r="1257" spans="1:26" x14ac:dyDescent="0.3">
      <c r="A1257" s="5" t="s">
        <v>2586</v>
      </c>
      <c r="B1257" s="5" t="s">
        <v>2587</v>
      </c>
      <c r="C1257" s="5">
        <v>40</v>
      </c>
      <c r="D1257" s="6">
        <v>8738</v>
      </c>
      <c r="E1257" s="17">
        <f>VLOOKUP(A1257,'forecast data dump'!$A$1:$H$3450,4,FALSE)</f>
        <v>44722</v>
      </c>
      <c r="F1257" s="17">
        <f>VLOOKUP(A1257,'forecast data dump'!$A$1:$H$3450,5,FALSE)</f>
        <v>44750</v>
      </c>
      <c r="G1257" s="42">
        <f>VLOOKUP(A1257,'forecast data dump'!$A$1:$H$3450,8,FALSE)</f>
        <v>0</v>
      </c>
      <c r="H1257" s="5" t="s">
        <v>3732</v>
      </c>
      <c r="I1257" s="39">
        <f t="shared" si="358"/>
        <v>40</v>
      </c>
      <c r="J1257" s="5"/>
      <c r="K1257" s="5"/>
      <c r="L1257" s="33">
        <f t="shared" si="359"/>
        <v>8738</v>
      </c>
      <c r="M1257" s="33">
        <f t="shared" si="360"/>
        <v>8738</v>
      </c>
      <c r="N1257" s="33">
        <f t="shared" si="361"/>
        <v>0</v>
      </c>
      <c r="T1257">
        <v>1</v>
      </c>
      <c r="U1257" s="29">
        <f t="shared" si="362"/>
        <v>0</v>
      </c>
      <c r="V1257" s="29">
        <f t="shared" si="363"/>
        <v>0</v>
      </c>
      <c r="W1257" s="29">
        <f t="shared" si="364"/>
        <v>0</v>
      </c>
      <c r="X1257" s="29">
        <f t="shared" si="365"/>
        <v>0</v>
      </c>
      <c r="Y1257" s="29">
        <f t="shared" si="366"/>
        <v>0</v>
      </c>
      <c r="Z1257" s="29">
        <f t="shared" si="367"/>
        <v>8738</v>
      </c>
    </row>
    <row r="1258" spans="1:26" x14ac:dyDescent="0.3">
      <c r="A1258" s="5" t="s">
        <v>2586</v>
      </c>
      <c r="B1258" s="5" t="s">
        <v>2587</v>
      </c>
      <c r="C1258" s="5">
        <v>20</v>
      </c>
      <c r="D1258" s="6">
        <v>3608</v>
      </c>
      <c r="E1258" s="17">
        <f>VLOOKUP(A1258,'forecast data dump'!$A$1:$H$3450,4,FALSE)</f>
        <v>44722</v>
      </c>
      <c r="F1258" s="17">
        <f>VLOOKUP(A1258,'forecast data dump'!$A$1:$H$3450,5,FALSE)</f>
        <v>44750</v>
      </c>
      <c r="G1258" s="42">
        <f>VLOOKUP(A1258,'forecast data dump'!$A$1:$H$3450,8,FALSE)</f>
        <v>0</v>
      </c>
      <c r="H1258" s="5" t="s">
        <v>3731</v>
      </c>
      <c r="I1258" s="39">
        <f t="shared" si="358"/>
        <v>20</v>
      </c>
      <c r="J1258" s="5"/>
      <c r="K1258" s="5"/>
      <c r="L1258" s="33">
        <f t="shared" si="359"/>
        <v>3608</v>
      </c>
      <c r="M1258" s="33">
        <f t="shared" si="360"/>
        <v>3608</v>
      </c>
      <c r="N1258" s="33">
        <f t="shared" si="361"/>
        <v>0</v>
      </c>
      <c r="T1258">
        <v>1</v>
      </c>
      <c r="U1258" s="29">
        <f t="shared" si="362"/>
        <v>0</v>
      </c>
      <c r="V1258" s="29">
        <f t="shared" si="363"/>
        <v>0</v>
      </c>
      <c r="W1258" s="29">
        <f t="shared" si="364"/>
        <v>0</v>
      </c>
      <c r="X1258" s="29">
        <f t="shared" si="365"/>
        <v>0</v>
      </c>
      <c r="Y1258" s="29">
        <f t="shared" si="366"/>
        <v>0</v>
      </c>
      <c r="Z1258" s="29">
        <f t="shared" si="367"/>
        <v>3608</v>
      </c>
    </row>
    <row r="1259" spans="1:26" x14ac:dyDescent="0.3">
      <c r="A1259" s="5" t="s">
        <v>2586</v>
      </c>
      <c r="B1259" s="5" t="s">
        <v>2587</v>
      </c>
      <c r="C1259" s="5">
        <v>20</v>
      </c>
      <c r="D1259" s="6">
        <v>4095</v>
      </c>
      <c r="E1259" s="17">
        <f>VLOOKUP(A1259,'forecast data dump'!$A$1:$H$3450,4,FALSE)</f>
        <v>44722</v>
      </c>
      <c r="F1259" s="17">
        <f>VLOOKUP(A1259,'forecast data dump'!$A$1:$H$3450,5,FALSE)</f>
        <v>44750</v>
      </c>
      <c r="G1259" s="42">
        <f>VLOOKUP(A1259,'forecast data dump'!$A$1:$H$3450,8,FALSE)</f>
        <v>0</v>
      </c>
      <c r="H1259" s="5" t="s">
        <v>3755</v>
      </c>
      <c r="I1259" s="39">
        <f t="shared" si="358"/>
        <v>20</v>
      </c>
      <c r="J1259" s="5"/>
      <c r="K1259" s="5"/>
      <c r="L1259" s="33">
        <f t="shared" si="359"/>
        <v>4095</v>
      </c>
      <c r="M1259" s="33">
        <f t="shared" si="360"/>
        <v>4095</v>
      </c>
      <c r="N1259" s="33">
        <f t="shared" si="361"/>
        <v>0</v>
      </c>
      <c r="T1259">
        <v>1</v>
      </c>
      <c r="U1259" s="29">
        <f t="shared" si="362"/>
        <v>0</v>
      </c>
      <c r="V1259" s="29">
        <f t="shared" si="363"/>
        <v>0</v>
      </c>
      <c r="W1259" s="29">
        <f t="shared" si="364"/>
        <v>0</v>
      </c>
      <c r="X1259" s="29">
        <f t="shared" si="365"/>
        <v>0</v>
      </c>
      <c r="Y1259" s="29">
        <f t="shared" si="366"/>
        <v>0</v>
      </c>
      <c r="Z1259" s="29">
        <f t="shared" si="367"/>
        <v>4095</v>
      </c>
    </row>
    <row r="1260" spans="1:26" x14ac:dyDescent="0.3">
      <c r="A1260" s="5" t="s">
        <v>2586</v>
      </c>
      <c r="B1260" s="5" t="s">
        <v>2587</v>
      </c>
      <c r="C1260" s="5">
        <v>20</v>
      </c>
      <c r="D1260" s="6">
        <v>2126</v>
      </c>
      <c r="E1260" s="17">
        <f>VLOOKUP(A1260,'forecast data dump'!$A$1:$H$3450,4,FALSE)</f>
        <v>44722</v>
      </c>
      <c r="F1260" s="17">
        <f>VLOOKUP(A1260,'forecast data dump'!$A$1:$H$3450,5,FALSE)</f>
        <v>44750</v>
      </c>
      <c r="G1260" s="42">
        <f>VLOOKUP(A1260,'forecast data dump'!$A$1:$H$3450,8,FALSE)</f>
        <v>0</v>
      </c>
      <c r="H1260" s="5" t="s">
        <v>3757</v>
      </c>
      <c r="I1260" s="39">
        <f t="shared" si="358"/>
        <v>20</v>
      </c>
      <c r="J1260" s="5"/>
      <c r="K1260" s="5"/>
      <c r="L1260" s="33">
        <f t="shared" si="359"/>
        <v>2126</v>
      </c>
      <c r="M1260" s="33">
        <f t="shared" si="360"/>
        <v>2126</v>
      </c>
      <c r="N1260" s="33">
        <f t="shared" si="361"/>
        <v>0</v>
      </c>
      <c r="T1260">
        <v>1</v>
      </c>
      <c r="U1260" s="29">
        <f t="shared" si="362"/>
        <v>0</v>
      </c>
      <c r="V1260" s="29">
        <f t="shared" si="363"/>
        <v>0</v>
      </c>
      <c r="W1260" s="29">
        <f t="shared" si="364"/>
        <v>0</v>
      </c>
      <c r="X1260" s="29">
        <f t="shared" si="365"/>
        <v>0</v>
      </c>
      <c r="Y1260" s="29">
        <f t="shared" si="366"/>
        <v>0</v>
      </c>
      <c r="Z1260" s="29">
        <f t="shared" si="367"/>
        <v>2126</v>
      </c>
    </row>
    <row r="1261" spans="1:26" x14ac:dyDescent="0.3">
      <c r="A1261" s="5" t="s">
        <v>2586</v>
      </c>
      <c r="B1261" s="5" t="s">
        <v>2587</v>
      </c>
      <c r="C1261" s="5">
        <v>20</v>
      </c>
      <c r="D1261" s="6">
        <v>3125</v>
      </c>
      <c r="E1261" s="17">
        <f>VLOOKUP(A1261,'forecast data dump'!$A$1:$H$3450,4,FALSE)</f>
        <v>44722</v>
      </c>
      <c r="F1261" s="17">
        <f>VLOOKUP(A1261,'forecast data dump'!$A$1:$H$3450,5,FALSE)</f>
        <v>44750</v>
      </c>
      <c r="G1261" s="42">
        <f>VLOOKUP(A1261,'forecast data dump'!$A$1:$H$3450,8,FALSE)</f>
        <v>0</v>
      </c>
      <c r="H1261" s="5" t="s">
        <v>3763</v>
      </c>
      <c r="I1261" s="39">
        <f t="shared" si="358"/>
        <v>20</v>
      </c>
      <c r="J1261" s="5"/>
      <c r="K1261" s="5"/>
      <c r="L1261" s="33">
        <f t="shared" si="359"/>
        <v>3125</v>
      </c>
      <c r="M1261" s="33">
        <f t="shared" si="360"/>
        <v>3125</v>
      </c>
      <c r="N1261" s="33">
        <f t="shared" si="361"/>
        <v>0</v>
      </c>
      <c r="T1261">
        <v>1</v>
      </c>
      <c r="U1261" s="29">
        <f t="shared" si="362"/>
        <v>0</v>
      </c>
      <c r="V1261" s="29">
        <f t="shared" si="363"/>
        <v>0</v>
      </c>
      <c r="W1261" s="29">
        <f t="shared" si="364"/>
        <v>0</v>
      </c>
      <c r="X1261" s="29">
        <f t="shared" si="365"/>
        <v>0</v>
      </c>
      <c r="Y1261" s="29">
        <f t="shared" si="366"/>
        <v>0</v>
      </c>
      <c r="Z1261" s="29">
        <f t="shared" si="367"/>
        <v>3125</v>
      </c>
    </row>
    <row r="1262" spans="1:26" x14ac:dyDescent="0.3">
      <c r="A1262" s="5" t="s">
        <v>2588</v>
      </c>
      <c r="B1262" s="5" t="s">
        <v>2589</v>
      </c>
      <c r="C1262" s="5">
        <v>16</v>
      </c>
      <c r="D1262" s="6">
        <v>2500</v>
      </c>
      <c r="E1262" s="17">
        <f>VLOOKUP(A1262,'forecast data dump'!$A$1:$H$3450,4,FALSE)</f>
        <v>44753</v>
      </c>
      <c r="F1262" s="17">
        <f>VLOOKUP(A1262,'forecast data dump'!$A$1:$H$3450,5,FALSE)</f>
        <v>44754</v>
      </c>
      <c r="G1262" s="42">
        <f>VLOOKUP(A1262,'forecast data dump'!$A$1:$H$3450,8,FALSE)</f>
        <v>0</v>
      </c>
      <c r="H1262" s="5" t="s">
        <v>3733</v>
      </c>
      <c r="I1262" s="39">
        <f t="shared" si="358"/>
        <v>16</v>
      </c>
      <c r="J1262" s="5"/>
      <c r="K1262" s="5"/>
      <c r="L1262" s="33">
        <f t="shared" si="359"/>
        <v>2500</v>
      </c>
      <c r="M1262" s="33">
        <f t="shared" si="360"/>
        <v>2500</v>
      </c>
      <c r="N1262" s="33">
        <f t="shared" si="361"/>
        <v>0</v>
      </c>
      <c r="T1262">
        <v>1</v>
      </c>
      <c r="U1262" s="29">
        <f t="shared" si="362"/>
        <v>0</v>
      </c>
      <c r="V1262" s="29">
        <f t="shared" si="363"/>
        <v>0</v>
      </c>
      <c r="W1262" s="29">
        <f t="shared" si="364"/>
        <v>0</v>
      </c>
      <c r="X1262" s="29">
        <f t="shared" si="365"/>
        <v>0</v>
      </c>
      <c r="Y1262" s="29">
        <f t="shared" si="366"/>
        <v>0</v>
      </c>
      <c r="Z1262" s="29">
        <f t="shared" si="367"/>
        <v>2500</v>
      </c>
    </row>
    <row r="1263" spans="1:26" x14ac:dyDescent="0.3">
      <c r="A1263" s="5" t="s">
        <v>2588</v>
      </c>
      <c r="B1263" s="5" t="s">
        <v>2589</v>
      </c>
      <c r="C1263" s="5">
        <v>16</v>
      </c>
      <c r="D1263" s="6">
        <v>2500</v>
      </c>
      <c r="E1263" s="17">
        <f>VLOOKUP(A1263,'forecast data dump'!$A$1:$H$3450,4,FALSE)</f>
        <v>44753</v>
      </c>
      <c r="F1263" s="17">
        <f>VLOOKUP(A1263,'forecast data dump'!$A$1:$H$3450,5,FALSE)</f>
        <v>44754</v>
      </c>
      <c r="G1263" s="42">
        <f>VLOOKUP(A1263,'forecast data dump'!$A$1:$H$3450,8,FALSE)</f>
        <v>0</v>
      </c>
      <c r="H1263" s="5" t="s">
        <v>3744</v>
      </c>
      <c r="I1263" s="39">
        <f t="shared" si="358"/>
        <v>16</v>
      </c>
      <c r="J1263" s="5"/>
      <c r="K1263" s="5"/>
      <c r="L1263" s="33">
        <f t="shared" si="359"/>
        <v>2500</v>
      </c>
      <c r="M1263" s="33">
        <f t="shared" si="360"/>
        <v>2500</v>
      </c>
      <c r="N1263" s="33">
        <f t="shared" si="361"/>
        <v>0</v>
      </c>
      <c r="T1263">
        <v>1</v>
      </c>
      <c r="U1263" s="29">
        <f t="shared" si="362"/>
        <v>0</v>
      </c>
      <c r="V1263" s="29">
        <f t="shared" si="363"/>
        <v>0</v>
      </c>
      <c r="W1263" s="29">
        <f t="shared" si="364"/>
        <v>0</v>
      </c>
      <c r="X1263" s="29">
        <f t="shared" si="365"/>
        <v>0</v>
      </c>
      <c r="Y1263" s="29">
        <f t="shared" si="366"/>
        <v>0</v>
      </c>
      <c r="Z1263" s="29">
        <f t="shared" si="367"/>
        <v>2500</v>
      </c>
    </row>
    <row r="1264" spans="1:26" x14ac:dyDescent="0.3">
      <c r="A1264" s="5" t="s">
        <v>2588</v>
      </c>
      <c r="B1264" s="5" t="s">
        <v>2589</v>
      </c>
      <c r="C1264" s="5">
        <v>16</v>
      </c>
      <c r="D1264" s="6">
        <v>2921</v>
      </c>
      <c r="E1264" s="17">
        <f>VLOOKUP(A1264,'forecast data dump'!$A$1:$H$3450,4,FALSE)</f>
        <v>44753</v>
      </c>
      <c r="F1264" s="17">
        <f>VLOOKUP(A1264,'forecast data dump'!$A$1:$H$3450,5,FALSE)</f>
        <v>44754</v>
      </c>
      <c r="G1264" s="42">
        <f>VLOOKUP(A1264,'forecast data dump'!$A$1:$H$3450,8,FALSE)</f>
        <v>0</v>
      </c>
      <c r="H1264" s="5" t="s">
        <v>3740</v>
      </c>
      <c r="I1264" s="39">
        <f t="shared" si="358"/>
        <v>16</v>
      </c>
      <c r="J1264" s="5"/>
      <c r="K1264" s="5"/>
      <c r="L1264" s="33">
        <f t="shared" si="359"/>
        <v>2921</v>
      </c>
      <c r="M1264" s="33">
        <f t="shared" si="360"/>
        <v>2921</v>
      </c>
      <c r="N1264" s="33">
        <f t="shared" si="361"/>
        <v>0</v>
      </c>
      <c r="T1264">
        <v>1</v>
      </c>
      <c r="U1264" s="29">
        <f t="shared" si="362"/>
        <v>0</v>
      </c>
      <c r="V1264" s="29">
        <f t="shared" si="363"/>
        <v>0</v>
      </c>
      <c r="W1264" s="29">
        <f t="shared" si="364"/>
        <v>0</v>
      </c>
      <c r="X1264" s="29">
        <f t="shared" si="365"/>
        <v>0</v>
      </c>
      <c r="Y1264" s="29">
        <f t="shared" si="366"/>
        <v>0</v>
      </c>
      <c r="Z1264" s="29">
        <f t="shared" si="367"/>
        <v>2921</v>
      </c>
    </row>
    <row r="1265" spans="1:26" x14ac:dyDescent="0.3">
      <c r="A1265" s="5" t="s">
        <v>2588</v>
      </c>
      <c r="B1265" s="5" t="s">
        <v>2589</v>
      </c>
      <c r="C1265" s="5">
        <v>16</v>
      </c>
      <c r="D1265" s="6">
        <v>3495</v>
      </c>
      <c r="E1265" s="17">
        <f>VLOOKUP(A1265,'forecast data dump'!$A$1:$H$3450,4,FALSE)</f>
        <v>44753</v>
      </c>
      <c r="F1265" s="17">
        <f>VLOOKUP(A1265,'forecast data dump'!$A$1:$H$3450,5,FALSE)</f>
        <v>44754</v>
      </c>
      <c r="G1265" s="42">
        <f>VLOOKUP(A1265,'forecast data dump'!$A$1:$H$3450,8,FALSE)</f>
        <v>0</v>
      </c>
      <c r="H1265" s="5" t="s">
        <v>3732</v>
      </c>
      <c r="I1265" s="39">
        <f t="shared" si="358"/>
        <v>16</v>
      </c>
      <c r="J1265" s="5"/>
      <c r="K1265" s="5"/>
      <c r="L1265" s="33">
        <f t="shared" si="359"/>
        <v>3495</v>
      </c>
      <c r="M1265" s="33">
        <f t="shared" si="360"/>
        <v>3495</v>
      </c>
      <c r="N1265" s="33">
        <f t="shared" si="361"/>
        <v>0</v>
      </c>
      <c r="T1265">
        <v>1</v>
      </c>
      <c r="U1265" s="29">
        <f t="shared" si="362"/>
        <v>0</v>
      </c>
      <c r="V1265" s="29">
        <f t="shared" si="363"/>
        <v>0</v>
      </c>
      <c r="W1265" s="29">
        <f t="shared" si="364"/>
        <v>0</v>
      </c>
      <c r="X1265" s="29">
        <f t="shared" si="365"/>
        <v>0</v>
      </c>
      <c r="Y1265" s="29">
        <f t="shared" si="366"/>
        <v>0</v>
      </c>
      <c r="Z1265" s="29">
        <f t="shared" si="367"/>
        <v>3495</v>
      </c>
    </row>
    <row r="1266" spans="1:26" x14ac:dyDescent="0.3">
      <c r="A1266" s="5" t="s">
        <v>2588</v>
      </c>
      <c r="B1266" s="5" t="s">
        <v>2589</v>
      </c>
      <c r="C1266" s="5">
        <v>16</v>
      </c>
      <c r="D1266" s="6">
        <v>2887</v>
      </c>
      <c r="E1266" s="17">
        <f>VLOOKUP(A1266,'forecast data dump'!$A$1:$H$3450,4,FALSE)</f>
        <v>44753</v>
      </c>
      <c r="F1266" s="17">
        <f>VLOOKUP(A1266,'forecast data dump'!$A$1:$H$3450,5,FALSE)</f>
        <v>44754</v>
      </c>
      <c r="G1266" s="42">
        <f>VLOOKUP(A1266,'forecast data dump'!$A$1:$H$3450,8,FALSE)</f>
        <v>0</v>
      </c>
      <c r="H1266" s="5" t="s">
        <v>3731</v>
      </c>
      <c r="I1266" s="39">
        <f t="shared" si="358"/>
        <v>16</v>
      </c>
      <c r="J1266" s="5"/>
      <c r="K1266" s="5"/>
      <c r="L1266" s="33">
        <f t="shared" si="359"/>
        <v>2887</v>
      </c>
      <c r="M1266" s="33">
        <f t="shared" si="360"/>
        <v>2887</v>
      </c>
      <c r="N1266" s="33">
        <f t="shared" si="361"/>
        <v>0</v>
      </c>
      <c r="T1266">
        <v>1</v>
      </c>
      <c r="U1266" s="29">
        <f t="shared" si="362"/>
        <v>0</v>
      </c>
      <c r="V1266" s="29">
        <f t="shared" si="363"/>
        <v>0</v>
      </c>
      <c r="W1266" s="29">
        <f t="shared" si="364"/>
        <v>0</v>
      </c>
      <c r="X1266" s="29">
        <f t="shared" si="365"/>
        <v>0</v>
      </c>
      <c r="Y1266" s="29">
        <f t="shared" si="366"/>
        <v>0</v>
      </c>
      <c r="Z1266" s="29">
        <f t="shared" si="367"/>
        <v>2887</v>
      </c>
    </row>
    <row r="1267" spans="1:26" x14ac:dyDescent="0.3">
      <c r="A1267" s="5" t="s">
        <v>2588</v>
      </c>
      <c r="B1267" s="5" t="s">
        <v>2589</v>
      </c>
      <c r="C1267" s="5">
        <v>16</v>
      </c>
      <c r="D1267" s="6">
        <v>3276</v>
      </c>
      <c r="E1267" s="17">
        <f>VLOOKUP(A1267,'forecast data dump'!$A$1:$H$3450,4,FALSE)</f>
        <v>44753</v>
      </c>
      <c r="F1267" s="17">
        <f>VLOOKUP(A1267,'forecast data dump'!$A$1:$H$3450,5,FALSE)</f>
        <v>44754</v>
      </c>
      <c r="G1267" s="42">
        <f>VLOOKUP(A1267,'forecast data dump'!$A$1:$H$3450,8,FALSE)</f>
        <v>0</v>
      </c>
      <c r="H1267" s="5" t="s">
        <v>3755</v>
      </c>
      <c r="I1267" s="39">
        <f t="shared" si="358"/>
        <v>16</v>
      </c>
      <c r="J1267" s="5"/>
      <c r="K1267" s="5"/>
      <c r="L1267" s="33">
        <f t="shared" si="359"/>
        <v>3276</v>
      </c>
      <c r="M1267" s="33">
        <f t="shared" si="360"/>
        <v>3276</v>
      </c>
      <c r="N1267" s="33">
        <f t="shared" si="361"/>
        <v>0</v>
      </c>
      <c r="T1267">
        <v>1</v>
      </c>
      <c r="U1267" s="29">
        <f t="shared" si="362"/>
        <v>0</v>
      </c>
      <c r="V1267" s="29">
        <f t="shared" si="363"/>
        <v>0</v>
      </c>
      <c r="W1267" s="29">
        <f t="shared" si="364"/>
        <v>0</v>
      </c>
      <c r="X1267" s="29">
        <f t="shared" si="365"/>
        <v>0</v>
      </c>
      <c r="Y1267" s="29">
        <f t="shared" si="366"/>
        <v>0</v>
      </c>
      <c r="Z1267" s="29">
        <f t="shared" si="367"/>
        <v>3276</v>
      </c>
    </row>
    <row r="1268" spans="1:26" x14ac:dyDescent="0.3">
      <c r="A1268" s="5" t="s">
        <v>2590</v>
      </c>
      <c r="B1268" s="5" t="s">
        <v>2591</v>
      </c>
      <c r="C1268" s="5">
        <v>16</v>
      </c>
      <c r="D1268" s="6">
        <v>2921</v>
      </c>
      <c r="E1268" s="17">
        <f>VLOOKUP(A1268,'forecast data dump'!$A$1:$H$3450,4,FALSE)</f>
        <v>44755</v>
      </c>
      <c r="F1268" s="17">
        <f>VLOOKUP(A1268,'forecast data dump'!$A$1:$H$3450,5,FALSE)</f>
        <v>44761</v>
      </c>
      <c r="G1268" s="42">
        <f>VLOOKUP(A1268,'forecast data dump'!$A$1:$H$3450,8,FALSE)</f>
        <v>0</v>
      </c>
      <c r="H1268" s="5" t="s">
        <v>3754</v>
      </c>
      <c r="I1268" s="39">
        <f t="shared" si="358"/>
        <v>16</v>
      </c>
      <c r="J1268" s="5"/>
      <c r="K1268" s="5"/>
      <c r="L1268" s="33">
        <f t="shared" si="359"/>
        <v>2921</v>
      </c>
      <c r="M1268" s="33">
        <f t="shared" si="360"/>
        <v>2921</v>
      </c>
      <c r="N1268" s="33">
        <f t="shared" si="361"/>
        <v>0</v>
      </c>
      <c r="T1268">
        <v>1</v>
      </c>
      <c r="U1268" s="29">
        <f t="shared" si="362"/>
        <v>0</v>
      </c>
      <c r="V1268" s="29">
        <f t="shared" si="363"/>
        <v>0</v>
      </c>
      <c r="W1268" s="29">
        <f t="shared" si="364"/>
        <v>0</v>
      </c>
      <c r="X1268" s="29">
        <f t="shared" si="365"/>
        <v>0</v>
      </c>
      <c r="Y1268" s="29">
        <f t="shared" si="366"/>
        <v>0</v>
      </c>
      <c r="Z1268" s="29">
        <f t="shared" si="367"/>
        <v>2921</v>
      </c>
    </row>
    <row r="1269" spans="1:26" x14ac:dyDescent="0.3">
      <c r="A1269" s="5" t="s">
        <v>2590</v>
      </c>
      <c r="B1269" s="5" t="s">
        <v>2591</v>
      </c>
      <c r="C1269" s="5">
        <v>16</v>
      </c>
      <c r="D1269" s="6">
        <v>3276</v>
      </c>
      <c r="E1269" s="17">
        <f>VLOOKUP(A1269,'forecast data dump'!$A$1:$H$3450,4,FALSE)</f>
        <v>44755</v>
      </c>
      <c r="F1269" s="17">
        <f>VLOOKUP(A1269,'forecast data dump'!$A$1:$H$3450,5,FALSE)</f>
        <v>44761</v>
      </c>
      <c r="G1269" s="42">
        <f>VLOOKUP(A1269,'forecast data dump'!$A$1:$H$3450,8,FALSE)</f>
        <v>0</v>
      </c>
      <c r="H1269" s="5" t="s">
        <v>3755</v>
      </c>
      <c r="I1269" s="39">
        <f t="shared" si="358"/>
        <v>16</v>
      </c>
      <c r="J1269" s="5"/>
      <c r="K1269" s="5"/>
      <c r="L1269" s="33">
        <f t="shared" si="359"/>
        <v>3276</v>
      </c>
      <c r="M1269" s="33">
        <f t="shared" si="360"/>
        <v>3276</v>
      </c>
      <c r="N1269" s="33">
        <f t="shared" si="361"/>
        <v>0</v>
      </c>
      <c r="T1269">
        <v>1</v>
      </c>
      <c r="U1269" s="29">
        <f t="shared" si="362"/>
        <v>0</v>
      </c>
      <c r="V1269" s="29">
        <f t="shared" si="363"/>
        <v>0</v>
      </c>
      <c r="W1269" s="29">
        <f t="shared" si="364"/>
        <v>0</v>
      </c>
      <c r="X1269" s="29">
        <f t="shared" si="365"/>
        <v>0</v>
      </c>
      <c r="Y1269" s="29">
        <f t="shared" si="366"/>
        <v>0</v>
      </c>
      <c r="Z1269" s="29">
        <f t="shared" si="367"/>
        <v>3276</v>
      </c>
    </row>
    <row r="1270" spans="1:26" x14ac:dyDescent="0.3">
      <c r="A1270" s="5" t="s">
        <v>2590</v>
      </c>
      <c r="B1270" s="5" t="s">
        <v>2591</v>
      </c>
      <c r="C1270" s="5">
        <v>16</v>
      </c>
      <c r="D1270" s="6">
        <v>2887</v>
      </c>
      <c r="E1270" s="17">
        <f>VLOOKUP(A1270,'forecast data dump'!$A$1:$H$3450,4,FALSE)</f>
        <v>44755</v>
      </c>
      <c r="F1270" s="17">
        <f>VLOOKUP(A1270,'forecast data dump'!$A$1:$H$3450,5,FALSE)</f>
        <v>44761</v>
      </c>
      <c r="G1270" s="42">
        <f>VLOOKUP(A1270,'forecast data dump'!$A$1:$H$3450,8,FALSE)</f>
        <v>0</v>
      </c>
      <c r="H1270" s="5" t="s">
        <v>3731</v>
      </c>
      <c r="I1270" s="39">
        <f t="shared" si="358"/>
        <v>16</v>
      </c>
      <c r="J1270" s="5"/>
      <c r="K1270" s="5"/>
      <c r="L1270" s="33">
        <f t="shared" si="359"/>
        <v>2887</v>
      </c>
      <c r="M1270" s="33">
        <f t="shared" si="360"/>
        <v>2887</v>
      </c>
      <c r="N1270" s="33">
        <f t="shared" si="361"/>
        <v>0</v>
      </c>
      <c r="T1270">
        <v>1</v>
      </c>
      <c r="U1270" s="29">
        <f t="shared" si="362"/>
        <v>0</v>
      </c>
      <c r="V1270" s="29">
        <f t="shared" si="363"/>
        <v>0</v>
      </c>
      <c r="W1270" s="29">
        <f t="shared" si="364"/>
        <v>0</v>
      </c>
      <c r="X1270" s="29">
        <f t="shared" si="365"/>
        <v>0</v>
      </c>
      <c r="Y1270" s="29">
        <f t="shared" si="366"/>
        <v>0</v>
      </c>
      <c r="Z1270" s="29">
        <f t="shared" si="367"/>
        <v>2887</v>
      </c>
    </row>
    <row r="1271" spans="1:26" x14ac:dyDescent="0.3">
      <c r="A1271" s="5" t="s">
        <v>2592</v>
      </c>
      <c r="B1271" s="5" t="s">
        <v>2593</v>
      </c>
      <c r="C1271" s="5">
        <v>24</v>
      </c>
      <c r="D1271" s="6">
        <v>2906</v>
      </c>
      <c r="E1271" s="17">
        <f>VLOOKUP(A1271,'forecast data dump'!$A$1:$H$3450,4,FALSE)</f>
        <v>44762</v>
      </c>
      <c r="F1271" s="17">
        <f>VLOOKUP(A1271,'forecast data dump'!$A$1:$H$3450,5,FALSE)</f>
        <v>44768</v>
      </c>
      <c r="G1271" s="42">
        <f>VLOOKUP(A1271,'forecast data dump'!$A$1:$H$3450,8,FALSE)</f>
        <v>0</v>
      </c>
      <c r="H1271" s="5" t="s">
        <v>3742</v>
      </c>
      <c r="I1271" s="39">
        <f t="shared" si="358"/>
        <v>24</v>
      </c>
      <c r="J1271" s="5"/>
      <c r="K1271" s="5"/>
      <c r="L1271" s="33">
        <f t="shared" si="359"/>
        <v>2906</v>
      </c>
      <c r="M1271" s="33">
        <f t="shared" si="360"/>
        <v>2906</v>
      </c>
      <c r="N1271" s="33">
        <f t="shared" si="361"/>
        <v>0</v>
      </c>
      <c r="T1271">
        <v>1</v>
      </c>
      <c r="U1271" s="29">
        <f t="shared" si="362"/>
        <v>0</v>
      </c>
      <c r="V1271" s="29">
        <f t="shared" si="363"/>
        <v>0</v>
      </c>
      <c r="W1271" s="29">
        <f t="shared" si="364"/>
        <v>0</v>
      </c>
      <c r="X1271" s="29">
        <f t="shared" si="365"/>
        <v>0</v>
      </c>
      <c r="Y1271" s="29">
        <f t="shared" si="366"/>
        <v>0</v>
      </c>
      <c r="Z1271" s="29">
        <f t="shared" si="367"/>
        <v>2906</v>
      </c>
    </row>
    <row r="1272" spans="1:26" x14ac:dyDescent="0.3">
      <c r="A1272" s="5" t="s">
        <v>2592</v>
      </c>
      <c r="B1272" s="5" t="s">
        <v>2593</v>
      </c>
      <c r="C1272" s="5">
        <v>24</v>
      </c>
      <c r="D1272" s="6">
        <v>3750</v>
      </c>
      <c r="E1272" s="17">
        <f>VLOOKUP(A1272,'forecast data dump'!$A$1:$H$3450,4,FALSE)</f>
        <v>44762</v>
      </c>
      <c r="F1272" s="17">
        <f>VLOOKUP(A1272,'forecast data dump'!$A$1:$H$3450,5,FALSE)</f>
        <v>44768</v>
      </c>
      <c r="G1272" s="42">
        <f>VLOOKUP(A1272,'forecast data dump'!$A$1:$H$3450,8,FALSE)</f>
        <v>0</v>
      </c>
      <c r="H1272" s="5" t="s">
        <v>3744</v>
      </c>
      <c r="I1272" s="39">
        <f t="shared" si="358"/>
        <v>24</v>
      </c>
      <c r="J1272" s="5"/>
      <c r="K1272" s="5"/>
      <c r="L1272" s="33">
        <f t="shared" si="359"/>
        <v>3750</v>
      </c>
      <c r="M1272" s="33">
        <f t="shared" si="360"/>
        <v>3750</v>
      </c>
      <c r="N1272" s="33">
        <f t="shared" si="361"/>
        <v>0</v>
      </c>
      <c r="T1272">
        <v>1</v>
      </c>
      <c r="U1272" s="29">
        <f t="shared" si="362"/>
        <v>0</v>
      </c>
      <c r="V1272" s="29">
        <f t="shared" si="363"/>
        <v>0</v>
      </c>
      <c r="W1272" s="29">
        <f t="shared" si="364"/>
        <v>0</v>
      </c>
      <c r="X1272" s="29">
        <f t="shared" si="365"/>
        <v>0</v>
      </c>
      <c r="Y1272" s="29">
        <f t="shared" si="366"/>
        <v>0</v>
      </c>
      <c r="Z1272" s="29">
        <f t="shared" si="367"/>
        <v>3750</v>
      </c>
    </row>
    <row r="1273" spans="1:26" x14ac:dyDescent="0.3">
      <c r="A1273" s="5" t="s">
        <v>2592</v>
      </c>
      <c r="B1273" s="5" t="s">
        <v>2593</v>
      </c>
      <c r="C1273" s="5">
        <v>24</v>
      </c>
      <c r="D1273" s="6">
        <v>5243</v>
      </c>
      <c r="E1273" s="17">
        <f>VLOOKUP(A1273,'forecast data dump'!$A$1:$H$3450,4,FALSE)</f>
        <v>44762</v>
      </c>
      <c r="F1273" s="17">
        <f>VLOOKUP(A1273,'forecast data dump'!$A$1:$H$3450,5,FALSE)</f>
        <v>44768</v>
      </c>
      <c r="G1273" s="42">
        <f>VLOOKUP(A1273,'forecast data dump'!$A$1:$H$3450,8,FALSE)</f>
        <v>0</v>
      </c>
      <c r="H1273" s="5" t="s">
        <v>3732</v>
      </c>
      <c r="I1273" s="39">
        <f t="shared" si="358"/>
        <v>24</v>
      </c>
      <c r="J1273" s="5"/>
      <c r="K1273" s="5"/>
      <c r="L1273" s="33">
        <f t="shared" si="359"/>
        <v>5243</v>
      </c>
      <c r="M1273" s="33">
        <f t="shared" si="360"/>
        <v>5243</v>
      </c>
      <c r="N1273" s="33">
        <f t="shared" si="361"/>
        <v>0</v>
      </c>
      <c r="T1273">
        <v>1</v>
      </c>
      <c r="U1273" s="29">
        <f t="shared" si="362"/>
        <v>0</v>
      </c>
      <c r="V1273" s="29">
        <f t="shared" si="363"/>
        <v>0</v>
      </c>
      <c r="W1273" s="29">
        <f t="shared" si="364"/>
        <v>0</v>
      </c>
      <c r="X1273" s="29">
        <f t="shared" si="365"/>
        <v>0</v>
      </c>
      <c r="Y1273" s="29">
        <f t="shared" si="366"/>
        <v>0</v>
      </c>
      <c r="Z1273" s="29">
        <f t="shared" si="367"/>
        <v>5243</v>
      </c>
    </row>
    <row r="1274" spans="1:26" x14ac:dyDescent="0.3">
      <c r="A1274" s="5" t="s">
        <v>2594</v>
      </c>
      <c r="B1274" s="5" t="s">
        <v>2595</v>
      </c>
      <c r="C1274" s="5">
        <v>16</v>
      </c>
      <c r="D1274" s="6">
        <v>2921</v>
      </c>
      <c r="E1274" s="17">
        <f>VLOOKUP(A1274,'forecast data dump'!$A$1:$H$3450,4,FALSE)</f>
        <v>44769</v>
      </c>
      <c r="F1274" s="17">
        <f>VLOOKUP(A1274,'forecast data dump'!$A$1:$H$3450,5,FALSE)</f>
        <v>44782</v>
      </c>
      <c r="G1274" s="42">
        <f>VLOOKUP(A1274,'forecast data dump'!$A$1:$H$3450,8,FALSE)</f>
        <v>0</v>
      </c>
      <c r="H1274" s="5" t="s">
        <v>3754</v>
      </c>
      <c r="I1274" s="39">
        <f t="shared" si="358"/>
        <v>16</v>
      </c>
      <c r="J1274" s="5"/>
      <c r="K1274" s="5"/>
      <c r="L1274" s="33">
        <f t="shared" si="359"/>
        <v>2921</v>
      </c>
      <c r="M1274" s="33">
        <f t="shared" si="360"/>
        <v>2921</v>
      </c>
      <c r="N1274" s="33">
        <f t="shared" si="361"/>
        <v>0</v>
      </c>
      <c r="T1274">
        <v>1</v>
      </c>
      <c r="U1274" s="29">
        <f t="shared" si="362"/>
        <v>0</v>
      </c>
      <c r="V1274" s="29">
        <f t="shared" si="363"/>
        <v>0</v>
      </c>
      <c r="W1274" s="29">
        <f t="shared" si="364"/>
        <v>0</v>
      </c>
      <c r="X1274" s="29">
        <f t="shared" si="365"/>
        <v>0</v>
      </c>
      <c r="Y1274" s="29">
        <f t="shared" si="366"/>
        <v>0</v>
      </c>
      <c r="Z1274" s="29">
        <f t="shared" si="367"/>
        <v>2921</v>
      </c>
    </row>
    <row r="1275" spans="1:26" x14ac:dyDescent="0.3">
      <c r="A1275" s="5" t="s">
        <v>2594</v>
      </c>
      <c r="B1275" s="5" t="s">
        <v>2595</v>
      </c>
      <c r="C1275" s="5">
        <v>16</v>
      </c>
      <c r="D1275" s="6">
        <v>2887</v>
      </c>
      <c r="E1275" s="17">
        <f>VLOOKUP(A1275,'forecast data dump'!$A$1:$H$3450,4,FALSE)</f>
        <v>44769</v>
      </c>
      <c r="F1275" s="17">
        <f>VLOOKUP(A1275,'forecast data dump'!$A$1:$H$3450,5,FALSE)</f>
        <v>44782</v>
      </c>
      <c r="G1275" s="42">
        <f>VLOOKUP(A1275,'forecast data dump'!$A$1:$H$3450,8,FALSE)</f>
        <v>0</v>
      </c>
      <c r="H1275" s="5" t="s">
        <v>3731</v>
      </c>
      <c r="I1275" s="39">
        <f t="shared" si="358"/>
        <v>16</v>
      </c>
      <c r="J1275" s="5"/>
      <c r="K1275" s="5"/>
      <c r="L1275" s="33">
        <f t="shared" si="359"/>
        <v>2887</v>
      </c>
      <c r="M1275" s="33">
        <f t="shared" si="360"/>
        <v>2887</v>
      </c>
      <c r="N1275" s="33">
        <f t="shared" si="361"/>
        <v>0</v>
      </c>
      <c r="T1275">
        <v>1</v>
      </c>
      <c r="U1275" s="29">
        <f t="shared" si="362"/>
        <v>0</v>
      </c>
      <c r="V1275" s="29">
        <f t="shared" si="363"/>
        <v>0</v>
      </c>
      <c r="W1275" s="29">
        <f t="shared" si="364"/>
        <v>0</v>
      </c>
      <c r="X1275" s="29">
        <f t="shared" si="365"/>
        <v>0</v>
      </c>
      <c r="Y1275" s="29">
        <f t="shared" si="366"/>
        <v>0</v>
      </c>
      <c r="Z1275" s="29">
        <f t="shared" si="367"/>
        <v>2887</v>
      </c>
    </row>
    <row r="1276" spans="1:26" x14ac:dyDescent="0.3">
      <c r="A1276" s="5" t="s">
        <v>2594</v>
      </c>
      <c r="B1276" s="5" t="s">
        <v>2595</v>
      </c>
      <c r="C1276" s="5">
        <v>16</v>
      </c>
      <c r="D1276" s="6">
        <v>3276</v>
      </c>
      <c r="E1276" s="17">
        <f>VLOOKUP(A1276,'forecast data dump'!$A$1:$H$3450,4,FALSE)</f>
        <v>44769</v>
      </c>
      <c r="F1276" s="17">
        <f>VLOOKUP(A1276,'forecast data dump'!$A$1:$H$3450,5,FALSE)</f>
        <v>44782</v>
      </c>
      <c r="G1276" s="42">
        <f>VLOOKUP(A1276,'forecast data dump'!$A$1:$H$3450,8,FALSE)</f>
        <v>0</v>
      </c>
      <c r="H1276" s="5" t="s">
        <v>3755</v>
      </c>
      <c r="I1276" s="39">
        <f t="shared" si="358"/>
        <v>16</v>
      </c>
      <c r="J1276" s="5"/>
      <c r="K1276" s="5"/>
      <c r="L1276" s="33">
        <f t="shared" si="359"/>
        <v>3276</v>
      </c>
      <c r="M1276" s="33">
        <f t="shared" si="360"/>
        <v>3276</v>
      </c>
      <c r="N1276" s="33">
        <f t="shared" si="361"/>
        <v>0</v>
      </c>
      <c r="T1276">
        <v>1</v>
      </c>
      <c r="U1276" s="29">
        <f t="shared" si="362"/>
        <v>0</v>
      </c>
      <c r="V1276" s="29">
        <f t="shared" si="363"/>
        <v>0</v>
      </c>
      <c r="W1276" s="29">
        <f t="shared" si="364"/>
        <v>0</v>
      </c>
      <c r="X1276" s="29">
        <f t="shared" si="365"/>
        <v>0</v>
      </c>
      <c r="Y1276" s="29">
        <f t="shared" si="366"/>
        <v>0</v>
      </c>
      <c r="Z1276" s="29">
        <f t="shared" si="367"/>
        <v>3276</v>
      </c>
    </row>
    <row r="1277" spans="1:26" x14ac:dyDescent="0.3">
      <c r="A1277" s="5" t="s">
        <v>2596</v>
      </c>
      <c r="B1277" s="5" t="s">
        <v>2597</v>
      </c>
      <c r="C1277" s="5">
        <v>16</v>
      </c>
      <c r="D1277" s="6">
        <v>2500</v>
      </c>
      <c r="E1277" s="17">
        <f>VLOOKUP(A1277,'forecast data dump'!$A$1:$H$3450,4,FALSE)</f>
        <v>44783</v>
      </c>
      <c r="F1277" s="17">
        <f>VLOOKUP(A1277,'forecast data dump'!$A$1:$H$3450,5,FALSE)</f>
        <v>44789</v>
      </c>
      <c r="G1277" s="42">
        <f>VLOOKUP(A1277,'forecast data dump'!$A$1:$H$3450,8,FALSE)</f>
        <v>0</v>
      </c>
      <c r="H1277" s="5" t="s">
        <v>3733</v>
      </c>
      <c r="I1277" s="39">
        <f t="shared" si="358"/>
        <v>16</v>
      </c>
      <c r="J1277" s="5"/>
      <c r="K1277" s="5"/>
      <c r="L1277" s="33">
        <f t="shared" si="359"/>
        <v>2500</v>
      </c>
      <c r="M1277" s="33">
        <f t="shared" si="360"/>
        <v>2500</v>
      </c>
      <c r="N1277" s="33">
        <f t="shared" si="361"/>
        <v>0</v>
      </c>
      <c r="T1277">
        <v>1</v>
      </c>
      <c r="U1277" s="29">
        <f t="shared" si="362"/>
        <v>0</v>
      </c>
      <c r="V1277" s="29">
        <f t="shared" si="363"/>
        <v>0</v>
      </c>
      <c r="W1277" s="29">
        <f t="shared" si="364"/>
        <v>0</v>
      </c>
      <c r="X1277" s="29">
        <f t="shared" si="365"/>
        <v>0</v>
      </c>
      <c r="Y1277" s="29">
        <f t="shared" si="366"/>
        <v>0</v>
      </c>
      <c r="Z1277" s="29">
        <f t="shared" si="367"/>
        <v>2500</v>
      </c>
    </row>
    <row r="1278" spans="1:26" x14ac:dyDescent="0.3">
      <c r="A1278" s="5" t="s">
        <v>2596</v>
      </c>
      <c r="B1278" s="5" t="s">
        <v>2597</v>
      </c>
      <c r="C1278" s="5">
        <v>16</v>
      </c>
      <c r="D1278" s="6">
        <v>1937</v>
      </c>
      <c r="E1278" s="17">
        <f>VLOOKUP(A1278,'forecast data dump'!$A$1:$H$3450,4,FALSE)</f>
        <v>44783</v>
      </c>
      <c r="F1278" s="17">
        <f>VLOOKUP(A1278,'forecast data dump'!$A$1:$H$3450,5,FALSE)</f>
        <v>44789</v>
      </c>
      <c r="G1278" s="42">
        <f>VLOOKUP(A1278,'forecast data dump'!$A$1:$H$3450,8,FALSE)</f>
        <v>0</v>
      </c>
      <c r="H1278" s="5" t="s">
        <v>3742</v>
      </c>
      <c r="I1278" s="39">
        <f t="shared" ref="I1278:I1292" si="368">C1278*(1-G1278)</f>
        <v>16</v>
      </c>
      <c r="J1278" s="5"/>
      <c r="K1278" s="5"/>
      <c r="L1278" s="33">
        <f t="shared" ref="L1278:L1292" si="369">D1278*(1-G1278)</f>
        <v>1937</v>
      </c>
      <c r="M1278" s="33">
        <f t="shared" ref="M1278:M1292" si="370">IF(J1278="",L1278,(D1278/C1278)*J1278)</f>
        <v>1937</v>
      </c>
      <c r="N1278" s="33">
        <f t="shared" ref="N1278:N1292" si="371">L1278-M1278</f>
        <v>0</v>
      </c>
      <c r="T1278">
        <v>1</v>
      </c>
      <c r="U1278" s="29">
        <f t="shared" si="362"/>
        <v>0</v>
      </c>
      <c r="V1278" s="29">
        <f t="shared" si="363"/>
        <v>0</v>
      </c>
      <c r="W1278" s="29">
        <f t="shared" si="364"/>
        <v>0</v>
      </c>
      <c r="X1278" s="29">
        <f t="shared" si="365"/>
        <v>0</v>
      </c>
      <c r="Y1278" s="29">
        <f t="shared" si="366"/>
        <v>0</v>
      </c>
      <c r="Z1278" s="29">
        <f t="shared" si="367"/>
        <v>1937</v>
      </c>
    </row>
    <row r="1279" spans="1:26" x14ac:dyDescent="0.3">
      <c r="A1279" s="5" t="s">
        <v>2596</v>
      </c>
      <c r="B1279" s="5" t="s">
        <v>2597</v>
      </c>
      <c r="C1279" s="5">
        <v>16</v>
      </c>
      <c r="D1279" s="6">
        <v>1937</v>
      </c>
      <c r="E1279" s="17">
        <f>VLOOKUP(A1279,'forecast data dump'!$A$1:$H$3450,4,FALSE)</f>
        <v>44783</v>
      </c>
      <c r="F1279" s="17">
        <f>VLOOKUP(A1279,'forecast data dump'!$A$1:$H$3450,5,FALSE)</f>
        <v>44789</v>
      </c>
      <c r="G1279" s="42">
        <f>VLOOKUP(A1279,'forecast data dump'!$A$1:$H$3450,8,FALSE)</f>
        <v>0</v>
      </c>
      <c r="H1279" s="5" t="s">
        <v>3741</v>
      </c>
      <c r="I1279" s="39">
        <f t="shared" si="368"/>
        <v>16</v>
      </c>
      <c r="J1279" s="5"/>
      <c r="K1279" s="5"/>
      <c r="L1279" s="33">
        <f t="shared" si="369"/>
        <v>1937</v>
      </c>
      <c r="M1279" s="33">
        <f t="shared" si="370"/>
        <v>1937</v>
      </c>
      <c r="N1279" s="33">
        <f t="shared" si="371"/>
        <v>0</v>
      </c>
      <c r="T1279">
        <v>1</v>
      </c>
      <c r="U1279" s="29">
        <f t="shared" si="362"/>
        <v>0</v>
      </c>
      <c r="V1279" s="29">
        <f t="shared" si="363"/>
        <v>0</v>
      </c>
      <c r="W1279" s="29">
        <f t="shared" si="364"/>
        <v>0</v>
      </c>
      <c r="X1279" s="29">
        <f t="shared" si="365"/>
        <v>0</v>
      </c>
      <c r="Y1279" s="29">
        <f t="shared" si="366"/>
        <v>0</v>
      </c>
      <c r="Z1279" s="29">
        <f t="shared" si="367"/>
        <v>1937</v>
      </c>
    </row>
    <row r="1280" spans="1:26" x14ac:dyDescent="0.3">
      <c r="A1280" s="5" t="s">
        <v>2596</v>
      </c>
      <c r="B1280" s="5" t="s">
        <v>2597</v>
      </c>
      <c r="C1280" s="5">
        <v>16</v>
      </c>
      <c r="D1280" s="6">
        <v>2500</v>
      </c>
      <c r="E1280" s="17">
        <f>VLOOKUP(A1280,'forecast data dump'!$A$1:$H$3450,4,FALSE)</f>
        <v>44783</v>
      </c>
      <c r="F1280" s="17">
        <f>VLOOKUP(A1280,'forecast data dump'!$A$1:$H$3450,5,FALSE)</f>
        <v>44789</v>
      </c>
      <c r="G1280" s="42">
        <f>VLOOKUP(A1280,'forecast data dump'!$A$1:$H$3450,8,FALSE)</f>
        <v>0</v>
      </c>
      <c r="H1280" s="5" t="s">
        <v>3744</v>
      </c>
      <c r="I1280" s="39">
        <f t="shared" si="368"/>
        <v>16</v>
      </c>
      <c r="J1280" s="5"/>
      <c r="K1280" s="5"/>
      <c r="L1280" s="33">
        <f t="shared" si="369"/>
        <v>2500</v>
      </c>
      <c r="M1280" s="33">
        <f t="shared" si="370"/>
        <v>2500</v>
      </c>
      <c r="N1280" s="33">
        <f t="shared" si="371"/>
        <v>0</v>
      </c>
      <c r="T1280">
        <v>1</v>
      </c>
      <c r="U1280" s="29">
        <f t="shared" si="362"/>
        <v>0</v>
      </c>
      <c r="V1280" s="29">
        <f t="shared" si="363"/>
        <v>0</v>
      </c>
      <c r="W1280" s="29">
        <f t="shared" si="364"/>
        <v>0</v>
      </c>
      <c r="X1280" s="29">
        <f t="shared" si="365"/>
        <v>0</v>
      </c>
      <c r="Y1280" s="29">
        <f t="shared" si="366"/>
        <v>0</v>
      </c>
      <c r="Z1280" s="29">
        <f t="shared" si="367"/>
        <v>2500</v>
      </c>
    </row>
    <row r="1281" spans="1:26" x14ac:dyDescent="0.3">
      <c r="A1281" s="5" t="s">
        <v>2596</v>
      </c>
      <c r="B1281" s="5" t="s">
        <v>2597</v>
      </c>
      <c r="C1281" s="5">
        <v>16</v>
      </c>
      <c r="D1281" s="6">
        <v>3495</v>
      </c>
      <c r="E1281" s="17">
        <f>VLOOKUP(A1281,'forecast data dump'!$A$1:$H$3450,4,FALSE)</f>
        <v>44783</v>
      </c>
      <c r="F1281" s="17">
        <f>VLOOKUP(A1281,'forecast data dump'!$A$1:$H$3450,5,FALSE)</f>
        <v>44789</v>
      </c>
      <c r="G1281" s="42">
        <f>VLOOKUP(A1281,'forecast data dump'!$A$1:$H$3450,8,FALSE)</f>
        <v>0</v>
      </c>
      <c r="H1281" s="5" t="s">
        <v>3732</v>
      </c>
      <c r="I1281" s="39">
        <f t="shared" si="368"/>
        <v>16</v>
      </c>
      <c r="J1281" s="5"/>
      <c r="K1281" s="5"/>
      <c r="L1281" s="33">
        <f t="shared" si="369"/>
        <v>3495</v>
      </c>
      <c r="M1281" s="33">
        <f t="shared" si="370"/>
        <v>3495</v>
      </c>
      <c r="N1281" s="33">
        <f t="shared" si="371"/>
        <v>0</v>
      </c>
      <c r="T1281">
        <v>1</v>
      </c>
      <c r="U1281" s="29">
        <f t="shared" si="362"/>
        <v>0</v>
      </c>
      <c r="V1281" s="29">
        <f t="shared" si="363"/>
        <v>0</v>
      </c>
      <c r="W1281" s="29">
        <f t="shared" si="364"/>
        <v>0</v>
      </c>
      <c r="X1281" s="29">
        <f t="shared" si="365"/>
        <v>0</v>
      </c>
      <c r="Y1281" s="29">
        <f t="shared" si="366"/>
        <v>0</v>
      </c>
      <c r="Z1281" s="29">
        <f t="shared" si="367"/>
        <v>3495</v>
      </c>
    </row>
    <row r="1282" spans="1:26" x14ac:dyDescent="0.3">
      <c r="A1282" s="5" t="s">
        <v>2598</v>
      </c>
      <c r="B1282" s="5" t="s">
        <v>2599</v>
      </c>
      <c r="C1282" s="5">
        <v>16</v>
      </c>
      <c r="D1282" s="6">
        <v>2500</v>
      </c>
      <c r="E1282" s="17">
        <f>VLOOKUP(A1282,'forecast data dump'!$A$1:$H$3450,4,FALSE)</f>
        <v>44790</v>
      </c>
      <c r="F1282" s="17">
        <f>VLOOKUP(A1282,'forecast data dump'!$A$1:$H$3450,5,FALSE)</f>
        <v>44796</v>
      </c>
      <c r="G1282" s="42">
        <f>VLOOKUP(A1282,'forecast data dump'!$A$1:$H$3450,8,FALSE)</f>
        <v>0</v>
      </c>
      <c r="H1282" s="5" t="s">
        <v>3733</v>
      </c>
      <c r="I1282" s="39">
        <f t="shared" si="368"/>
        <v>16</v>
      </c>
      <c r="J1282" s="5"/>
      <c r="K1282" s="5"/>
      <c r="L1282" s="33">
        <f t="shared" si="369"/>
        <v>2500</v>
      </c>
      <c r="M1282" s="33">
        <f t="shared" si="370"/>
        <v>2500</v>
      </c>
      <c r="N1282" s="33">
        <f t="shared" si="371"/>
        <v>0</v>
      </c>
      <c r="T1282">
        <v>1</v>
      </c>
      <c r="U1282" s="29">
        <f t="shared" si="362"/>
        <v>0</v>
      </c>
      <c r="V1282" s="29">
        <f t="shared" si="363"/>
        <v>0</v>
      </c>
      <c r="W1282" s="29">
        <f t="shared" si="364"/>
        <v>0</v>
      </c>
      <c r="X1282" s="29">
        <f t="shared" si="365"/>
        <v>0</v>
      </c>
      <c r="Y1282" s="29">
        <f t="shared" si="366"/>
        <v>0</v>
      </c>
      <c r="Z1282" s="29">
        <f t="shared" si="367"/>
        <v>2500</v>
      </c>
    </row>
    <row r="1283" spans="1:26" x14ac:dyDescent="0.3">
      <c r="A1283" s="5" t="s">
        <v>2598</v>
      </c>
      <c r="B1283" s="5" t="s">
        <v>2599</v>
      </c>
      <c r="C1283" s="5">
        <v>16</v>
      </c>
      <c r="D1283" s="6">
        <v>1937</v>
      </c>
      <c r="E1283" s="17">
        <f>VLOOKUP(A1283,'forecast data dump'!$A$1:$H$3450,4,FALSE)</f>
        <v>44790</v>
      </c>
      <c r="F1283" s="17">
        <f>VLOOKUP(A1283,'forecast data dump'!$A$1:$H$3450,5,FALSE)</f>
        <v>44796</v>
      </c>
      <c r="G1283" s="42">
        <f>VLOOKUP(A1283,'forecast data dump'!$A$1:$H$3450,8,FALSE)</f>
        <v>0</v>
      </c>
      <c r="H1283" s="5" t="s">
        <v>3742</v>
      </c>
      <c r="I1283" s="39">
        <f t="shared" si="368"/>
        <v>16</v>
      </c>
      <c r="J1283" s="5"/>
      <c r="K1283" s="5"/>
      <c r="L1283" s="33">
        <f t="shared" si="369"/>
        <v>1937</v>
      </c>
      <c r="M1283" s="33">
        <f t="shared" si="370"/>
        <v>1937</v>
      </c>
      <c r="N1283" s="33">
        <f t="shared" si="371"/>
        <v>0</v>
      </c>
      <c r="T1283">
        <v>1</v>
      </c>
      <c r="U1283" s="29">
        <f t="shared" si="362"/>
        <v>0</v>
      </c>
      <c r="V1283" s="29">
        <f t="shared" si="363"/>
        <v>0</v>
      </c>
      <c r="W1283" s="29">
        <f t="shared" si="364"/>
        <v>0</v>
      </c>
      <c r="X1283" s="29">
        <f t="shared" si="365"/>
        <v>0</v>
      </c>
      <c r="Y1283" s="29">
        <f t="shared" si="366"/>
        <v>0</v>
      </c>
      <c r="Z1283" s="29">
        <f t="shared" si="367"/>
        <v>1937</v>
      </c>
    </row>
    <row r="1284" spans="1:26" x14ac:dyDescent="0.3">
      <c r="A1284" s="5" t="s">
        <v>2598</v>
      </c>
      <c r="B1284" s="5" t="s">
        <v>2599</v>
      </c>
      <c r="C1284" s="5">
        <v>16</v>
      </c>
      <c r="D1284" s="6">
        <v>1937</v>
      </c>
      <c r="E1284" s="17">
        <f>VLOOKUP(A1284,'forecast data dump'!$A$1:$H$3450,4,FALSE)</f>
        <v>44790</v>
      </c>
      <c r="F1284" s="17">
        <f>VLOOKUP(A1284,'forecast data dump'!$A$1:$H$3450,5,FALSE)</f>
        <v>44796</v>
      </c>
      <c r="G1284" s="42">
        <f>VLOOKUP(A1284,'forecast data dump'!$A$1:$H$3450,8,FALSE)</f>
        <v>0</v>
      </c>
      <c r="H1284" s="5" t="s">
        <v>3741</v>
      </c>
      <c r="I1284" s="39">
        <f t="shared" si="368"/>
        <v>16</v>
      </c>
      <c r="J1284" s="5"/>
      <c r="K1284" s="5"/>
      <c r="L1284" s="33">
        <f t="shared" si="369"/>
        <v>1937</v>
      </c>
      <c r="M1284" s="33">
        <f t="shared" si="370"/>
        <v>1937</v>
      </c>
      <c r="N1284" s="33">
        <f t="shared" si="371"/>
        <v>0</v>
      </c>
      <c r="T1284">
        <v>1</v>
      </c>
      <c r="U1284" s="29">
        <f t="shared" si="362"/>
        <v>0</v>
      </c>
      <c r="V1284" s="29">
        <f t="shared" si="363"/>
        <v>0</v>
      </c>
      <c r="W1284" s="29">
        <f t="shared" si="364"/>
        <v>0</v>
      </c>
      <c r="X1284" s="29">
        <f t="shared" si="365"/>
        <v>0</v>
      </c>
      <c r="Y1284" s="29">
        <f t="shared" si="366"/>
        <v>0</v>
      </c>
      <c r="Z1284" s="29">
        <f t="shared" si="367"/>
        <v>1937</v>
      </c>
    </row>
    <row r="1285" spans="1:26" x14ac:dyDescent="0.3">
      <c r="A1285" s="5" t="s">
        <v>2598</v>
      </c>
      <c r="B1285" s="5" t="s">
        <v>2599</v>
      </c>
      <c r="C1285" s="5">
        <v>16</v>
      </c>
      <c r="D1285" s="6">
        <v>2500</v>
      </c>
      <c r="E1285" s="17">
        <f>VLOOKUP(A1285,'forecast data dump'!$A$1:$H$3450,4,FALSE)</f>
        <v>44790</v>
      </c>
      <c r="F1285" s="17">
        <f>VLOOKUP(A1285,'forecast data dump'!$A$1:$H$3450,5,FALSE)</f>
        <v>44796</v>
      </c>
      <c r="G1285" s="42">
        <f>VLOOKUP(A1285,'forecast data dump'!$A$1:$H$3450,8,FALSE)</f>
        <v>0</v>
      </c>
      <c r="H1285" s="5" t="s">
        <v>3744</v>
      </c>
      <c r="I1285" s="39">
        <f t="shared" si="368"/>
        <v>16</v>
      </c>
      <c r="J1285" s="5"/>
      <c r="K1285" s="5"/>
      <c r="L1285" s="33">
        <f t="shared" si="369"/>
        <v>2500</v>
      </c>
      <c r="M1285" s="33">
        <f t="shared" si="370"/>
        <v>2500</v>
      </c>
      <c r="N1285" s="33">
        <f t="shared" si="371"/>
        <v>0</v>
      </c>
      <c r="T1285">
        <v>1</v>
      </c>
      <c r="U1285" s="29">
        <f t="shared" si="362"/>
        <v>0</v>
      </c>
      <c r="V1285" s="29">
        <f t="shared" si="363"/>
        <v>0</v>
      </c>
      <c r="W1285" s="29">
        <f t="shared" si="364"/>
        <v>0</v>
      </c>
      <c r="X1285" s="29">
        <f t="shared" si="365"/>
        <v>0</v>
      </c>
      <c r="Y1285" s="29">
        <f t="shared" si="366"/>
        <v>0</v>
      </c>
      <c r="Z1285" s="29">
        <f t="shared" si="367"/>
        <v>2500</v>
      </c>
    </row>
    <row r="1286" spans="1:26" x14ac:dyDescent="0.3">
      <c r="A1286" s="5" t="s">
        <v>2598</v>
      </c>
      <c r="B1286" s="5" t="s">
        <v>2599</v>
      </c>
      <c r="C1286" s="5">
        <v>16</v>
      </c>
      <c r="D1286" s="6">
        <v>3495</v>
      </c>
      <c r="E1286" s="17">
        <f>VLOOKUP(A1286,'forecast data dump'!$A$1:$H$3450,4,FALSE)</f>
        <v>44790</v>
      </c>
      <c r="F1286" s="17">
        <f>VLOOKUP(A1286,'forecast data dump'!$A$1:$H$3450,5,FALSE)</f>
        <v>44796</v>
      </c>
      <c r="G1286" s="42">
        <f>VLOOKUP(A1286,'forecast data dump'!$A$1:$H$3450,8,FALSE)</f>
        <v>0</v>
      </c>
      <c r="H1286" s="5" t="s">
        <v>3732</v>
      </c>
      <c r="I1286" s="39">
        <f t="shared" si="368"/>
        <v>16</v>
      </c>
      <c r="J1286" s="5"/>
      <c r="K1286" s="5"/>
      <c r="L1286" s="33">
        <f t="shared" si="369"/>
        <v>3495</v>
      </c>
      <c r="M1286" s="33">
        <f t="shared" si="370"/>
        <v>3495</v>
      </c>
      <c r="N1286" s="33">
        <f t="shared" si="371"/>
        <v>0</v>
      </c>
      <c r="T1286">
        <v>1</v>
      </c>
      <c r="U1286" s="29">
        <f t="shared" si="362"/>
        <v>0</v>
      </c>
      <c r="V1286" s="29">
        <f t="shared" si="363"/>
        <v>0</v>
      </c>
      <c r="W1286" s="29">
        <f t="shared" si="364"/>
        <v>0</v>
      </c>
      <c r="X1286" s="29">
        <f t="shared" si="365"/>
        <v>0</v>
      </c>
      <c r="Y1286" s="29">
        <f t="shared" si="366"/>
        <v>0</v>
      </c>
      <c r="Z1286" s="29">
        <f t="shared" si="367"/>
        <v>3495</v>
      </c>
    </row>
    <row r="1287" spans="1:26" x14ac:dyDescent="0.3">
      <c r="A1287" s="5" t="s">
        <v>2598</v>
      </c>
      <c r="B1287" s="5" t="s">
        <v>2599</v>
      </c>
      <c r="C1287" s="5">
        <v>16</v>
      </c>
      <c r="D1287" s="6">
        <v>2921</v>
      </c>
      <c r="E1287" s="17">
        <f>VLOOKUP(A1287,'forecast data dump'!$A$1:$H$3450,4,FALSE)</f>
        <v>44790</v>
      </c>
      <c r="F1287" s="17">
        <f>VLOOKUP(A1287,'forecast data dump'!$A$1:$H$3450,5,FALSE)</f>
        <v>44796</v>
      </c>
      <c r="G1287" s="42">
        <f>VLOOKUP(A1287,'forecast data dump'!$A$1:$H$3450,8,FALSE)</f>
        <v>0</v>
      </c>
      <c r="H1287" s="5" t="s">
        <v>3740</v>
      </c>
      <c r="I1287" s="39">
        <f t="shared" si="368"/>
        <v>16</v>
      </c>
      <c r="J1287" s="5"/>
      <c r="K1287" s="5"/>
      <c r="L1287" s="33">
        <f t="shared" si="369"/>
        <v>2921</v>
      </c>
      <c r="M1287" s="33">
        <f t="shared" si="370"/>
        <v>2921</v>
      </c>
      <c r="N1287" s="33">
        <f t="shared" si="371"/>
        <v>0</v>
      </c>
      <c r="T1287">
        <v>1</v>
      </c>
      <c r="U1287" s="29">
        <f t="shared" si="362"/>
        <v>0</v>
      </c>
      <c r="V1287" s="29">
        <f t="shared" si="363"/>
        <v>0</v>
      </c>
      <c r="W1287" s="29">
        <f t="shared" si="364"/>
        <v>0</v>
      </c>
      <c r="X1287" s="29">
        <f t="shared" si="365"/>
        <v>0</v>
      </c>
      <c r="Y1287" s="29">
        <f t="shared" si="366"/>
        <v>0</v>
      </c>
      <c r="Z1287" s="29">
        <f t="shared" si="367"/>
        <v>2921</v>
      </c>
    </row>
    <row r="1288" spans="1:26" x14ac:dyDescent="0.3">
      <c r="A1288" s="5" t="s">
        <v>2598</v>
      </c>
      <c r="B1288" s="5" t="s">
        <v>2599</v>
      </c>
      <c r="C1288" s="5">
        <v>8</v>
      </c>
      <c r="D1288" s="6">
        <v>1461</v>
      </c>
      <c r="E1288" s="17">
        <f>VLOOKUP(A1288,'forecast data dump'!$A$1:$H$3450,4,FALSE)</f>
        <v>44790</v>
      </c>
      <c r="F1288" s="17">
        <f>VLOOKUP(A1288,'forecast data dump'!$A$1:$H$3450,5,FALSE)</f>
        <v>44796</v>
      </c>
      <c r="G1288" s="42">
        <f>VLOOKUP(A1288,'forecast data dump'!$A$1:$H$3450,8,FALSE)</f>
        <v>0</v>
      </c>
      <c r="H1288" s="5" t="s">
        <v>3754</v>
      </c>
      <c r="I1288" s="39">
        <f t="shared" si="368"/>
        <v>8</v>
      </c>
      <c r="J1288" s="5"/>
      <c r="K1288" s="5"/>
      <c r="L1288" s="33">
        <f t="shared" si="369"/>
        <v>1461</v>
      </c>
      <c r="M1288" s="33">
        <f t="shared" si="370"/>
        <v>1461</v>
      </c>
      <c r="N1288" s="33">
        <f t="shared" si="371"/>
        <v>0</v>
      </c>
      <c r="T1288">
        <v>1</v>
      </c>
      <c r="U1288" s="29">
        <f t="shared" si="362"/>
        <v>0</v>
      </c>
      <c r="V1288" s="29">
        <f t="shared" si="363"/>
        <v>0</v>
      </c>
      <c r="W1288" s="29">
        <f t="shared" si="364"/>
        <v>0</v>
      </c>
      <c r="X1288" s="29">
        <f t="shared" si="365"/>
        <v>0</v>
      </c>
      <c r="Y1288" s="29">
        <f t="shared" si="366"/>
        <v>0</v>
      </c>
      <c r="Z1288" s="29">
        <f t="shared" si="367"/>
        <v>1461</v>
      </c>
    </row>
    <row r="1289" spans="1:26" x14ac:dyDescent="0.3">
      <c r="A1289" s="5" t="s">
        <v>2598</v>
      </c>
      <c r="B1289" s="5" t="s">
        <v>2599</v>
      </c>
      <c r="C1289" s="5">
        <v>8</v>
      </c>
      <c r="D1289" s="6">
        <v>1250</v>
      </c>
      <c r="E1289" s="17">
        <f>VLOOKUP(A1289,'forecast data dump'!$A$1:$H$3450,4,FALSE)</f>
        <v>44790</v>
      </c>
      <c r="F1289" s="17">
        <f>VLOOKUP(A1289,'forecast data dump'!$A$1:$H$3450,5,FALSE)</f>
        <v>44796</v>
      </c>
      <c r="G1289" s="42">
        <f>VLOOKUP(A1289,'forecast data dump'!$A$1:$H$3450,8,FALSE)</f>
        <v>0</v>
      </c>
      <c r="H1289" s="5" t="s">
        <v>3763</v>
      </c>
      <c r="I1289" s="39">
        <f t="shared" si="368"/>
        <v>8</v>
      </c>
      <c r="J1289" s="5"/>
      <c r="K1289" s="5"/>
      <c r="L1289" s="33">
        <f t="shared" si="369"/>
        <v>1250</v>
      </c>
      <c r="M1289" s="33">
        <f t="shared" si="370"/>
        <v>1250</v>
      </c>
      <c r="N1289" s="33">
        <f t="shared" si="371"/>
        <v>0</v>
      </c>
      <c r="T1289">
        <v>1</v>
      </c>
      <c r="U1289" s="29">
        <f t="shared" si="362"/>
        <v>0</v>
      </c>
      <c r="V1289" s="29">
        <f t="shared" si="363"/>
        <v>0</v>
      </c>
      <c r="W1289" s="29">
        <f t="shared" si="364"/>
        <v>0</v>
      </c>
      <c r="X1289" s="29">
        <f t="shared" si="365"/>
        <v>0</v>
      </c>
      <c r="Y1289" s="29">
        <f t="shared" si="366"/>
        <v>0</v>
      </c>
      <c r="Z1289" s="29">
        <f t="shared" si="367"/>
        <v>1250</v>
      </c>
    </row>
    <row r="1290" spans="1:26" x14ac:dyDescent="0.3">
      <c r="A1290" s="5" t="s">
        <v>2598</v>
      </c>
      <c r="B1290" s="5" t="s">
        <v>2599</v>
      </c>
      <c r="C1290" s="5">
        <v>8</v>
      </c>
      <c r="D1290" s="6">
        <v>1250</v>
      </c>
      <c r="E1290" s="17">
        <f>VLOOKUP(A1290,'forecast data dump'!$A$1:$H$3450,4,FALSE)</f>
        <v>44790</v>
      </c>
      <c r="F1290" s="17">
        <f>VLOOKUP(A1290,'forecast data dump'!$A$1:$H$3450,5,FALSE)</f>
        <v>44796</v>
      </c>
      <c r="G1290" s="42">
        <f>VLOOKUP(A1290,'forecast data dump'!$A$1:$H$3450,8,FALSE)</f>
        <v>0</v>
      </c>
      <c r="H1290" s="5" t="s">
        <v>3763</v>
      </c>
      <c r="I1290" s="39">
        <f t="shared" si="368"/>
        <v>8</v>
      </c>
      <c r="J1290" s="5"/>
      <c r="K1290" s="5"/>
      <c r="L1290" s="33">
        <f t="shared" si="369"/>
        <v>1250</v>
      </c>
      <c r="M1290" s="33">
        <f t="shared" si="370"/>
        <v>1250</v>
      </c>
      <c r="N1290" s="33">
        <f t="shared" si="371"/>
        <v>0</v>
      </c>
      <c r="T1290">
        <v>1</v>
      </c>
      <c r="U1290" s="29">
        <f t="shared" si="362"/>
        <v>0</v>
      </c>
      <c r="V1290" s="29">
        <f t="shared" si="363"/>
        <v>0</v>
      </c>
      <c r="W1290" s="29">
        <f t="shared" si="364"/>
        <v>0</v>
      </c>
      <c r="X1290" s="29">
        <f t="shared" si="365"/>
        <v>0</v>
      </c>
      <c r="Y1290" s="29">
        <f t="shared" si="366"/>
        <v>0</v>
      </c>
      <c r="Z1290" s="29">
        <f t="shared" si="367"/>
        <v>1250</v>
      </c>
    </row>
    <row r="1291" spans="1:26" x14ac:dyDescent="0.3">
      <c r="A1291" s="5" t="s">
        <v>2598</v>
      </c>
      <c r="B1291" s="5" t="s">
        <v>2599</v>
      </c>
      <c r="C1291" s="5">
        <v>8</v>
      </c>
      <c r="D1291" s="6">
        <v>1638</v>
      </c>
      <c r="E1291" s="17">
        <f>VLOOKUP(A1291,'forecast data dump'!$A$1:$H$3450,4,FALSE)</f>
        <v>44790</v>
      </c>
      <c r="F1291" s="17">
        <f>VLOOKUP(A1291,'forecast data dump'!$A$1:$H$3450,5,FALSE)</f>
        <v>44796</v>
      </c>
      <c r="G1291" s="42">
        <f>VLOOKUP(A1291,'forecast data dump'!$A$1:$H$3450,8,FALSE)</f>
        <v>0</v>
      </c>
      <c r="H1291" s="5" t="s">
        <v>3755</v>
      </c>
      <c r="I1291" s="39">
        <f t="shared" si="368"/>
        <v>8</v>
      </c>
      <c r="J1291" s="5"/>
      <c r="K1291" s="5"/>
      <c r="L1291" s="33">
        <f t="shared" si="369"/>
        <v>1638</v>
      </c>
      <c r="M1291" s="33">
        <f t="shared" si="370"/>
        <v>1638</v>
      </c>
      <c r="N1291" s="33">
        <f t="shared" si="371"/>
        <v>0</v>
      </c>
      <c r="T1291">
        <v>1</v>
      </c>
      <c r="U1291" s="29">
        <f t="shared" si="362"/>
        <v>0</v>
      </c>
      <c r="V1291" s="29">
        <f t="shared" si="363"/>
        <v>0</v>
      </c>
      <c r="W1291" s="29">
        <f t="shared" si="364"/>
        <v>0</v>
      </c>
      <c r="X1291" s="29">
        <f t="shared" si="365"/>
        <v>0</v>
      </c>
      <c r="Y1291" s="29">
        <f t="shared" si="366"/>
        <v>0</v>
      </c>
      <c r="Z1291" s="29">
        <f t="shared" si="367"/>
        <v>1638</v>
      </c>
    </row>
    <row r="1292" spans="1:26" x14ac:dyDescent="0.3">
      <c r="A1292" s="5" t="s">
        <v>2600</v>
      </c>
      <c r="B1292" s="5" t="s">
        <v>2601</v>
      </c>
      <c r="C1292" s="5">
        <v>16</v>
      </c>
      <c r="D1292" s="6">
        <v>3495</v>
      </c>
      <c r="E1292" s="17">
        <f>VLOOKUP(A1292,'forecast data dump'!$A$1:$H$3450,4,FALSE)</f>
        <v>44797</v>
      </c>
      <c r="F1292" s="17">
        <f>VLOOKUP(A1292,'forecast data dump'!$A$1:$H$3450,5,FALSE)</f>
        <v>44803</v>
      </c>
      <c r="G1292" s="42">
        <f>VLOOKUP(A1292,'forecast data dump'!$A$1:$H$3450,8,FALSE)</f>
        <v>0</v>
      </c>
      <c r="H1292" s="5" t="s">
        <v>3732</v>
      </c>
      <c r="I1292" s="39">
        <f t="shared" si="368"/>
        <v>16</v>
      </c>
      <c r="J1292" s="5"/>
      <c r="K1292" s="5"/>
      <c r="L1292" s="33">
        <f t="shared" si="369"/>
        <v>3495</v>
      </c>
      <c r="M1292" s="33">
        <f t="shared" si="370"/>
        <v>3495</v>
      </c>
      <c r="N1292" s="33">
        <f t="shared" si="371"/>
        <v>0</v>
      </c>
      <c r="T1292">
        <v>1</v>
      </c>
      <c r="U1292" s="29">
        <f t="shared" si="362"/>
        <v>0</v>
      </c>
      <c r="V1292" s="29">
        <f t="shared" si="363"/>
        <v>0</v>
      </c>
      <c r="W1292" s="29">
        <f t="shared" si="364"/>
        <v>0</v>
      </c>
      <c r="X1292" s="29">
        <f t="shared" si="365"/>
        <v>0</v>
      </c>
      <c r="Y1292" s="29">
        <f t="shared" si="366"/>
        <v>0</v>
      </c>
      <c r="Z1292" s="29">
        <f t="shared" si="367"/>
        <v>3495</v>
      </c>
    </row>
    <row r="1294" spans="1:26" x14ac:dyDescent="0.3">
      <c r="C1294">
        <f>SUM(C5:C1292)</f>
        <v>4571870</v>
      </c>
      <c r="D1294" s="29">
        <f>SUM(D5:D1292)</f>
        <v>13865748</v>
      </c>
      <c r="E1294"/>
      <c r="F1294"/>
      <c r="G1294"/>
      <c r="I1294"/>
      <c r="L1294" s="29">
        <f>SUM(L5:L1292)</f>
        <v>11895325.388000006</v>
      </c>
      <c r="M1294" s="29">
        <f>SUM(M5:M1292)</f>
        <v>11895325.388000006</v>
      </c>
      <c r="U1294" s="29">
        <f>SUM(U5:U1292)</f>
        <v>3590171.4</v>
      </c>
      <c r="V1294" s="29">
        <f t="shared" ref="V1294:Z1294" si="372">SUM(V5:V1292)</f>
        <v>0</v>
      </c>
      <c r="W1294" s="29">
        <f t="shared" si="372"/>
        <v>1207348.2</v>
      </c>
      <c r="X1294" s="29">
        <f t="shared" si="372"/>
        <v>465753.68</v>
      </c>
      <c r="Y1294" s="29">
        <f t="shared" si="372"/>
        <v>817911.80799999996</v>
      </c>
      <c r="Z1294" s="29">
        <f t="shared" si="372"/>
        <v>5814140.2999999998</v>
      </c>
    </row>
    <row r="1295" spans="1:26" x14ac:dyDescent="0.3">
      <c r="U1295" s="45" t="s">
        <v>8013</v>
      </c>
      <c r="W1295" s="29">
        <f>SUM(U1294:Z1294)</f>
        <v>11895325.388</v>
      </c>
    </row>
  </sheetData>
  <autoFilter ref="A2:N1292" xr:uid="{0C9BBF51-D755-4492-8EFB-08E10424166F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X96"/>
  <sheetViews>
    <sheetView workbookViewId="0">
      <pane xSplit="8" ySplit="1" topLeftCell="K71" activePane="bottomRight" state="frozen"/>
      <selection pane="topRight" activeCell="I1" sqref="I1"/>
      <selection pane="bottomLeft" activeCell="A2" sqref="A2"/>
      <selection pane="bottomRight" activeCell="N80" sqref="N80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3.33203125" style="75" customWidth="1"/>
    <col min="15" max="15" width="10.109375" customWidth="1"/>
    <col min="18" max="18" width="13" customWidth="1"/>
    <col min="19" max="20" width="12.77734375" style="75" customWidth="1"/>
    <col min="21" max="21" width="12.77734375" customWidth="1"/>
    <col min="22" max="22" width="57.44140625" customWidth="1"/>
  </cols>
  <sheetData>
    <row r="1" spans="1:20" ht="115.2" x14ac:dyDescent="0.3">
      <c r="A1" s="45" t="s">
        <v>8040</v>
      </c>
      <c r="B1" s="45" t="s">
        <v>8041</v>
      </c>
      <c r="C1" s="45" t="s">
        <v>8042</v>
      </c>
      <c r="D1" s="45" t="s">
        <v>8043</v>
      </c>
      <c r="E1" s="45" t="s">
        <v>8052</v>
      </c>
      <c r="F1" s="45" t="s">
        <v>8044</v>
      </c>
      <c r="G1" s="45" t="s">
        <v>8045</v>
      </c>
      <c r="H1" s="45" t="s">
        <v>8046</v>
      </c>
      <c r="I1" s="45" t="s">
        <v>8057</v>
      </c>
      <c r="J1" s="45" t="s">
        <v>8054</v>
      </c>
      <c r="K1" s="45" t="s">
        <v>8047</v>
      </c>
      <c r="L1" s="81" t="s">
        <v>8317</v>
      </c>
      <c r="M1" s="81" t="s">
        <v>8318</v>
      </c>
      <c r="N1" s="81" t="s">
        <v>8291</v>
      </c>
      <c r="O1" s="104" t="s">
        <v>8336</v>
      </c>
      <c r="P1" s="105" t="s">
        <v>8312</v>
      </c>
      <c r="Q1" s="86" t="s">
        <v>8313</v>
      </c>
      <c r="R1" s="106" t="s">
        <v>8335</v>
      </c>
      <c r="S1" s="81" t="s">
        <v>8380</v>
      </c>
      <c r="T1" s="81" t="s">
        <v>8381</v>
      </c>
    </row>
    <row r="2" spans="1:20" x14ac:dyDescent="0.3">
      <c r="A2" t="s">
        <v>8049</v>
      </c>
      <c r="B2" t="s">
        <v>8050</v>
      </c>
      <c r="C2">
        <v>59702</v>
      </c>
      <c r="D2">
        <v>392774</v>
      </c>
      <c r="E2" s="76">
        <v>44181</v>
      </c>
      <c r="G2" s="78">
        <v>1</v>
      </c>
      <c r="H2" t="s">
        <v>8051</v>
      </c>
      <c r="I2" t="s">
        <v>8058</v>
      </c>
      <c r="J2" t="s">
        <v>8055</v>
      </c>
      <c r="K2">
        <v>5000</v>
      </c>
      <c r="L2" s="78">
        <v>5000</v>
      </c>
      <c r="N2" s="75" t="s">
        <v>8292</v>
      </c>
      <c r="O2" s="19">
        <f>M3*1.117</f>
        <v>7245.9790000000003</v>
      </c>
      <c r="P2" s="19">
        <f>'ETC sheet-Cat A'!U9</f>
        <v>383.70000000000005</v>
      </c>
      <c r="Q2" s="19"/>
      <c r="R2" s="19">
        <f>O2-P2</f>
        <v>6862.2790000000005</v>
      </c>
      <c r="S2" s="129">
        <f>R2</f>
        <v>6862.2790000000005</v>
      </c>
    </row>
    <row r="3" spans="1:20" x14ac:dyDescent="0.3">
      <c r="C3">
        <v>59702</v>
      </c>
      <c r="D3">
        <v>376464</v>
      </c>
      <c r="E3" s="76">
        <v>43819</v>
      </c>
      <c r="F3">
        <v>1</v>
      </c>
      <c r="H3" t="s">
        <v>8053</v>
      </c>
      <c r="I3" t="s">
        <v>8059</v>
      </c>
      <c r="J3" t="s">
        <v>8056</v>
      </c>
      <c r="K3">
        <v>30901</v>
      </c>
      <c r="L3">
        <v>6487</v>
      </c>
      <c r="M3">
        <v>6487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5" t="s">
        <v>8060</v>
      </c>
      <c r="B6" s="75" t="s">
        <v>8061</v>
      </c>
      <c r="C6">
        <v>59703</v>
      </c>
      <c r="D6">
        <v>359161</v>
      </c>
      <c r="E6" s="76">
        <v>43476</v>
      </c>
      <c r="F6">
        <v>1</v>
      </c>
      <c r="H6" t="s">
        <v>8062</v>
      </c>
      <c r="I6" t="s">
        <v>8059</v>
      </c>
      <c r="J6" t="s">
        <v>8063</v>
      </c>
      <c r="K6" s="77">
        <v>84777</v>
      </c>
      <c r="L6">
        <v>9485</v>
      </c>
      <c r="M6">
        <v>9485</v>
      </c>
      <c r="O6" s="19">
        <f>SUM(M6:M8)*1.117</f>
        <v>187213.66800000001</v>
      </c>
      <c r="P6" s="19">
        <v>0</v>
      </c>
      <c r="Q6" s="19"/>
      <c r="R6" s="19">
        <f>O6-P6</f>
        <v>187213.66800000001</v>
      </c>
      <c r="S6" s="129">
        <f>R6</f>
        <v>187213.66800000001</v>
      </c>
    </row>
    <row r="7" spans="1:20" x14ac:dyDescent="0.3">
      <c r="C7">
        <v>59703</v>
      </c>
      <c r="D7">
        <v>376464</v>
      </c>
      <c r="E7" s="76">
        <v>43819</v>
      </c>
      <c r="F7">
        <v>1</v>
      </c>
      <c r="H7" t="s">
        <v>8053</v>
      </c>
      <c r="I7" t="s">
        <v>8059</v>
      </c>
      <c r="J7" t="s">
        <v>8056</v>
      </c>
      <c r="K7" s="77">
        <v>749434</v>
      </c>
      <c r="L7" s="77">
        <v>157324</v>
      </c>
      <c r="M7">
        <v>157324</v>
      </c>
      <c r="O7" s="19"/>
      <c r="P7" s="19"/>
      <c r="Q7" s="19"/>
      <c r="R7" s="19"/>
    </row>
    <row r="8" spans="1:20" ht="43.2" x14ac:dyDescent="0.3">
      <c r="C8">
        <v>59703</v>
      </c>
      <c r="D8">
        <v>384188</v>
      </c>
      <c r="E8" s="76">
        <v>44007</v>
      </c>
      <c r="G8" s="68">
        <v>1</v>
      </c>
      <c r="H8" t="s">
        <v>8064</v>
      </c>
      <c r="I8" t="s">
        <v>8059</v>
      </c>
      <c r="J8" t="s">
        <v>8065</v>
      </c>
      <c r="K8">
        <v>20020</v>
      </c>
      <c r="L8" s="68">
        <v>795</v>
      </c>
      <c r="M8">
        <v>795</v>
      </c>
      <c r="N8" s="75" t="s">
        <v>8298</v>
      </c>
      <c r="O8" s="19"/>
      <c r="P8" s="19"/>
      <c r="Q8" s="19"/>
      <c r="R8" s="19"/>
    </row>
    <row r="9" spans="1:20" x14ac:dyDescent="0.3">
      <c r="O9" s="19"/>
      <c r="P9" s="19"/>
      <c r="Q9" s="19"/>
      <c r="R9" s="19"/>
    </row>
    <row r="10" spans="1:20" x14ac:dyDescent="0.3">
      <c r="O10" s="19"/>
      <c r="P10" s="19"/>
      <c r="Q10" s="19"/>
      <c r="R10" s="19"/>
    </row>
    <row r="11" spans="1:20" x14ac:dyDescent="0.3">
      <c r="A11" t="s">
        <v>8066</v>
      </c>
      <c r="B11" t="s">
        <v>8067</v>
      </c>
      <c r="C11">
        <v>59704</v>
      </c>
      <c r="D11">
        <v>388253</v>
      </c>
      <c r="E11" s="76">
        <v>44083</v>
      </c>
      <c r="G11" s="78">
        <v>1</v>
      </c>
      <c r="H11" t="s">
        <v>8068</v>
      </c>
      <c r="I11" t="s">
        <v>8069</v>
      </c>
      <c r="J11" t="s">
        <v>8070</v>
      </c>
      <c r="K11">
        <v>83687</v>
      </c>
      <c r="L11" s="78">
        <v>83687</v>
      </c>
      <c r="N11" s="75" t="s">
        <v>8292</v>
      </c>
      <c r="O11" s="19">
        <f>SUM(M12:M18)*1.117</f>
        <v>155693.04500000001</v>
      </c>
      <c r="P11" s="19">
        <f>'ETC sheet-Cat A'!U13</f>
        <v>232636.86199999999</v>
      </c>
      <c r="Q11" s="19"/>
      <c r="R11" s="19">
        <f>O11-P11</f>
        <v>-76943.816999999981</v>
      </c>
      <c r="T11" s="129">
        <f>R11</f>
        <v>-76943.816999999981</v>
      </c>
    </row>
    <row r="12" spans="1:20" x14ac:dyDescent="0.3">
      <c r="C12">
        <v>59704</v>
      </c>
      <c r="D12">
        <v>390055</v>
      </c>
      <c r="E12" s="76">
        <v>44155</v>
      </c>
      <c r="F12">
        <v>1</v>
      </c>
      <c r="H12" t="s">
        <v>8071</v>
      </c>
      <c r="I12" t="s">
        <v>8069</v>
      </c>
      <c r="J12" t="s">
        <v>8070</v>
      </c>
      <c r="K12">
        <v>91690</v>
      </c>
      <c r="L12">
        <v>2</v>
      </c>
      <c r="M12">
        <v>2</v>
      </c>
      <c r="O12" s="19"/>
      <c r="P12" s="19"/>
      <c r="Q12" s="19"/>
      <c r="R12" s="19"/>
    </row>
    <row r="13" spans="1:20" x14ac:dyDescent="0.3">
      <c r="C13">
        <v>59704</v>
      </c>
      <c r="D13">
        <v>381501</v>
      </c>
      <c r="E13" s="76">
        <v>43917</v>
      </c>
      <c r="G13" s="78">
        <v>1</v>
      </c>
      <c r="H13" t="s">
        <v>8072</v>
      </c>
      <c r="I13" t="s">
        <v>8073</v>
      </c>
      <c r="J13" t="s">
        <v>8074</v>
      </c>
      <c r="K13">
        <v>43690</v>
      </c>
      <c r="L13" s="78">
        <v>43690</v>
      </c>
      <c r="N13" s="75" t="s">
        <v>8292</v>
      </c>
      <c r="O13" s="19"/>
      <c r="P13" s="19"/>
      <c r="Q13" s="19"/>
      <c r="R13" s="19"/>
    </row>
    <row r="14" spans="1:20" ht="100.8" x14ac:dyDescent="0.3">
      <c r="C14">
        <v>59704</v>
      </c>
      <c r="D14">
        <v>383443</v>
      </c>
      <c r="E14" s="76">
        <v>44309</v>
      </c>
      <c r="F14">
        <v>1</v>
      </c>
      <c r="H14" t="s">
        <v>8186</v>
      </c>
      <c r="I14" t="s">
        <v>8059</v>
      </c>
      <c r="J14" t="s">
        <v>8075</v>
      </c>
      <c r="K14">
        <v>35973</v>
      </c>
      <c r="L14" s="79">
        <v>67973</v>
      </c>
      <c r="M14" s="85">
        <v>35973</v>
      </c>
      <c r="N14" s="75" t="s">
        <v>8293</v>
      </c>
      <c r="O14" s="19"/>
      <c r="P14" s="19"/>
      <c r="Q14" s="19"/>
      <c r="R14" s="19"/>
    </row>
    <row r="15" spans="1:20" x14ac:dyDescent="0.3">
      <c r="C15" s="45">
        <v>59728</v>
      </c>
      <c r="D15">
        <v>399825</v>
      </c>
      <c r="E15" s="76">
        <v>44356</v>
      </c>
      <c r="F15">
        <v>1</v>
      </c>
      <c r="H15" t="s">
        <v>8076</v>
      </c>
      <c r="I15" t="s">
        <v>8073</v>
      </c>
      <c r="J15" t="s">
        <v>8077</v>
      </c>
      <c r="K15">
        <v>10372</v>
      </c>
      <c r="L15">
        <v>8512</v>
      </c>
      <c r="M15">
        <v>8512</v>
      </c>
      <c r="O15" s="19"/>
      <c r="P15" s="19"/>
      <c r="Q15" s="19"/>
      <c r="R15" s="19"/>
    </row>
    <row r="16" spans="1:20" x14ac:dyDescent="0.3">
      <c r="C16" s="45">
        <v>59728</v>
      </c>
      <c r="D16">
        <v>399995</v>
      </c>
      <c r="E16" s="76">
        <v>44390</v>
      </c>
      <c r="F16">
        <v>1</v>
      </c>
      <c r="H16" t="s">
        <v>8078</v>
      </c>
      <c r="I16" t="s">
        <v>8073</v>
      </c>
      <c r="J16" t="s">
        <v>8079</v>
      </c>
      <c r="K16">
        <v>88872</v>
      </c>
      <c r="L16">
        <v>88872</v>
      </c>
      <c r="M16">
        <v>88872</v>
      </c>
      <c r="O16" s="19"/>
      <c r="P16" s="19"/>
      <c r="Q16" s="19"/>
      <c r="R16" s="19"/>
    </row>
    <row r="17" spans="1:20" ht="43.2" x14ac:dyDescent="0.3">
      <c r="C17" s="45">
        <v>59728</v>
      </c>
      <c r="D17">
        <v>402061</v>
      </c>
      <c r="E17" s="76">
        <v>44391</v>
      </c>
      <c r="G17" s="69">
        <v>1</v>
      </c>
      <c r="H17" t="s">
        <v>8080</v>
      </c>
      <c r="I17" t="s">
        <v>8073</v>
      </c>
      <c r="J17" t="s">
        <v>8081</v>
      </c>
      <c r="K17">
        <v>18300</v>
      </c>
      <c r="L17" s="69">
        <v>18300</v>
      </c>
      <c r="N17" s="75" t="s">
        <v>8299</v>
      </c>
      <c r="O17" s="19"/>
      <c r="P17" s="19"/>
      <c r="Q17" s="19"/>
      <c r="R17" s="19"/>
    </row>
    <row r="18" spans="1:20" x14ac:dyDescent="0.3">
      <c r="C18" s="45">
        <v>59728</v>
      </c>
      <c r="D18">
        <v>402224</v>
      </c>
      <c r="E18" s="76">
        <v>44393</v>
      </c>
      <c r="G18" s="69">
        <v>1</v>
      </c>
      <c r="H18" t="s">
        <v>8082</v>
      </c>
      <c r="I18" t="s">
        <v>8073</v>
      </c>
      <c r="J18" t="s">
        <v>8083</v>
      </c>
      <c r="K18">
        <v>8286</v>
      </c>
      <c r="L18" s="69">
        <v>6026</v>
      </c>
      <c r="M18">
        <v>6026</v>
      </c>
      <c r="O18" s="19"/>
      <c r="P18" s="19"/>
      <c r="Q18" s="19"/>
      <c r="R18" s="19"/>
    </row>
    <row r="19" spans="1:20" x14ac:dyDescent="0.3">
      <c r="O19" s="19"/>
      <c r="P19" s="19"/>
      <c r="Q19" s="19"/>
      <c r="R19" s="19"/>
    </row>
    <row r="20" spans="1:20" x14ac:dyDescent="0.3">
      <c r="O20" s="19"/>
      <c r="P20" s="19"/>
      <c r="Q20" s="19"/>
      <c r="R20" s="19"/>
    </row>
    <row r="21" spans="1:20" x14ac:dyDescent="0.3">
      <c r="A21" t="s">
        <v>8084</v>
      </c>
      <c r="B21" t="s">
        <v>8085</v>
      </c>
      <c r="C21" s="45">
        <v>59729</v>
      </c>
      <c r="D21">
        <v>395126</v>
      </c>
      <c r="E21" s="76">
        <v>44270</v>
      </c>
      <c r="F21">
        <v>1</v>
      </c>
      <c r="H21" t="s">
        <v>8288</v>
      </c>
      <c r="I21" t="s">
        <v>8086</v>
      </c>
      <c r="J21" t="s">
        <v>8087</v>
      </c>
      <c r="K21">
        <v>13598</v>
      </c>
      <c r="L21">
        <v>13598</v>
      </c>
      <c r="M21">
        <v>13598</v>
      </c>
      <c r="O21" s="19">
        <f>SUM(M21:M22)*1.117</f>
        <v>113239.226</v>
      </c>
      <c r="P21" s="19">
        <f>'ETC sheet-Cat A'!U20</f>
        <v>18157.079999999998</v>
      </c>
      <c r="Q21" s="19"/>
      <c r="R21" s="19">
        <f>O21-P21</f>
        <v>95082.145999999993</v>
      </c>
      <c r="S21" s="129">
        <f>R21</f>
        <v>95082.145999999993</v>
      </c>
    </row>
    <row r="22" spans="1:20" x14ac:dyDescent="0.3">
      <c r="C22" s="45">
        <v>59729</v>
      </c>
      <c r="D22">
        <v>395877</v>
      </c>
      <c r="E22" s="76">
        <v>44293</v>
      </c>
      <c r="F22">
        <v>1</v>
      </c>
      <c r="H22" t="s">
        <v>8088</v>
      </c>
      <c r="I22" t="s">
        <v>8090</v>
      </c>
      <c r="J22" t="s">
        <v>8089</v>
      </c>
      <c r="K22">
        <v>194450</v>
      </c>
      <c r="L22">
        <v>87780</v>
      </c>
      <c r="M22">
        <v>87780</v>
      </c>
      <c r="O22" s="19"/>
      <c r="P22" s="19"/>
      <c r="Q22" s="19"/>
      <c r="R22" s="19"/>
    </row>
    <row r="23" spans="1:20" x14ac:dyDescent="0.3">
      <c r="O23" s="19"/>
      <c r="P23" s="19"/>
      <c r="Q23" s="19"/>
      <c r="R23" s="19"/>
    </row>
    <row r="24" spans="1:20" x14ac:dyDescent="0.3">
      <c r="O24" s="19"/>
      <c r="P24" s="19"/>
      <c r="Q24" s="19"/>
      <c r="R24" s="19"/>
    </row>
    <row r="25" spans="1:20" x14ac:dyDescent="0.3">
      <c r="A25" t="s">
        <v>8091</v>
      </c>
      <c r="B25" t="s">
        <v>8092</v>
      </c>
      <c r="C25">
        <v>59706</v>
      </c>
      <c r="D25">
        <v>390374</v>
      </c>
      <c r="E25" s="76">
        <v>44130</v>
      </c>
      <c r="F25">
        <v>1</v>
      </c>
      <c r="H25" t="s">
        <v>8093</v>
      </c>
      <c r="I25" t="s">
        <v>8094</v>
      </c>
      <c r="J25" t="s">
        <v>8095</v>
      </c>
      <c r="K25">
        <v>3240</v>
      </c>
      <c r="L25">
        <v>360</v>
      </c>
      <c r="M25">
        <v>360</v>
      </c>
      <c r="O25" s="19">
        <f>SUM(M25:M29)*1.117</f>
        <v>194919.851</v>
      </c>
      <c r="P25" s="19">
        <f>'ETC sheet-Cat A'!U24</f>
        <v>82977.5</v>
      </c>
      <c r="Q25" s="19"/>
      <c r="R25" s="19">
        <f>O25-P25</f>
        <v>111942.351</v>
      </c>
      <c r="T25" s="129">
        <f>R25</f>
        <v>111942.351</v>
      </c>
    </row>
    <row r="26" spans="1:20" x14ac:dyDescent="0.3">
      <c r="C26">
        <v>59706</v>
      </c>
      <c r="D26">
        <v>391026</v>
      </c>
      <c r="E26" s="76">
        <v>44147</v>
      </c>
      <c r="F26">
        <v>1</v>
      </c>
      <c r="H26" t="s">
        <v>8096</v>
      </c>
      <c r="I26" t="s">
        <v>8094</v>
      </c>
      <c r="J26" t="s">
        <v>8097</v>
      </c>
      <c r="K26">
        <v>2436</v>
      </c>
      <c r="L26">
        <v>243</v>
      </c>
      <c r="M26">
        <v>243</v>
      </c>
      <c r="O26" s="19"/>
      <c r="P26" s="19"/>
      <c r="Q26" s="19"/>
      <c r="R26" s="19"/>
    </row>
    <row r="27" spans="1:20" x14ac:dyDescent="0.3">
      <c r="C27" s="45">
        <v>59730</v>
      </c>
      <c r="D27">
        <v>394400</v>
      </c>
      <c r="E27" s="76">
        <v>44232</v>
      </c>
      <c r="G27" s="69">
        <v>1</v>
      </c>
      <c r="H27" t="s">
        <v>8098</v>
      </c>
      <c r="I27" t="s">
        <v>8099</v>
      </c>
      <c r="J27" t="s">
        <v>8100</v>
      </c>
      <c r="K27">
        <v>30775</v>
      </c>
      <c r="L27" s="69">
        <v>30775</v>
      </c>
      <c r="N27" s="75" t="s">
        <v>8294</v>
      </c>
      <c r="O27" s="19"/>
      <c r="P27" s="19"/>
      <c r="Q27" s="19"/>
      <c r="R27" s="19"/>
    </row>
    <row r="28" spans="1:20" x14ac:dyDescent="0.3">
      <c r="C28" s="45">
        <v>59730</v>
      </c>
      <c r="D28">
        <v>401625</v>
      </c>
      <c r="E28" s="76">
        <v>44398</v>
      </c>
      <c r="F28">
        <v>1</v>
      </c>
      <c r="H28" t="s">
        <v>8101</v>
      </c>
      <c r="I28" t="s">
        <v>8094</v>
      </c>
      <c r="J28" t="s">
        <v>8102</v>
      </c>
      <c r="K28">
        <v>8000</v>
      </c>
      <c r="L28">
        <v>8000</v>
      </c>
      <c r="M28">
        <v>8000</v>
      </c>
      <c r="O28" s="19"/>
      <c r="P28" s="19"/>
      <c r="Q28" s="19"/>
      <c r="R28" s="19"/>
    </row>
    <row r="29" spans="1:20" x14ac:dyDescent="0.3">
      <c r="C29" s="45">
        <v>59730</v>
      </c>
      <c r="D29">
        <v>397664</v>
      </c>
      <c r="E29" s="76">
        <v>44334</v>
      </c>
      <c r="F29">
        <v>1</v>
      </c>
      <c r="H29" t="s">
        <v>8103</v>
      </c>
      <c r="I29" t="s">
        <v>8094</v>
      </c>
      <c r="J29" t="s">
        <v>8104</v>
      </c>
      <c r="K29">
        <v>165900</v>
      </c>
      <c r="L29">
        <v>165900</v>
      </c>
      <c r="M29">
        <v>165900</v>
      </c>
      <c r="O29" s="19"/>
      <c r="P29" s="19"/>
      <c r="Q29" s="19"/>
      <c r="R29" s="19"/>
    </row>
    <row r="30" spans="1:20" x14ac:dyDescent="0.3">
      <c r="O30" s="19"/>
      <c r="P30" s="19"/>
      <c r="Q30" s="19"/>
      <c r="R30" s="19"/>
    </row>
    <row r="31" spans="1:20" x14ac:dyDescent="0.3">
      <c r="O31" s="19"/>
      <c r="P31" s="19"/>
      <c r="Q31" s="19"/>
      <c r="R31" s="19"/>
    </row>
    <row r="32" spans="1:20" x14ac:dyDescent="0.3">
      <c r="A32" t="s">
        <v>8105</v>
      </c>
      <c r="B32" t="s">
        <v>8106</v>
      </c>
      <c r="C32">
        <v>59708</v>
      </c>
      <c r="D32">
        <v>393173</v>
      </c>
      <c r="E32" s="76">
        <v>44208</v>
      </c>
      <c r="F32">
        <v>1</v>
      </c>
      <c r="H32" t="s">
        <v>8107</v>
      </c>
      <c r="I32" t="s">
        <v>8108</v>
      </c>
      <c r="J32" t="s">
        <v>8109</v>
      </c>
      <c r="K32">
        <v>205</v>
      </c>
      <c r="L32">
        <v>28</v>
      </c>
      <c r="M32">
        <v>28</v>
      </c>
      <c r="O32" s="19">
        <f>SUM(M32:M33)*1.117</f>
        <v>311019.71399999998</v>
      </c>
      <c r="P32" s="19">
        <f>'ETC sheet-Cat A'!U36</f>
        <v>279529.13</v>
      </c>
      <c r="Q32" s="19"/>
      <c r="R32" s="19">
        <f>O32-P32</f>
        <v>31490.583999999973</v>
      </c>
      <c r="S32" s="129">
        <f>R32</f>
        <v>31490.583999999973</v>
      </c>
    </row>
    <row r="33" spans="1:20" x14ac:dyDescent="0.3">
      <c r="C33">
        <v>59708</v>
      </c>
      <c r="D33">
        <v>375848</v>
      </c>
      <c r="E33" s="76">
        <v>43803</v>
      </c>
      <c r="F33">
        <v>1</v>
      </c>
      <c r="H33" t="s">
        <v>8110</v>
      </c>
      <c r="I33" t="s">
        <v>8059</v>
      </c>
      <c r="J33" t="s">
        <v>8111</v>
      </c>
      <c r="K33">
        <v>1051513</v>
      </c>
      <c r="L33">
        <v>278414</v>
      </c>
      <c r="M33">
        <v>278414</v>
      </c>
      <c r="O33" s="19"/>
      <c r="P33" s="19"/>
      <c r="Q33" s="19"/>
      <c r="R33" s="19"/>
    </row>
    <row r="34" spans="1:20" x14ac:dyDescent="0.3">
      <c r="O34" s="19"/>
      <c r="P34" s="19"/>
      <c r="Q34" s="19"/>
      <c r="R34" s="19"/>
    </row>
    <row r="35" spans="1:20" x14ac:dyDescent="0.3">
      <c r="O35" s="19"/>
      <c r="P35" s="19"/>
      <c r="Q35" s="19"/>
      <c r="R35" s="19"/>
    </row>
    <row r="36" spans="1:20" x14ac:dyDescent="0.3">
      <c r="A36" t="s">
        <v>8112</v>
      </c>
      <c r="B36" t="s">
        <v>8113</v>
      </c>
      <c r="C36">
        <v>59709</v>
      </c>
      <c r="D36">
        <v>359249</v>
      </c>
      <c r="E36" s="76">
        <v>43500</v>
      </c>
      <c r="F36">
        <v>1</v>
      </c>
      <c r="H36" t="s">
        <v>8114</v>
      </c>
      <c r="I36" t="s">
        <v>8115</v>
      </c>
      <c r="J36" t="s">
        <v>8116</v>
      </c>
      <c r="K36">
        <v>215244</v>
      </c>
      <c r="L36">
        <v>45449</v>
      </c>
      <c r="M36">
        <v>45449</v>
      </c>
      <c r="O36" s="19">
        <f>SUM(M36:M40)*1.117</f>
        <v>260180.576</v>
      </c>
      <c r="P36" s="19">
        <f>'ETC sheet-Cat A'!U109</f>
        <v>57060.959999999992</v>
      </c>
      <c r="Q36" s="19"/>
      <c r="R36" s="19">
        <f>O36-P36</f>
        <v>203119.61600000001</v>
      </c>
      <c r="S36" s="129">
        <f>R36</f>
        <v>203119.61600000001</v>
      </c>
    </row>
    <row r="37" spans="1:20" x14ac:dyDescent="0.3">
      <c r="C37">
        <v>59709</v>
      </c>
      <c r="D37">
        <v>390162</v>
      </c>
      <c r="E37" s="76">
        <v>44134</v>
      </c>
      <c r="F37">
        <v>1</v>
      </c>
      <c r="H37" t="s">
        <v>8117</v>
      </c>
      <c r="I37" t="s">
        <v>8115</v>
      </c>
      <c r="J37" t="s">
        <v>8118</v>
      </c>
      <c r="K37">
        <v>61600</v>
      </c>
      <c r="L37">
        <v>30800</v>
      </c>
      <c r="M37">
        <v>30800</v>
      </c>
      <c r="O37" s="19"/>
      <c r="P37" s="19"/>
      <c r="Q37" s="19"/>
      <c r="R37" s="19"/>
    </row>
    <row r="38" spans="1:20" x14ac:dyDescent="0.3">
      <c r="C38">
        <v>59709</v>
      </c>
      <c r="D38">
        <v>394393</v>
      </c>
      <c r="E38" s="76">
        <v>44225</v>
      </c>
      <c r="G38" s="83">
        <v>1</v>
      </c>
      <c r="H38" t="s">
        <v>8119</v>
      </c>
      <c r="I38" t="s">
        <v>8120</v>
      </c>
      <c r="J38" t="s">
        <v>8083</v>
      </c>
      <c r="K38">
        <v>254</v>
      </c>
      <c r="L38">
        <v>254</v>
      </c>
      <c r="M38">
        <v>254</v>
      </c>
      <c r="O38" s="19"/>
      <c r="P38" s="19"/>
      <c r="Q38" s="19"/>
      <c r="R38" s="19"/>
    </row>
    <row r="39" spans="1:20" ht="43.2" x14ac:dyDescent="0.3">
      <c r="C39">
        <v>59709</v>
      </c>
      <c r="D39">
        <v>383091</v>
      </c>
      <c r="E39" s="76">
        <v>43973</v>
      </c>
      <c r="G39" s="68">
        <v>1</v>
      </c>
      <c r="H39" t="s">
        <v>8121</v>
      </c>
      <c r="I39" t="s">
        <v>8059</v>
      </c>
      <c r="J39" t="s">
        <v>8056</v>
      </c>
      <c r="K39">
        <v>271469</v>
      </c>
      <c r="L39" s="68">
        <v>65805</v>
      </c>
      <c r="M39">
        <v>65805</v>
      </c>
      <c r="N39" s="75" t="s">
        <v>8298</v>
      </c>
      <c r="O39" s="19"/>
      <c r="P39" s="19"/>
      <c r="Q39" s="19"/>
      <c r="R39" s="19"/>
    </row>
    <row r="40" spans="1:20" x14ac:dyDescent="0.3">
      <c r="C40" s="45">
        <v>59732</v>
      </c>
      <c r="D40">
        <v>383091</v>
      </c>
      <c r="E40" s="76">
        <v>44005</v>
      </c>
      <c r="F40">
        <v>1</v>
      </c>
      <c r="H40" t="s">
        <v>8323</v>
      </c>
      <c r="I40" t="s">
        <v>8059</v>
      </c>
      <c r="J40" t="s">
        <v>8056</v>
      </c>
      <c r="K40">
        <v>90620</v>
      </c>
      <c r="L40">
        <v>90620</v>
      </c>
      <c r="M40">
        <v>90620</v>
      </c>
      <c r="O40" s="19"/>
      <c r="P40" s="19"/>
      <c r="Q40" s="19"/>
      <c r="R40" s="19"/>
    </row>
    <row r="41" spans="1:20" x14ac:dyDescent="0.3">
      <c r="O41" s="19"/>
      <c r="P41" s="19"/>
      <c r="Q41" s="19"/>
      <c r="R41" s="19"/>
    </row>
    <row r="42" spans="1:20" x14ac:dyDescent="0.3">
      <c r="O42" s="19"/>
      <c r="P42" s="19"/>
      <c r="Q42" s="19"/>
      <c r="R42" s="19"/>
    </row>
    <row r="43" spans="1:20" ht="43.2" x14ac:dyDescent="0.3">
      <c r="A43" t="s">
        <v>8122</v>
      </c>
      <c r="B43" t="s">
        <v>8123</v>
      </c>
      <c r="C43">
        <v>59710</v>
      </c>
      <c r="D43">
        <v>389547</v>
      </c>
      <c r="E43" s="76">
        <v>44106</v>
      </c>
      <c r="G43" s="68">
        <v>1</v>
      </c>
      <c r="H43" t="s">
        <v>8124</v>
      </c>
      <c r="I43" t="s">
        <v>8059</v>
      </c>
      <c r="J43" t="s">
        <v>8125</v>
      </c>
      <c r="K43">
        <v>950000</v>
      </c>
      <c r="L43" s="68">
        <v>712500</v>
      </c>
      <c r="M43">
        <v>712500</v>
      </c>
      <c r="N43" s="75" t="s">
        <v>8298</v>
      </c>
      <c r="O43" s="19">
        <f>SUM(M43:M46)*1.117</f>
        <v>866927.15700000001</v>
      </c>
      <c r="P43" s="19">
        <f>'ETC sheet-Cat A'!U116</f>
        <v>794874</v>
      </c>
      <c r="Q43" s="19"/>
      <c r="R43" s="19">
        <f>O43-P43</f>
        <v>72053.157000000007</v>
      </c>
      <c r="T43" s="129">
        <f>R43</f>
        <v>72053.157000000007</v>
      </c>
    </row>
    <row r="44" spans="1:20" x14ac:dyDescent="0.3">
      <c r="C44">
        <v>59710</v>
      </c>
      <c r="D44">
        <v>392879</v>
      </c>
      <c r="E44" s="76">
        <v>44183</v>
      </c>
      <c r="G44" s="69">
        <v>1</v>
      </c>
      <c r="H44" t="s">
        <v>8126</v>
      </c>
      <c r="I44" t="s">
        <v>8059</v>
      </c>
      <c r="J44" t="s">
        <v>8127</v>
      </c>
      <c r="K44">
        <v>53431</v>
      </c>
      <c r="L44" s="69">
        <v>53431</v>
      </c>
      <c r="M44">
        <v>53431</v>
      </c>
      <c r="O44" s="19"/>
      <c r="P44" s="19"/>
      <c r="Q44" s="19"/>
      <c r="R44" s="19"/>
    </row>
    <row r="45" spans="1:20" x14ac:dyDescent="0.3">
      <c r="C45" s="45">
        <v>59733</v>
      </c>
      <c r="D45">
        <v>401972</v>
      </c>
      <c r="E45" s="76">
        <v>44390</v>
      </c>
      <c r="G45" s="69">
        <v>1</v>
      </c>
      <c r="H45" t="s">
        <v>8128</v>
      </c>
      <c r="I45" t="s">
        <v>8129</v>
      </c>
      <c r="J45" t="s">
        <v>8130</v>
      </c>
      <c r="K45">
        <v>3144</v>
      </c>
      <c r="L45" s="69">
        <v>3144</v>
      </c>
      <c r="M45">
        <v>3144</v>
      </c>
      <c r="O45" s="19"/>
      <c r="P45" s="19"/>
      <c r="Q45" s="19"/>
      <c r="R45" s="19"/>
    </row>
    <row r="46" spans="1:20" x14ac:dyDescent="0.3">
      <c r="C46" s="45">
        <v>59733</v>
      </c>
      <c r="D46">
        <v>402361</v>
      </c>
      <c r="E46" s="76">
        <v>44404</v>
      </c>
      <c r="F46">
        <v>1</v>
      </c>
      <c r="H46" t="s">
        <v>8316</v>
      </c>
      <c r="I46" t="s">
        <v>8129</v>
      </c>
      <c r="J46" t="s">
        <v>8131</v>
      </c>
      <c r="K46">
        <v>7046</v>
      </c>
      <c r="L46">
        <v>7046</v>
      </c>
      <c r="M46">
        <v>7046</v>
      </c>
      <c r="O46" s="19"/>
      <c r="P46" s="19"/>
      <c r="Q46" s="19"/>
      <c r="R46" s="19"/>
    </row>
    <row r="47" spans="1:20" x14ac:dyDescent="0.3">
      <c r="C47" s="45">
        <v>59733</v>
      </c>
      <c r="D47">
        <v>402364</v>
      </c>
      <c r="E47" s="76">
        <v>44398</v>
      </c>
      <c r="G47" s="69">
        <v>1</v>
      </c>
      <c r="H47" t="s">
        <v>8132</v>
      </c>
      <c r="I47" t="s">
        <v>8129</v>
      </c>
      <c r="J47" t="s">
        <v>8133</v>
      </c>
      <c r="K47">
        <v>1374</v>
      </c>
      <c r="L47" s="69">
        <v>1374</v>
      </c>
      <c r="N47" s="75" t="s">
        <v>8294</v>
      </c>
      <c r="O47" s="19"/>
      <c r="P47" s="19"/>
      <c r="Q47" s="19"/>
      <c r="R47" s="19"/>
    </row>
    <row r="48" spans="1:20" x14ac:dyDescent="0.3">
      <c r="O48" s="19"/>
      <c r="P48" s="19"/>
      <c r="Q48" s="19"/>
      <c r="R48" s="19"/>
    </row>
    <row r="49" spans="1:24" x14ac:dyDescent="0.3">
      <c r="O49" s="19"/>
      <c r="P49" s="19"/>
      <c r="Q49" s="19"/>
      <c r="R49" s="19"/>
    </row>
    <row r="50" spans="1:24" x14ac:dyDescent="0.3">
      <c r="A50" t="s">
        <v>8134</v>
      </c>
      <c r="B50" t="s">
        <v>8135</v>
      </c>
      <c r="C50">
        <v>59712</v>
      </c>
      <c r="D50">
        <v>368649</v>
      </c>
      <c r="E50" s="76">
        <v>43686</v>
      </c>
      <c r="F50">
        <v>1</v>
      </c>
      <c r="H50" t="s">
        <v>8315</v>
      </c>
      <c r="I50" t="s">
        <v>8059</v>
      </c>
      <c r="J50" t="s">
        <v>8136</v>
      </c>
      <c r="K50">
        <v>31982</v>
      </c>
      <c r="L50">
        <v>1573</v>
      </c>
      <c r="M50">
        <v>1573</v>
      </c>
      <c r="N50" s="75" t="s">
        <v>8320</v>
      </c>
      <c r="O50" s="19">
        <f>SUM(M50:M51)*1.117</f>
        <v>12650.025</v>
      </c>
      <c r="P50" s="19">
        <v>0</v>
      </c>
      <c r="Q50" s="19"/>
      <c r="R50" s="19">
        <v>0</v>
      </c>
    </row>
    <row r="51" spans="1:24" x14ac:dyDescent="0.3">
      <c r="C51">
        <v>59712</v>
      </c>
      <c r="D51">
        <v>361122</v>
      </c>
      <c r="E51" s="76">
        <v>43532</v>
      </c>
      <c r="F51">
        <v>1</v>
      </c>
      <c r="H51" t="s">
        <v>8137</v>
      </c>
      <c r="I51" t="s">
        <v>8059</v>
      </c>
      <c r="J51" t="s">
        <v>8136</v>
      </c>
      <c r="K51">
        <v>1488294</v>
      </c>
      <c r="L51">
        <v>9752</v>
      </c>
      <c r="M51">
        <v>9752</v>
      </c>
      <c r="N51" s="75" t="s">
        <v>8320</v>
      </c>
      <c r="O51" s="19"/>
      <c r="P51" s="19"/>
      <c r="Q51" s="19"/>
      <c r="R51" s="19"/>
    </row>
    <row r="52" spans="1:24" x14ac:dyDescent="0.3">
      <c r="O52" s="19"/>
      <c r="P52" s="19"/>
      <c r="Q52" s="19"/>
      <c r="R52" s="19"/>
    </row>
    <row r="53" spans="1:24" x14ac:dyDescent="0.3">
      <c r="O53" s="19"/>
      <c r="P53" s="19"/>
      <c r="Q53" s="19"/>
      <c r="R53" s="19"/>
    </row>
    <row r="54" spans="1:24" x14ac:dyDescent="0.3">
      <c r="A54" t="s">
        <v>8138</v>
      </c>
      <c r="B54" t="s">
        <v>8139</v>
      </c>
      <c r="C54">
        <v>59713</v>
      </c>
      <c r="D54">
        <v>381347</v>
      </c>
      <c r="E54" s="76">
        <v>43916</v>
      </c>
      <c r="F54">
        <v>1</v>
      </c>
      <c r="H54" t="s">
        <v>8140</v>
      </c>
      <c r="I54" t="s">
        <v>8059</v>
      </c>
      <c r="J54" t="s">
        <v>8125</v>
      </c>
      <c r="K54">
        <v>105517</v>
      </c>
      <c r="L54">
        <v>13380</v>
      </c>
      <c r="M54">
        <v>13380</v>
      </c>
      <c r="N54" s="75" t="s">
        <v>8320</v>
      </c>
      <c r="O54" s="19">
        <f>SUM(M54)*1.117</f>
        <v>14945.46</v>
      </c>
      <c r="P54" s="19">
        <v>0</v>
      </c>
      <c r="Q54" s="19"/>
      <c r="R54" s="19">
        <v>0</v>
      </c>
    </row>
    <row r="55" spans="1:24" x14ac:dyDescent="0.3">
      <c r="O55" s="19"/>
      <c r="P55" s="19"/>
      <c r="Q55" s="19"/>
      <c r="R55" s="19"/>
    </row>
    <row r="56" spans="1:24" x14ac:dyDescent="0.3">
      <c r="O56" s="19"/>
      <c r="P56" s="19"/>
      <c r="Q56" s="19"/>
      <c r="R56" s="19"/>
    </row>
    <row r="57" spans="1:24" x14ac:dyDescent="0.3">
      <c r="A57" t="s">
        <v>8141</v>
      </c>
      <c r="B57" t="s">
        <v>8327</v>
      </c>
      <c r="C57">
        <v>59715</v>
      </c>
      <c r="D57">
        <v>373822</v>
      </c>
      <c r="E57" s="76">
        <v>43755</v>
      </c>
      <c r="F57">
        <v>1</v>
      </c>
      <c r="H57" t="s">
        <v>8142</v>
      </c>
      <c r="I57" t="s">
        <v>8143</v>
      </c>
      <c r="J57" t="s">
        <v>8144</v>
      </c>
      <c r="K57">
        <v>52228</v>
      </c>
      <c r="L57">
        <v>1651</v>
      </c>
      <c r="M57">
        <v>1651</v>
      </c>
      <c r="N57" s="75" t="s">
        <v>8320</v>
      </c>
      <c r="O57" s="19">
        <f>(SUM(M57:M70)+L71)*1.117</f>
        <v>1255605.179</v>
      </c>
      <c r="P57" s="19">
        <f>'ETC sheet-Cat A'!U120</f>
        <v>1060465.1000000001</v>
      </c>
      <c r="Q57" s="19"/>
      <c r="R57" s="19">
        <f>O57-P57</f>
        <v>195140.07899999991</v>
      </c>
      <c r="T57" s="129">
        <f>R57</f>
        <v>195140.07899999991</v>
      </c>
    </row>
    <row r="58" spans="1:24" x14ac:dyDescent="0.3">
      <c r="C58">
        <v>59715</v>
      </c>
      <c r="D58">
        <v>375940</v>
      </c>
      <c r="E58" s="76">
        <v>43812</v>
      </c>
      <c r="F58">
        <v>1</v>
      </c>
      <c r="H58" t="s">
        <v>8145</v>
      </c>
      <c r="I58" t="s">
        <v>8143</v>
      </c>
      <c r="J58" t="s">
        <v>8144</v>
      </c>
      <c r="K58">
        <v>48577</v>
      </c>
      <c r="L58">
        <v>367</v>
      </c>
      <c r="M58">
        <v>367</v>
      </c>
      <c r="N58" s="75" t="s">
        <v>8320</v>
      </c>
      <c r="O58" s="19"/>
      <c r="P58" s="19"/>
      <c r="Q58" s="19"/>
      <c r="R58" s="19"/>
    </row>
    <row r="59" spans="1:24" ht="28.8" x14ac:dyDescent="0.3">
      <c r="C59">
        <v>59715</v>
      </c>
      <c r="D59">
        <v>379924</v>
      </c>
      <c r="E59" s="76">
        <v>43889</v>
      </c>
      <c r="F59">
        <v>1</v>
      </c>
      <c r="H59" t="s">
        <v>8146</v>
      </c>
      <c r="I59" t="s">
        <v>8069</v>
      </c>
      <c r="J59" t="s">
        <v>8147</v>
      </c>
      <c r="K59">
        <v>66950</v>
      </c>
      <c r="L59">
        <v>910</v>
      </c>
      <c r="N59" s="75" t="s">
        <v>8295</v>
      </c>
      <c r="O59" s="19"/>
      <c r="P59" s="19"/>
      <c r="Q59" s="19"/>
      <c r="R59" s="19"/>
      <c r="V59" s="119" t="s">
        <v>8019</v>
      </c>
      <c r="W59" s="120" t="s">
        <v>1521</v>
      </c>
      <c r="X59" s="89">
        <f>177356 * 0.928</f>
        <v>164586.36800000002</v>
      </c>
    </row>
    <row r="60" spans="1:24" x14ac:dyDescent="0.3">
      <c r="C60">
        <v>59715</v>
      </c>
      <c r="D60">
        <v>381490</v>
      </c>
      <c r="E60" s="76">
        <v>43933</v>
      </c>
      <c r="F60">
        <v>1</v>
      </c>
      <c r="H60" t="s">
        <v>8148</v>
      </c>
      <c r="I60" t="s">
        <v>8069</v>
      </c>
      <c r="J60" t="s">
        <v>8144</v>
      </c>
      <c r="K60">
        <v>149338</v>
      </c>
      <c r="L60">
        <v>7714</v>
      </c>
      <c r="M60">
        <v>7714</v>
      </c>
      <c r="O60" s="19"/>
      <c r="P60" s="19"/>
      <c r="Q60" s="19"/>
      <c r="R60" s="19"/>
      <c r="V60" s="121" t="s">
        <v>8020</v>
      </c>
      <c r="W60" s="122" t="s">
        <v>1455</v>
      </c>
      <c r="X60" s="90">
        <f>(87827-2666-68635) * 0.831</f>
        <v>13733.106</v>
      </c>
    </row>
    <row r="61" spans="1:24" x14ac:dyDescent="0.3">
      <c r="C61">
        <v>59715</v>
      </c>
      <c r="D61">
        <v>381567</v>
      </c>
      <c r="E61" s="76">
        <v>43921</v>
      </c>
      <c r="G61" s="82">
        <v>1</v>
      </c>
      <c r="H61" t="s">
        <v>8149</v>
      </c>
      <c r="I61" t="s">
        <v>8069</v>
      </c>
      <c r="J61" t="s">
        <v>8144</v>
      </c>
      <c r="K61">
        <v>475</v>
      </c>
      <c r="L61" s="82">
        <v>475</v>
      </c>
      <c r="N61" s="75" t="s">
        <v>8296</v>
      </c>
      <c r="O61" s="19"/>
      <c r="P61" s="19"/>
      <c r="Q61" s="19"/>
      <c r="R61" s="19"/>
      <c r="V61" s="121" t="s">
        <v>8015</v>
      </c>
      <c r="W61" s="122" t="s">
        <v>1547</v>
      </c>
      <c r="X61" s="90">
        <v>670160</v>
      </c>
    </row>
    <row r="62" spans="1:24" x14ac:dyDescent="0.3">
      <c r="C62">
        <v>59715</v>
      </c>
      <c r="D62">
        <v>382163</v>
      </c>
      <c r="E62" s="76">
        <v>43969</v>
      </c>
      <c r="F62">
        <v>1</v>
      </c>
      <c r="H62" t="s">
        <v>8150</v>
      </c>
      <c r="I62" t="s">
        <v>8143</v>
      </c>
      <c r="J62" t="s">
        <v>8151</v>
      </c>
      <c r="K62">
        <v>2930</v>
      </c>
      <c r="L62">
        <v>350</v>
      </c>
      <c r="M62">
        <v>350</v>
      </c>
      <c r="N62" s="75" t="s">
        <v>8320</v>
      </c>
      <c r="O62" s="19"/>
      <c r="P62" s="19"/>
      <c r="Q62" s="19"/>
      <c r="R62" s="19"/>
      <c r="V62" s="121" t="s">
        <v>8016</v>
      </c>
      <c r="W62" s="122" t="s">
        <v>1469</v>
      </c>
      <c r="X62" s="90">
        <v>128640</v>
      </c>
    </row>
    <row r="63" spans="1:24" x14ac:dyDescent="0.3">
      <c r="C63">
        <v>59715</v>
      </c>
      <c r="D63">
        <v>383368</v>
      </c>
      <c r="E63" s="76">
        <v>44049</v>
      </c>
      <c r="F63">
        <v>1</v>
      </c>
      <c r="H63" t="s">
        <v>8152</v>
      </c>
      <c r="I63" t="s">
        <v>8143</v>
      </c>
      <c r="J63" t="s">
        <v>8144</v>
      </c>
      <c r="K63">
        <v>900</v>
      </c>
      <c r="L63">
        <v>900</v>
      </c>
      <c r="M63">
        <v>900</v>
      </c>
      <c r="N63" s="75" t="s">
        <v>8320</v>
      </c>
      <c r="O63" s="19"/>
      <c r="P63" s="19"/>
      <c r="Q63" s="19"/>
      <c r="R63" s="19"/>
      <c r="V63" s="123" t="s">
        <v>8025</v>
      </c>
      <c r="W63" s="124" t="s">
        <v>8017</v>
      </c>
      <c r="X63" s="91">
        <v>1094121</v>
      </c>
    </row>
    <row r="64" spans="1:24" ht="28.8" x14ac:dyDescent="0.3">
      <c r="C64">
        <v>59715</v>
      </c>
      <c r="D64">
        <v>388253</v>
      </c>
      <c r="E64" s="76">
        <v>44083</v>
      </c>
      <c r="G64" s="82">
        <v>1</v>
      </c>
      <c r="H64" t="s">
        <v>8068</v>
      </c>
      <c r="I64" t="s">
        <v>8069</v>
      </c>
      <c r="J64" t="s">
        <v>8153</v>
      </c>
      <c r="K64">
        <v>10035</v>
      </c>
      <c r="L64" s="82">
        <v>10035</v>
      </c>
      <c r="N64" s="75" t="s">
        <v>8296</v>
      </c>
      <c r="O64" s="19"/>
      <c r="P64" s="19"/>
      <c r="Q64" s="19"/>
      <c r="R64" s="19"/>
      <c r="V64" s="125" t="s">
        <v>8039</v>
      </c>
      <c r="W64" s="126"/>
      <c r="X64" s="92">
        <f>X63-SUM(X59:X62)</f>
        <v>117001.52599999995</v>
      </c>
    </row>
    <row r="65" spans="1:24" ht="28.8" x14ac:dyDescent="0.3">
      <c r="C65">
        <v>59715</v>
      </c>
      <c r="D65">
        <v>399967</v>
      </c>
      <c r="E65" s="76">
        <v>44349</v>
      </c>
      <c r="F65">
        <v>1</v>
      </c>
      <c r="H65" t="s">
        <v>8290</v>
      </c>
      <c r="I65" t="s">
        <v>8143</v>
      </c>
      <c r="J65" t="s">
        <v>8154</v>
      </c>
      <c r="K65">
        <v>335</v>
      </c>
      <c r="L65">
        <v>335</v>
      </c>
      <c r="M65">
        <v>335</v>
      </c>
      <c r="N65" s="75" t="s">
        <v>8320</v>
      </c>
      <c r="O65" s="19"/>
      <c r="P65" s="19"/>
      <c r="Q65" s="19"/>
      <c r="R65" s="19"/>
      <c r="V65" s="127" t="s">
        <v>8319</v>
      </c>
      <c r="W65" s="128"/>
      <c r="X65" s="93">
        <f>X64*1.117</f>
        <v>130690.70454199995</v>
      </c>
    </row>
    <row r="66" spans="1:24" ht="28.8" x14ac:dyDescent="0.3">
      <c r="C66">
        <v>59715</v>
      </c>
      <c r="D66">
        <v>377727</v>
      </c>
      <c r="E66" s="76">
        <v>43875</v>
      </c>
      <c r="F66">
        <v>1</v>
      </c>
      <c r="H66" t="s">
        <v>8155</v>
      </c>
      <c r="I66" t="s">
        <v>8069</v>
      </c>
      <c r="J66" t="s">
        <v>8147</v>
      </c>
      <c r="K66">
        <v>46865</v>
      </c>
      <c r="L66">
        <v>29495</v>
      </c>
      <c r="N66" s="75" t="s">
        <v>8295</v>
      </c>
      <c r="O66" s="19"/>
      <c r="P66" s="19"/>
      <c r="Q66" s="19"/>
      <c r="R66" s="19"/>
    </row>
    <row r="67" spans="1:24" x14ac:dyDescent="0.3">
      <c r="C67">
        <v>59715</v>
      </c>
      <c r="D67">
        <v>383638</v>
      </c>
      <c r="E67" s="76">
        <v>44049</v>
      </c>
      <c r="F67">
        <v>1</v>
      </c>
      <c r="H67" t="s">
        <v>8152</v>
      </c>
      <c r="I67" t="s">
        <v>8143</v>
      </c>
      <c r="J67" t="s">
        <v>8144</v>
      </c>
      <c r="K67">
        <v>47475</v>
      </c>
      <c r="L67">
        <v>350</v>
      </c>
      <c r="M67">
        <v>350</v>
      </c>
      <c r="N67" s="75" t="s">
        <v>8320</v>
      </c>
      <c r="O67" s="19"/>
      <c r="P67" s="19"/>
      <c r="Q67" s="19"/>
      <c r="R67" s="19"/>
    </row>
    <row r="68" spans="1:24" x14ac:dyDescent="0.3">
      <c r="C68">
        <v>59715</v>
      </c>
      <c r="D68">
        <v>387212</v>
      </c>
      <c r="E68" s="76">
        <v>44069</v>
      </c>
      <c r="F68">
        <v>1</v>
      </c>
      <c r="H68" t="s">
        <v>8156</v>
      </c>
      <c r="I68" t="s">
        <v>8069</v>
      </c>
      <c r="J68" t="s">
        <v>8147</v>
      </c>
      <c r="K68">
        <v>241607</v>
      </c>
      <c r="L68">
        <v>1856</v>
      </c>
      <c r="M68">
        <v>1856</v>
      </c>
      <c r="N68" s="75" t="s">
        <v>8320</v>
      </c>
      <c r="O68" s="19"/>
      <c r="P68" s="19"/>
      <c r="Q68" s="19"/>
      <c r="R68" s="19"/>
    </row>
    <row r="69" spans="1:24" x14ac:dyDescent="0.3">
      <c r="C69" s="45">
        <v>59738</v>
      </c>
      <c r="D69">
        <v>401658</v>
      </c>
      <c r="E69" s="76">
        <v>44398</v>
      </c>
      <c r="F69">
        <v>1</v>
      </c>
      <c r="H69" t="s">
        <v>8157</v>
      </c>
      <c r="I69" t="s">
        <v>8069</v>
      </c>
      <c r="J69" t="s">
        <v>8158</v>
      </c>
      <c r="K69">
        <v>2176</v>
      </c>
      <c r="L69">
        <v>2176</v>
      </c>
      <c r="M69">
        <v>2176</v>
      </c>
      <c r="N69" s="75" t="s">
        <v>8320</v>
      </c>
      <c r="O69" s="19"/>
      <c r="P69" s="19"/>
      <c r="Q69" s="19"/>
      <c r="R69" s="19"/>
    </row>
    <row r="70" spans="1:24" x14ac:dyDescent="0.3">
      <c r="C70" s="45">
        <v>59738</v>
      </c>
      <c r="D70">
        <v>401868</v>
      </c>
      <c r="E70" s="76">
        <v>44398</v>
      </c>
      <c r="F70">
        <v>1</v>
      </c>
      <c r="H70" t="s">
        <v>8159</v>
      </c>
      <c r="I70" t="s">
        <v>8069</v>
      </c>
      <c r="J70" t="s">
        <v>8158</v>
      </c>
      <c r="K70">
        <v>23046</v>
      </c>
      <c r="L70">
        <v>23046</v>
      </c>
      <c r="M70">
        <v>23046</v>
      </c>
      <c r="O70" s="19"/>
      <c r="P70" s="19"/>
      <c r="Q70" s="19"/>
      <c r="R70" s="19"/>
    </row>
    <row r="71" spans="1:24" ht="28.8" x14ac:dyDescent="0.3">
      <c r="C71" s="45">
        <v>59738</v>
      </c>
      <c r="D71">
        <v>397235</v>
      </c>
      <c r="E71" s="76">
        <v>44287</v>
      </c>
      <c r="G71" s="69">
        <v>1</v>
      </c>
      <c r="H71" t="s">
        <v>8160</v>
      </c>
      <c r="I71" t="s">
        <v>8143</v>
      </c>
      <c r="J71" t="s">
        <v>8161</v>
      </c>
      <c r="K71">
        <v>1085342</v>
      </c>
      <c r="L71" s="69">
        <v>1085342</v>
      </c>
      <c r="N71" s="75" t="s">
        <v>8321</v>
      </c>
      <c r="O71" s="19"/>
      <c r="P71" s="19"/>
      <c r="Q71" s="19"/>
      <c r="R71" s="19"/>
    </row>
    <row r="72" spans="1:24" x14ac:dyDescent="0.3">
      <c r="O72" s="19"/>
      <c r="P72" s="19"/>
      <c r="Q72" s="19"/>
      <c r="R72" s="19"/>
    </row>
    <row r="73" spans="1:24" x14ac:dyDescent="0.3">
      <c r="O73" s="19"/>
      <c r="P73" s="19"/>
      <c r="Q73" s="19"/>
      <c r="R73" s="19"/>
    </row>
    <row r="74" spans="1:24" x14ac:dyDescent="0.3">
      <c r="A74" t="s">
        <v>8162</v>
      </c>
      <c r="B74" s="80" t="s">
        <v>8163</v>
      </c>
      <c r="C74">
        <v>59716</v>
      </c>
      <c r="D74">
        <v>388253</v>
      </c>
      <c r="E74" s="76">
        <v>44083</v>
      </c>
      <c r="G74" s="82">
        <v>1</v>
      </c>
      <c r="H74" t="s">
        <v>8068</v>
      </c>
      <c r="I74" t="s">
        <v>8069</v>
      </c>
      <c r="J74" t="s">
        <v>8153</v>
      </c>
      <c r="K74">
        <v>63337</v>
      </c>
      <c r="L74" s="82">
        <v>63337</v>
      </c>
      <c r="N74" s="75" t="s">
        <v>8296</v>
      </c>
      <c r="O74" s="19">
        <f>SUM(M75:M76)*1.117</f>
        <v>594592.50399999996</v>
      </c>
      <c r="P74" s="19">
        <f>'ETC sheet-Cat A'!U128</f>
        <v>652266.19999999995</v>
      </c>
      <c r="Q74" s="19"/>
      <c r="R74" s="19">
        <f>O74-P74</f>
        <v>-57673.695999999996</v>
      </c>
      <c r="T74" s="129">
        <f>R74</f>
        <v>-57673.695999999996</v>
      </c>
    </row>
    <row r="75" spans="1:24" ht="43.2" x14ac:dyDescent="0.3">
      <c r="C75">
        <v>59716</v>
      </c>
      <c r="D75">
        <v>382403</v>
      </c>
      <c r="E75" s="76">
        <v>43950</v>
      </c>
      <c r="G75" s="68">
        <v>1</v>
      </c>
      <c r="H75" t="s">
        <v>8164</v>
      </c>
      <c r="I75" t="s">
        <v>8069</v>
      </c>
      <c r="J75" t="s">
        <v>8165</v>
      </c>
      <c r="K75">
        <v>763438</v>
      </c>
      <c r="L75" s="68">
        <v>532305</v>
      </c>
      <c r="M75">
        <v>532305</v>
      </c>
      <c r="N75" s="75" t="s">
        <v>8298</v>
      </c>
      <c r="O75" s="19"/>
      <c r="P75" s="19"/>
      <c r="Q75" s="19"/>
      <c r="R75" s="19"/>
    </row>
    <row r="76" spans="1:24" x14ac:dyDescent="0.3">
      <c r="C76" s="45">
        <v>59739</v>
      </c>
      <c r="D76">
        <v>390055</v>
      </c>
      <c r="E76" s="76">
        <v>44155</v>
      </c>
      <c r="F76">
        <v>1</v>
      </c>
      <c r="H76" t="s">
        <v>8071</v>
      </c>
      <c r="I76" t="s">
        <v>8069</v>
      </c>
      <c r="J76" t="s">
        <v>8153</v>
      </c>
      <c r="K76">
        <v>70303</v>
      </c>
      <c r="L76">
        <v>7</v>
      </c>
      <c r="M76">
        <v>7</v>
      </c>
      <c r="N76" s="75" t="s">
        <v>8320</v>
      </c>
      <c r="O76" s="19"/>
      <c r="P76" s="19"/>
      <c r="Q76" s="19"/>
      <c r="R76" s="19"/>
    </row>
    <row r="77" spans="1:24" x14ac:dyDescent="0.3">
      <c r="O77" s="19"/>
      <c r="P77" s="19"/>
      <c r="Q77" s="19"/>
      <c r="R77" s="19"/>
    </row>
    <row r="78" spans="1:24" x14ac:dyDescent="0.3">
      <c r="O78" s="19"/>
      <c r="P78" s="19"/>
      <c r="Q78" s="19"/>
      <c r="R78" s="19"/>
    </row>
    <row r="79" spans="1:24" x14ac:dyDescent="0.3">
      <c r="A79" t="s">
        <v>8166</v>
      </c>
      <c r="B79" t="s">
        <v>8167</v>
      </c>
      <c r="C79">
        <v>59718</v>
      </c>
      <c r="D79">
        <v>380992</v>
      </c>
      <c r="E79" s="76">
        <v>43909</v>
      </c>
      <c r="F79">
        <v>1</v>
      </c>
      <c r="H79" t="s">
        <v>8168</v>
      </c>
      <c r="I79" t="s">
        <v>8090</v>
      </c>
      <c r="J79" t="s">
        <v>8169</v>
      </c>
      <c r="K79">
        <v>50500</v>
      </c>
      <c r="L79" s="82">
        <v>50500</v>
      </c>
      <c r="M79">
        <v>50500</v>
      </c>
      <c r="N79" s="75" t="s">
        <v>8385</v>
      </c>
      <c r="O79" s="19">
        <f>SUM(M80:M81)*1.117</f>
        <v>193987.15599999999</v>
      </c>
      <c r="P79" s="19">
        <f>'ETC sheet-Cat A'!U132</f>
        <v>166053.76000000001</v>
      </c>
      <c r="Q79" s="19"/>
      <c r="R79" s="19">
        <f>O79-P79</f>
        <v>27933.395999999979</v>
      </c>
      <c r="S79" s="129">
        <f>R79</f>
        <v>27933.395999999979</v>
      </c>
    </row>
    <row r="80" spans="1:24" x14ac:dyDescent="0.3">
      <c r="C80" s="45">
        <v>59740</v>
      </c>
      <c r="D80">
        <v>396224</v>
      </c>
      <c r="E80" s="76">
        <v>44326</v>
      </c>
      <c r="F80">
        <v>1</v>
      </c>
      <c r="H80" t="s">
        <v>8170</v>
      </c>
      <c r="I80" t="s">
        <v>8090</v>
      </c>
      <c r="J80" t="s">
        <v>8171</v>
      </c>
      <c r="K80">
        <v>2348</v>
      </c>
      <c r="L80">
        <v>968</v>
      </c>
      <c r="M80">
        <v>968</v>
      </c>
      <c r="O80" s="19"/>
      <c r="P80" s="19"/>
      <c r="Q80" s="19"/>
      <c r="R80" s="19"/>
    </row>
    <row r="81" spans="1:20" ht="43.2" x14ac:dyDescent="0.3">
      <c r="C81" s="45">
        <v>59740</v>
      </c>
      <c r="D81">
        <v>396224</v>
      </c>
      <c r="E81" s="76">
        <v>44264</v>
      </c>
      <c r="G81" s="68">
        <v>1</v>
      </c>
      <c r="H81" t="s">
        <v>8170</v>
      </c>
      <c r="I81" t="s">
        <v>8090</v>
      </c>
      <c r="J81" t="s">
        <v>8171</v>
      </c>
      <c r="K81">
        <v>226012</v>
      </c>
      <c r="L81" s="68">
        <v>172700</v>
      </c>
      <c r="M81">
        <v>172700</v>
      </c>
      <c r="N81" s="75" t="s">
        <v>8298</v>
      </c>
      <c r="O81" s="19"/>
      <c r="P81" s="19"/>
      <c r="Q81" s="19"/>
      <c r="R81" s="19"/>
    </row>
    <row r="82" spans="1:20" x14ac:dyDescent="0.3">
      <c r="O82" s="19"/>
      <c r="P82" s="19"/>
      <c r="Q82" s="19"/>
      <c r="R82" s="19"/>
    </row>
    <row r="83" spans="1:20" x14ac:dyDescent="0.3">
      <c r="O83" s="19"/>
      <c r="P83" s="19"/>
      <c r="Q83" s="19"/>
      <c r="R83" s="19"/>
    </row>
    <row r="84" spans="1:20" ht="28.8" x14ac:dyDescent="0.3">
      <c r="A84" t="s">
        <v>8172</v>
      </c>
      <c r="B84" t="s">
        <v>8173</v>
      </c>
      <c r="C84" s="45">
        <v>59741</v>
      </c>
      <c r="D84">
        <v>396499</v>
      </c>
      <c r="E84" s="76">
        <v>44270</v>
      </c>
      <c r="G84" s="69">
        <v>1</v>
      </c>
      <c r="H84" t="s">
        <v>8174</v>
      </c>
      <c r="I84" t="s">
        <v>8059</v>
      </c>
      <c r="J84" t="s">
        <v>8165</v>
      </c>
      <c r="K84">
        <v>230923</v>
      </c>
      <c r="L84" s="69">
        <v>230923</v>
      </c>
      <c r="N84" s="75" t="s">
        <v>8322</v>
      </c>
      <c r="O84" s="19">
        <f>L84*1.117</f>
        <v>257940.99100000001</v>
      </c>
      <c r="P84" s="19">
        <f>'ETC sheet-Cat A'!U137</f>
        <v>205441</v>
      </c>
      <c r="Q84" s="19"/>
      <c r="R84" s="19">
        <f>O84-P84</f>
        <v>52499.991000000009</v>
      </c>
      <c r="T84" s="129">
        <f>R84</f>
        <v>52499.991000000009</v>
      </c>
    </row>
    <row r="85" spans="1:20" x14ac:dyDescent="0.3">
      <c r="O85" s="19"/>
      <c r="P85" s="19"/>
      <c r="Q85" s="19"/>
      <c r="R85" s="19"/>
    </row>
    <row r="86" spans="1:20" x14ac:dyDescent="0.3">
      <c r="O86" s="19"/>
      <c r="P86" s="19"/>
      <c r="Q86" s="19"/>
      <c r="R86" s="19"/>
    </row>
    <row r="87" spans="1:20" ht="43.2" x14ac:dyDescent="0.3">
      <c r="A87" t="s">
        <v>8175</v>
      </c>
      <c r="B87" t="s">
        <v>8176</v>
      </c>
      <c r="C87">
        <v>59721</v>
      </c>
      <c r="D87">
        <v>395293</v>
      </c>
      <c r="E87" s="76">
        <v>44244</v>
      </c>
      <c r="G87" s="68">
        <v>1</v>
      </c>
      <c r="H87" t="s">
        <v>8177</v>
      </c>
      <c r="I87" t="s">
        <v>8179</v>
      </c>
      <c r="J87" t="s">
        <v>8151</v>
      </c>
      <c r="K87">
        <v>1620</v>
      </c>
      <c r="L87" s="68">
        <v>840</v>
      </c>
      <c r="M87">
        <v>840</v>
      </c>
      <c r="N87" s="75" t="s">
        <v>8298</v>
      </c>
      <c r="O87" s="19">
        <f>SUM(M87:M89)*1.117</f>
        <v>3898.33</v>
      </c>
      <c r="P87" s="19">
        <f>'ETC sheet-Cat A'!U141</f>
        <v>32673</v>
      </c>
      <c r="Q87" s="19"/>
      <c r="R87" s="19">
        <v>0</v>
      </c>
    </row>
    <row r="88" spans="1:20" ht="28.8" x14ac:dyDescent="0.3">
      <c r="C88" s="45">
        <v>59742</v>
      </c>
      <c r="D88">
        <v>399802</v>
      </c>
      <c r="E88" s="76">
        <v>44397</v>
      </c>
      <c r="F88">
        <v>1</v>
      </c>
      <c r="H88" t="s">
        <v>8178</v>
      </c>
      <c r="I88" t="s">
        <v>8179</v>
      </c>
      <c r="J88" t="s">
        <v>8151</v>
      </c>
      <c r="K88">
        <v>4470</v>
      </c>
      <c r="L88">
        <v>4470</v>
      </c>
      <c r="N88" s="75" t="s">
        <v>8297</v>
      </c>
      <c r="O88" s="19"/>
      <c r="P88" s="19"/>
      <c r="Q88" s="19"/>
      <c r="R88" s="19"/>
    </row>
    <row r="89" spans="1:20" x14ac:dyDescent="0.3">
      <c r="C89" s="45">
        <v>59742</v>
      </c>
      <c r="D89">
        <v>387551</v>
      </c>
      <c r="E89" s="76">
        <v>44270</v>
      </c>
      <c r="F89">
        <v>1</v>
      </c>
      <c r="H89" t="s">
        <v>8180</v>
      </c>
      <c r="I89" t="s">
        <v>8181</v>
      </c>
      <c r="J89" t="s">
        <v>8182</v>
      </c>
      <c r="K89">
        <v>2650</v>
      </c>
      <c r="L89">
        <v>2650</v>
      </c>
      <c r="M89">
        <v>2650</v>
      </c>
      <c r="O89" s="19"/>
      <c r="P89" s="19"/>
      <c r="Q89" s="19"/>
      <c r="R89" s="19"/>
    </row>
    <row r="90" spans="1:20" x14ac:dyDescent="0.3">
      <c r="O90" s="19"/>
      <c r="P90" s="19"/>
      <c r="Q90" s="19"/>
      <c r="R90" s="19"/>
    </row>
    <row r="91" spans="1:20" x14ac:dyDescent="0.3">
      <c r="O91" s="19"/>
      <c r="P91" s="19"/>
      <c r="Q91" s="19"/>
      <c r="R91" s="19"/>
    </row>
    <row r="92" spans="1:20" x14ac:dyDescent="0.3">
      <c r="A92">
        <v>1.7</v>
      </c>
      <c r="B92" t="s">
        <v>8183</v>
      </c>
      <c r="C92">
        <v>59722</v>
      </c>
      <c r="D92">
        <v>388253</v>
      </c>
      <c r="E92" s="76">
        <v>44083</v>
      </c>
      <c r="G92" s="82">
        <v>1</v>
      </c>
      <c r="H92" t="s">
        <v>8068</v>
      </c>
      <c r="I92" t="s">
        <v>8069</v>
      </c>
      <c r="J92" t="s">
        <v>8153</v>
      </c>
      <c r="K92">
        <v>3570</v>
      </c>
      <c r="L92" s="82">
        <v>3570</v>
      </c>
      <c r="N92" s="75" t="s">
        <v>8296</v>
      </c>
      <c r="O92" s="19">
        <f>(M93+L94)*1.117</f>
        <v>91411.929000000004</v>
      </c>
      <c r="P92" s="19">
        <f>'ETC sheet-Cat A'!U145</f>
        <v>71022</v>
      </c>
      <c r="Q92" s="19"/>
      <c r="R92" s="19">
        <f>O92-P92</f>
        <v>20389.929000000004</v>
      </c>
      <c r="T92" s="129">
        <f>R92</f>
        <v>20389.929000000004</v>
      </c>
    </row>
    <row r="93" spans="1:20" x14ac:dyDescent="0.3">
      <c r="C93">
        <v>59722</v>
      </c>
      <c r="D93">
        <v>382403</v>
      </c>
      <c r="E93" s="76">
        <v>43978</v>
      </c>
      <c r="F93">
        <v>1</v>
      </c>
      <c r="H93" t="s">
        <v>8184</v>
      </c>
      <c r="I93" t="s">
        <v>8069</v>
      </c>
      <c r="J93" t="s">
        <v>8165</v>
      </c>
      <c r="K93">
        <v>16129</v>
      </c>
      <c r="L93">
        <v>12860</v>
      </c>
      <c r="M93">
        <v>12860</v>
      </c>
      <c r="O93" s="19"/>
      <c r="P93" s="19"/>
      <c r="Q93" s="19"/>
      <c r="R93" s="19"/>
    </row>
    <row r="94" spans="1:20" ht="28.8" x14ac:dyDescent="0.3">
      <c r="C94" s="45">
        <v>59743</v>
      </c>
      <c r="D94">
        <v>396499</v>
      </c>
      <c r="E94" s="76">
        <v>44270</v>
      </c>
      <c r="G94" s="69">
        <v>1</v>
      </c>
      <c r="H94" t="s">
        <v>8185</v>
      </c>
      <c r="I94" t="s">
        <v>8059</v>
      </c>
      <c r="J94" t="s">
        <v>8165</v>
      </c>
      <c r="K94">
        <v>68977</v>
      </c>
      <c r="L94" s="69">
        <v>68977</v>
      </c>
      <c r="N94" s="75" t="s">
        <v>8322</v>
      </c>
      <c r="O94" s="19"/>
      <c r="P94" s="19"/>
      <c r="Q94" s="19"/>
      <c r="R94" s="19"/>
    </row>
    <row r="95" spans="1:20" x14ac:dyDescent="0.3">
      <c r="S95" s="48">
        <f>SUM(S2:S92)</f>
        <v>551701.6889999999</v>
      </c>
      <c r="T95" s="48">
        <f>SUM(T2:T92)</f>
        <v>317407.99399999995</v>
      </c>
    </row>
    <row r="96" spans="1:20" x14ac:dyDescent="0.3">
      <c r="P96" s="45" t="s">
        <v>8324</v>
      </c>
      <c r="Q96" s="45"/>
      <c r="R96" s="48">
        <f>SUM(R2:R92)</f>
        <v>869109.68299999984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64"/>
  <sheetViews>
    <sheetView workbookViewId="0">
      <pane xSplit="8" ySplit="1" topLeftCell="L46" activePane="bottomRight" state="frozen"/>
      <selection pane="topRight" activeCell="I1" sqref="I1"/>
      <selection pane="bottomLeft" activeCell="A2" sqref="A2"/>
      <selection pane="bottomRight" activeCell="O60" sqref="O60"/>
    </sheetView>
  </sheetViews>
  <sheetFormatPr defaultRowHeight="14.4" x14ac:dyDescent="0.3"/>
  <cols>
    <col min="1" max="1" width="11.77734375" customWidth="1"/>
    <col min="2" max="2" width="15.33203125" customWidth="1"/>
    <col min="4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customWidth="1"/>
    <col min="15" max="15" width="11.33203125" style="19" customWidth="1"/>
    <col min="16" max="16" width="10.6640625" style="19" customWidth="1"/>
    <col min="17" max="17" width="16.6640625" customWidth="1"/>
    <col min="18" max="18" width="13.44140625" customWidth="1"/>
    <col min="19" max="20" width="12.77734375" customWidth="1"/>
  </cols>
  <sheetData>
    <row r="1" spans="1:20" ht="115.2" x14ac:dyDescent="0.3">
      <c r="A1" s="45" t="s">
        <v>8040</v>
      </c>
      <c r="B1" s="45" t="s">
        <v>8041</v>
      </c>
      <c r="C1" s="45" t="s">
        <v>8042</v>
      </c>
      <c r="D1" s="45" t="s">
        <v>8043</v>
      </c>
      <c r="E1" s="45" t="s">
        <v>8052</v>
      </c>
      <c r="F1" s="45" t="s">
        <v>8044</v>
      </c>
      <c r="G1" s="45" t="s">
        <v>8045</v>
      </c>
      <c r="H1" s="45" t="s">
        <v>8046</v>
      </c>
      <c r="I1" s="45" t="s">
        <v>8057</v>
      </c>
      <c r="J1" s="45" t="s">
        <v>8054</v>
      </c>
      <c r="K1" s="45" t="s">
        <v>8047</v>
      </c>
      <c r="L1" s="81" t="s">
        <v>8048</v>
      </c>
      <c r="M1" s="81" t="s">
        <v>8289</v>
      </c>
      <c r="N1" s="45" t="s">
        <v>8291</v>
      </c>
      <c r="O1" s="107" t="s">
        <v>8336</v>
      </c>
      <c r="P1" s="111" t="s">
        <v>8312</v>
      </c>
      <c r="Q1" s="86" t="s">
        <v>8313</v>
      </c>
      <c r="R1" s="106" t="s">
        <v>8314</v>
      </c>
      <c r="S1" s="81" t="s">
        <v>8380</v>
      </c>
      <c r="T1" s="81" t="s">
        <v>8381</v>
      </c>
    </row>
    <row r="2" spans="1:20" x14ac:dyDescent="0.3">
      <c r="A2" t="s">
        <v>8187</v>
      </c>
      <c r="B2" t="s">
        <v>8188</v>
      </c>
      <c r="C2">
        <v>16718</v>
      </c>
      <c r="D2">
        <v>384315</v>
      </c>
      <c r="E2" s="76">
        <v>44012</v>
      </c>
      <c r="G2" s="68">
        <v>1</v>
      </c>
      <c r="H2" t="s">
        <v>8189</v>
      </c>
      <c r="I2" t="s">
        <v>8190</v>
      </c>
      <c r="J2" t="s">
        <v>8191</v>
      </c>
      <c r="K2">
        <v>250000</v>
      </c>
      <c r="L2" s="68">
        <v>109704</v>
      </c>
      <c r="M2">
        <v>109704</v>
      </c>
      <c r="O2" s="19">
        <f>SUM(M2:M8)*1.117</f>
        <v>1014345.466</v>
      </c>
      <c r="P2" s="19">
        <f>'ETC sheet-Cat C'!AA52 + 'ETC sheet-Cat C'!AA91+'ETC sheet-Cat C'!AA111+'ETC sheet-Cat C'!AA138</f>
        <v>912131</v>
      </c>
      <c r="R2" s="19">
        <f>O2-P2</f>
        <v>102214.46600000001</v>
      </c>
      <c r="S2" s="19">
        <f>R2</f>
        <v>102214.46600000001</v>
      </c>
    </row>
    <row r="3" spans="1:20" x14ac:dyDescent="0.3">
      <c r="C3">
        <v>16718</v>
      </c>
      <c r="D3">
        <v>394849</v>
      </c>
      <c r="E3" s="76">
        <v>44274</v>
      </c>
      <c r="F3">
        <v>1</v>
      </c>
      <c r="H3" t="s">
        <v>8192</v>
      </c>
      <c r="I3" t="s">
        <v>8193</v>
      </c>
      <c r="J3" t="s">
        <v>8194</v>
      </c>
      <c r="K3">
        <v>2994</v>
      </c>
      <c r="L3">
        <v>2700</v>
      </c>
      <c r="M3">
        <v>2700</v>
      </c>
      <c r="Q3" t="s">
        <v>8375</v>
      </c>
    </row>
    <row r="4" spans="1:20" x14ac:dyDescent="0.3">
      <c r="C4">
        <v>16718</v>
      </c>
      <c r="D4">
        <v>397079</v>
      </c>
      <c r="E4" s="76">
        <v>44321</v>
      </c>
      <c r="F4">
        <v>1</v>
      </c>
      <c r="H4" t="s">
        <v>8195</v>
      </c>
      <c r="I4" t="s">
        <v>8196</v>
      </c>
      <c r="J4" t="s">
        <v>8197</v>
      </c>
      <c r="K4">
        <v>25747</v>
      </c>
      <c r="L4">
        <v>11045</v>
      </c>
      <c r="M4">
        <v>11045</v>
      </c>
      <c r="Q4" t="s">
        <v>8374</v>
      </c>
    </row>
    <row r="5" spans="1:20" x14ac:dyDescent="0.3">
      <c r="C5">
        <v>16718</v>
      </c>
      <c r="D5">
        <v>397827</v>
      </c>
      <c r="E5" s="76">
        <v>44350</v>
      </c>
      <c r="F5">
        <v>1</v>
      </c>
      <c r="H5" t="s">
        <v>8198</v>
      </c>
      <c r="I5" t="s">
        <v>8196</v>
      </c>
      <c r="J5" t="s">
        <v>8199</v>
      </c>
      <c r="K5">
        <v>31150</v>
      </c>
      <c r="L5">
        <v>31150</v>
      </c>
      <c r="M5">
        <v>31150</v>
      </c>
      <c r="Q5" t="s">
        <v>8373</v>
      </c>
    </row>
    <row r="6" spans="1:20" x14ac:dyDescent="0.3">
      <c r="C6">
        <v>16718</v>
      </c>
      <c r="D6">
        <v>400755</v>
      </c>
      <c r="E6" s="76">
        <v>44362</v>
      </c>
      <c r="G6">
        <v>1</v>
      </c>
      <c r="H6" t="s">
        <v>8200</v>
      </c>
      <c r="I6" t="s">
        <v>8196</v>
      </c>
      <c r="J6" t="s">
        <v>8201</v>
      </c>
      <c r="K6">
        <v>418</v>
      </c>
      <c r="L6">
        <v>440</v>
      </c>
      <c r="M6">
        <v>440</v>
      </c>
    </row>
    <row r="7" spans="1:20" x14ac:dyDescent="0.3">
      <c r="C7">
        <v>16718</v>
      </c>
      <c r="D7">
        <v>402358</v>
      </c>
      <c r="E7" s="76">
        <v>44399</v>
      </c>
      <c r="F7">
        <v>1</v>
      </c>
      <c r="H7" t="s">
        <v>8202</v>
      </c>
      <c r="I7" t="s">
        <v>8196</v>
      </c>
      <c r="J7" t="s">
        <v>8203</v>
      </c>
      <c r="K7">
        <v>1542</v>
      </c>
      <c r="L7">
        <v>1542</v>
      </c>
      <c r="M7">
        <v>1542</v>
      </c>
    </row>
    <row r="8" spans="1:20" x14ac:dyDescent="0.3">
      <c r="C8">
        <v>16718</v>
      </c>
      <c r="D8">
        <v>362765</v>
      </c>
      <c r="E8" s="76">
        <v>43613</v>
      </c>
      <c r="F8">
        <v>1</v>
      </c>
      <c r="H8" t="s">
        <v>8204</v>
      </c>
      <c r="I8" t="s">
        <v>8205</v>
      </c>
      <c r="J8" t="s">
        <v>8191</v>
      </c>
      <c r="K8">
        <v>1565660</v>
      </c>
      <c r="L8">
        <v>751517</v>
      </c>
      <c r="M8">
        <v>751517</v>
      </c>
    </row>
    <row r="11" spans="1:20" x14ac:dyDescent="0.3">
      <c r="A11" t="s">
        <v>8206</v>
      </c>
      <c r="B11" t="s">
        <v>8207</v>
      </c>
      <c r="C11">
        <v>16719</v>
      </c>
      <c r="D11">
        <v>400512</v>
      </c>
      <c r="E11" s="76">
        <v>44370</v>
      </c>
      <c r="F11">
        <v>1</v>
      </c>
      <c r="H11" t="s">
        <v>8208</v>
      </c>
      <c r="I11" t="s">
        <v>8209</v>
      </c>
      <c r="J11" t="s">
        <v>8210</v>
      </c>
      <c r="K11">
        <v>2037</v>
      </c>
      <c r="L11">
        <v>2037</v>
      </c>
      <c r="M11">
        <v>2037</v>
      </c>
      <c r="O11" s="19">
        <f>SUM(M11)*1.117</f>
        <v>2275.3290000000002</v>
      </c>
      <c r="P11" s="19">
        <f>'ETC sheet-Cat C'!AA171</f>
        <v>0</v>
      </c>
      <c r="R11" s="19">
        <f>O11-P11</f>
        <v>2275.3290000000002</v>
      </c>
      <c r="T11" s="19">
        <f>R11</f>
        <v>2275.3290000000002</v>
      </c>
    </row>
    <row r="14" spans="1:20" x14ac:dyDescent="0.3">
      <c r="A14" t="s">
        <v>8211</v>
      </c>
      <c r="B14" t="s">
        <v>8212</v>
      </c>
      <c r="C14">
        <v>16722</v>
      </c>
      <c r="D14">
        <v>396639</v>
      </c>
      <c r="E14" s="76">
        <v>44307</v>
      </c>
      <c r="F14">
        <v>1</v>
      </c>
      <c r="H14" t="s">
        <v>8213</v>
      </c>
      <c r="I14" t="s">
        <v>8214</v>
      </c>
      <c r="J14" t="s">
        <v>8310</v>
      </c>
      <c r="K14">
        <v>11878</v>
      </c>
      <c r="L14">
        <v>11878</v>
      </c>
      <c r="M14">
        <v>11878</v>
      </c>
      <c r="O14" s="19">
        <f>SUM(M14)*1.117</f>
        <v>13267.726000000001</v>
      </c>
      <c r="P14" s="19">
        <v>0</v>
      </c>
      <c r="R14" s="19">
        <f>O14-P14</f>
        <v>13267.726000000001</v>
      </c>
      <c r="T14" s="19">
        <f>R14</f>
        <v>13267.726000000001</v>
      </c>
    </row>
    <row r="17" spans="1:20" ht="28.8" x14ac:dyDescent="0.3">
      <c r="A17" t="s">
        <v>8215</v>
      </c>
      <c r="B17" s="75" t="s">
        <v>8216</v>
      </c>
      <c r="C17">
        <v>16723</v>
      </c>
      <c r="D17">
        <v>372464</v>
      </c>
      <c r="E17" s="76">
        <v>43735</v>
      </c>
      <c r="F17">
        <v>1</v>
      </c>
      <c r="H17" t="s">
        <v>8217</v>
      </c>
      <c r="I17" t="s">
        <v>8059</v>
      </c>
      <c r="J17" t="s">
        <v>8218</v>
      </c>
      <c r="K17">
        <v>55257</v>
      </c>
      <c r="L17">
        <v>4599</v>
      </c>
      <c r="M17">
        <v>4599</v>
      </c>
      <c r="N17" t="s">
        <v>8301</v>
      </c>
      <c r="O17" s="19">
        <f>SUM(M17:M23)*1.117</f>
        <v>127313.42599999999</v>
      </c>
      <c r="P17" s="19">
        <f>'ETC sheet-Cat C'!AA363</f>
        <v>0</v>
      </c>
      <c r="Q17" t="s">
        <v>8368</v>
      </c>
      <c r="R17" s="19">
        <f>O17-P17</f>
        <v>127313.42599999999</v>
      </c>
      <c r="T17" s="19">
        <f>R17</f>
        <v>127313.42599999999</v>
      </c>
    </row>
    <row r="18" spans="1:20" x14ac:dyDescent="0.3">
      <c r="C18">
        <v>16723</v>
      </c>
      <c r="D18">
        <v>389021</v>
      </c>
      <c r="E18" s="76">
        <v>44110</v>
      </c>
      <c r="F18">
        <v>1</v>
      </c>
      <c r="H18" t="s">
        <v>8219</v>
      </c>
      <c r="I18" t="s">
        <v>8220</v>
      </c>
      <c r="J18" t="s">
        <v>8221</v>
      </c>
      <c r="K18">
        <v>102415</v>
      </c>
      <c r="L18">
        <v>28392</v>
      </c>
      <c r="M18">
        <v>28392</v>
      </c>
      <c r="N18" t="s">
        <v>8302</v>
      </c>
      <c r="Q18" t="s">
        <v>8369</v>
      </c>
    </row>
    <row r="19" spans="1:20" x14ac:dyDescent="0.3">
      <c r="C19">
        <v>16723</v>
      </c>
      <c r="D19">
        <v>389300</v>
      </c>
      <c r="E19" s="76">
        <v>44110</v>
      </c>
      <c r="F19">
        <v>1</v>
      </c>
      <c r="H19" t="s">
        <v>8222</v>
      </c>
      <c r="I19" t="s">
        <v>8220</v>
      </c>
      <c r="J19" t="s">
        <v>8223</v>
      </c>
      <c r="K19">
        <v>97783</v>
      </c>
      <c r="L19">
        <v>26107</v>
      </c>
      <c r="M19">
        <v>26107</v>
      </c>
      <c r="N19" t="s">
        <v>8303</v>
      </c>
      <c r="Q19" t="s">
        <v>8370</v>
      </c>
    </row>
    <row r="20" spans="1:20" x14ac:dyDescent="0.3">
      <c r="C20">
        <v>16723</v>
      </c>
      <c r="D20">
        <v>398619</v>
      </c>
      <c r="E20" s="76">
        <v>44323</v>
      </c>
      <c r="F20">
        <v>1</v>
      </c>
      <c r="H20" t="s">
        <v>8224</v>
      </c>
      <c r="I20" t="s">
        <v>8225</v>
      </c>
      <c r="J20" t="s">
        <v>8226</v>
      </c>
      <c r="K20">
        <v>5000</v>
      </c>
      <c r="L20">
        <v>5000</v>
      </c>
      <c r="M20">
        <v>5000</v>
      </c>
      <c r="N20" t="s">
        <v>8304</v>
      </c>
    </row>
    <row r="21" spans="1:20" x14ac:dyDescent="0.3">
      <c r="C21">
        <v>16723</v>
      </c>
      <c r="D21">
        <v>401708</v>
      </c>
      <c r="E21" s="76">
        <v>44397</v>
      </c>
      <c r="F21">
        <v>1</v>
      </c>
      <c r="H21" t="s">
        <v>8227</v>
      </c>
      <c r="I21" t="s">
        <v>8225</v>
      </c>
      <c r="J21" t="s">
        <v>8228</v>
      </c>
      <c r="K21">
        <v>2693</v>
      </c>
      <c r="L21">
        <v>2693</v>
      </c>
      <c r="M21">
        <v>2693</v>
      </c>
      <c r="N21" t="s">
        <v>8305</v>
      </c>
    </row>
    <row r="22" spans="1:20" x14ac:dyDescent="0.3">
      <c r="C22">
        <v>16723</v>
      </c>
      <c r="D22">
        <v>401731</v>
      </c>
      <c r="E22" s="76">
        <v>44384</v>
      </c>
      <c r="G22">
        <v>1</v>
      </c>
      <c r="H22" t="s">
        <v>8229</v>
      </c>
      <c r="I22" t="s">
        <v>8225</v>
      </c>
      <c r="J22" t="s">
        <v>8226</v>
      </c>
      <c r="K22">
        <v>24687</v>
      </c>
      <c r="L22">
        <v>24687</v>
      </c>
      <c r="M22">
        <v>24687</v>
      </c>
      <c r="N22" t="s">
        <v>8306</v>
      </c>
      <c r="Q22" t="s">
        <v>8371</v>
      </c>
    </row>
    <row r="23" spans="1:20" x14ac:dyDescent="0.3">
      <c r="C23">
        <v>16723</v>
      </c>
      <c r="D23">
        <v>398624</v>
      </c>
      <c r="E23" s="76">
        <v>44323</v>
      </c>
      <c r="F23">
        <v>1</v>
      </c>
      <c r="H23" t="s">
        <v>8230</v>
      </c>
      <c r="I23" t="s">
        <v>8225</v>
      </c>
      <c r="J23" t="s">
        <v>8226</v>
      </c>
      <c r="K23">
        <v>22500</v>
      </c>
      <c r="L23">
        <v>22500</v>
      </c>
      <c r="M23">
        <v>22500</v>
      </c>
      <c r="N23" t="s">
        <v>8307</v>
      </c>
      <c r="Q23" t="s">
        <v>8372</v>
      </c>
    </row>
    <row r="24" spans="1:20" x14ac:dyDescent="0.3">
      <c r="N24" t="s">
        <v>8308</v>
      </c>
    </row>
    <row r="25" spans="1:20" x14ac:dyDescent="0.3">
      <c r="N25" t="s">
        <v>8309</v>
      </c>
    </row>
    <row r="26" spans="1:20" ht="28.8" x14ac:dyDescent="0.3">
      <c r="A26" t="s">
        <v>8231</v>
      </c>
      <c r="B26" s="75" t="s">
        <v>8232</v>
      </c>
      <c r="C26">
        <v>16724</v>
      </c>
      <c r="D26">
        <v>381108</v>
      </c>
      <c r="E26" s="76">
        <v>43949</v>
      </c>
      <c r="F26">
        <v>1</v>
      </c>
      <c r="H26" t="s">
        <v>8233</v>
      </c>
      <c r="I26" t="s">
        <v>8234</v>
      </c>
      <c r="J26" t="s">
        <v>8235</v>
      </c>
      <c r="K26">
        <v>70760</v>
      </c>
      <c r="L26">
        <v>5900</v>
      </c>
      <c r="M26">
        <v>5900</v>
      </c>
      <c r="O26" s="19">
        <f>SUM(M26:M32)*1.117</f>
        <v>889331.94299999997</v>
      </c>
      <c r="P26" s="19">
        <f>'ETC sheet-Cat C'!AA596</f>
        <v>887644</v>
      </c>
      <c r="R26" s="19">
        <f>O26-P26</f>
        <v>1687.9429999999702</v>
      </c>
      <c r="T26" s="19">
        <f>R26</f>
        <v>1687.9429999999702</v>
      </c>
    </row>
    <row r="27" spans="1:20" x14ac:dyDescent="0.3">
      <c r="C27">
        <v>16724</v>
      </c>
      <c r="D27">
        <v>396236</v>
      </c>
      <c r="E27" s="76">
        <v>44273</v>
      </c>
      <c r="F27">
        <v>1</v>
      </c>
      <c r="H27" t="s">
        <v>8236</v>
      </c>
      <c r="I27" t="s">
        <v>8234</v>
      </c>
      <c r="J27" t="s">
        <v>8237</v>
      </c>
      <c r="K27">
        <v>8250</v>
      </c>
      <c r="L27">
        <v>1500</v>
      </c>
      <c r="M27">
        <v>1500</v>
      </c>
    </row>
    <row r="28" spans="1:20" x14ac:dyDescent="0.3">
      <c r="C28">
        <v>16724</v>
      </c>
      <c r="D28">
        <v>401169</v>
      </c>
      <c r="E28" s="76">
        <v>44390</v>
      </c>
      <c r="F28">
        <v>1</v>
      </c>
      <c r="H28" t="s">
        <v>8238</v>
      </c>
      <c r="I28" t="s">
        <v>8234</v>
      </c>
      <c r="J28" t="s">
        <v>8237</v>
      </c>
      <c r="K28">
        <v>20000</v>
      </c>
      <c r="L28">
        <v>20000</v>
      </c>
      <c r="M28">
        <v>20000</v>
      </c>
    </row>
    <row r="29" spans="1:20" x14ac:dyDescent="0.3">
      <c r="C29">
        <v>16724</v>
      </c>
      <c r="D29">
        <v>383876</v>
      </c>
      <c r="E29" s="76">
        <v>44139</v>
      </c>
      <c r="F29">
        <v>1</v>
      </c>
      <c r="H29" t="s">
        <v>8239</v>
      </c>
      <c r="I29" t="s">
        <v>8240</v>
      </c>
      <c r="J29" t="s">
        <v>8241</v>
      </c>
      <c r="K29">
        <v>284828</v>
      </c>
      <c r="L29">
        <v>94316</v>
      </c>
      <c r="M29">
        <v>94316</v>
      </c>
    </row>
    <row r="30" spans="1:20" x14ac:dyDescent="0.3">
      <c r="C30">
        <v>16724</v>
      </c>
      <c r="D30">
        <v>397246</v>
      </c>
      <c r="E30" s="76">
        <v>44356</v>
      </c>
      <c r="F30">
        <v>1</v>
      </c>
      <c r="H30" t="s">
        <v>8242</v>
      </c>
      <c r="I30" t="s">
        <v>8243</v>
      </c>
      <c r="J30" t="s">
        <v>8244</v>
      </c>
      <c r="K30">
        <v>6112</v>
      </c>
      <c r="L30">
        <v>1004</v>
      </c>
      <c r="M30">
        <v>1004</v>
      </c>
    </row>
    <row r="31" spans="1:20" x14ac:dyDescent="0.3">
      <c r="C31">
        <v>16724</v>
      </c>
      <c r="D31">
        <v>399103</v>
      </c>
      <c r="E31" s="76">
        <v>44327</v>
      </c>
      <c r="G31">
        <v>1</v>
      </c>
      <c r="H31" t="s">
        <v>8245</v>
      </c>
      <c r="I31" t="s">
        <v>8214</v>
      </c>
      <c r="J31" t="s">
        <v>8246</v>
      </c>
      <c r="K31">
        <v>18969</v>
      </c>
      <c r="L31">
        <v>18969</v>
      </c>
      <c r="M31">
        <v>18969</v>
      </c>
    </row>
    <row r="32" spans="1:20" x14ac:dyDescent="0.3">
      <c r="C32">
        <v>16724</v>
      </c>
      <c r="D32">
        <v>389925</v>
      </c>
      <c r="E32" s="76">
        <v>44225</v>
      </c>
      <c r="F32">
        <v>1</v>
      </c>
      <c r="H32" t="s">
        <v>8247</v>
      </c>
      <c r="I32" t="s">
        <v>8234</v>
      </c>
      <c r="J32" t="s">
        <v>8248</v>
      </c>
      <c r="K32">
        <v>1110750</v>
      </c>
      <c r="L32">
        <v>654490</v>
      </c>
      <c r="M32">
        <v>654490</v>
      </c>
    </row>
    <row r="35" spans="1:20" ht="28.8" x14ac:dyDescent="0.3">
      <c r="A35" t="s">
        <v>8249</v>
      </c>
      <c r="B35" s="75" t="s">
        <v>8250</v>
      </c>
      <c r="C35">
        <v>16726</v>
      </c>
      <c r="D35">
        <v>401690</v>
      </c>
      <c r="E35" s="76">
        <v>44410</v>
      </c>
      <c r="F35">
        <v>1</v>
      </c>
      <c r="H35" t="s">
        <v>8251</v>
      </c>
      <c r="I35" t="s">
        <v>8220</v>
      </c>
      <c r="J35" t="s">
        <v>8252</v>
      </c>
      <c r="K35">
        <v>8731</v>
      </c>
      <c r="L35">
        <v>15200</v>
      </c>
      <c r="N35" t="s">
        <v>8300</v>
      </c>
    </row>
    <row r="36" spans="1:20" x14ac:dyDescent="0.3">
      <c r="C36">
        <v>16726</v>
      </c>
      <c r="D36">
        <v>401725</v>
      </c>
      <c r="E36" s="76">
        <v>44384</v>
      </c>
      <c r="G36">
        <v>1</v>
      </c>
      <c r="H36" t="s">
        <v>8253</v>
      </c>
      <c r="I36" t="s">
        <v>8220</v>
      </c>
      <c r="J36" t="s">
        <v>8055</v>
      </c>
      <c r="K36">
        <v>96500</v>
      </c>
      <c r="L36">
        <v>96500</v>
      </c>
      <c r="N36" t="s">
        <v>8300</v>
      </c>
    </row>
    <row r="37" spans="1:20" x14ac:dyDescent="0.3">
      <c r="C37">
        <v>16726</v>
      </c>
      <c r="D37">
        <v>401898</v>
      </c>
      <c r="E37" s="76">
        <v>44388</v>
      </c>
      <c r="G37">
        <v>1</v>
      </c>
      <c r="H37" t="s">
        <v>8254</v>
      </c>
      <c r="I37" t="s">
        <v>8220</v>
      </c>
      <c r="J37" t="s">
        <v>8252</v>
      </c>
      <c r="K37">
        <v>10020</v>
      </c>
      <c r="L37">
        <v>10020</v>
      </c>
      <c r="N37" t="s">
        <v>8300</v>
      </c>
    </row>
    <row r="38" spans="1:20" x14ac:dyDescent="0.3">
      <c r="B38" s="45" t="s">
        <v>8338</v>
      </c>
    </row>
    <row r="41" spans="1:20" ht="28.8" x14ac:dyDescent="0.3">
      <c r="A41" s="84">
        <v>2.5</v>
      </c>
      <c r="B41" t="s">
        <v>8255</v>
      </c>
      <c r="C41">
        <v>16727</v>
      </c>
      <c r="D41">
        <v>401901</v>
      </c>
      <c r="E41" s="76">
        <v>44388</v>
      </c>
      <c r="G41">
        <v>1</v>
      </c>
      <c r="H41" t="s">
        <v>8337</v>
      </c>
      <c r="I41" t="s">
        <v>8220</v>
      </c>
      <c r="J41" t="s">
        <v>8055</v>
      </c>
      <c r="K41">
        <v>30000</v>
      </c>
      <c r="L41">
        <v>30000</v>
      </c>
      <c r="N41" t="s">
        <v>8294</v>
      </c>
      <c r="O41" s="19">
        <f>(L41+SUM(M42:M44)+SUM(L35:L37))*1.117</f>
        <v>300543.37099999998</v>
      </c>
      <c r="P41" s="19">
        <f>'ETC sheet-Cat C'!AA700</f>
        <v>113667.65</v>
      </c>
      <c r="Q41" s="75" t="s">
        <v>8339</v>
      </c>
      <c r="R41" s="19">
        <f>O41-P41</f>
        <v>186875.72099999999</v>
      </c>
      <c r="T41" s="19">
        <f>R41</f>
        <v>186875.72099999999</v>
      </c>
    </row>
    <row r="42" spans="1:20" x14ac:dyDescent="0.3">
      <c r="C42">
        <v>16727</v>
      </c>
      <c r="D42">
        <v>399894</v>
      </c>
      <c r="E42" s="76">
        <v>44378</v>
      </c>
      <c r="F42">
        <v>1</v>
      </c>
      <c r="H42" t="s">
        <v>8256</v>
      </c>
      <c r="I42" t="s">
        <v>8257</v>
      </c>
      <c r="J42" t="s">
        <v>8226</v>
      </c>
      <c r="K42">
        <v>14625</v>
      </c>
      <c r="L42">
        <v>14625</v>
      </c>
      <c r="M42">
        <v>14625</v>
      </c>
    </row>
    <row r="43" spans="1:20" x14ac:dyDescent="0.3">
      <c r="C43">
        <v>16727</v>
      </c>
      <c r="D43">
        <v>380126</v>
      </c>
      <c r="E43" s="76">
        <v>43892</v>
      </c>
      <c r="F43">
        <v>1</v>
      </c>
      <c r="H43" t="s">
        <v>8258</v>
      </c>
      <c r="I43" t="s">
        <v>8059</v>
      </c>
      <c r="J43" t="s">
        <v>8259</v>
      </c>
      <c r="K43">
        <v>30500</v>
      </c>
      <c r="L43">
        <v>30500</v>
      </c>
      <c r="M43">
        <v>30500</v>
      </c>
    </row>
    <row r="44" spans="1:20" x14ac:dyDescent="0.3">
      <c r="C44">
        <v>16727</v>
      </c>
      <c r="D44">
        <v>395973</v>
      </c>
      <c r="E44" s="76">
        <v>44362</v>
      </c>
      <c r="F44">
        <v>1</v>
      </c>
      <c r="H44" t="s">
        <v>8260</v>
      </c>
      <c r="I44" t="s">
        <v>8059</v>
      </c>
      <c r="J44" t="s">
        <v>8056</v>
      </c>
      <c r="K44">
        <v>72218</v>
      </c>
      <c r="L44">
        <v>72218</v>
      </c>
      <c r="M44">
        <v>72218</v>
      </c>
    </row>
    <row r="47" spans="1:20" x14ac:dyDescent="0.3">
      <c r="A47" t="s">
        <v>8268</v>
      </c>
      <c r="B47" t="s">
        <v>8261</v>
      </c>
      <c r="C47">
        <v>16729</v>
      </c>
      <c r="D47">
        <v>400146</v>
      </c>
      <c r="E47" s="76">
        <v>44350</v>
      </c>
      <c r="G47" s="68">
        <v>1</v>
      </c>
      <c r="H47" t="s">
        <v>8262</v>
      </c>
      <c r="I47" t="s">
        <v>8263</v>
      </c>
      <c r="J47" t="s">
        <v>8264</v>
      </c>
      <c r="K47">
        <v>8746</v>
      </c>
      <c r="L47" s="68">
        <v>6661</v>
      </c>
      <c r="M47">
        <v>6661</v>
      </c>
      <c r="O47" s="19">
        <f>SUM(M47:M49)*1.117</f>
        <v>25210.69</v>
      </c>
      <c r="P47" s="19">
        <f>'ETC sheet-Cat C'!AA229</f>
        <v>0</v>
      </c>
      <c r="R47" s="19">
        <f>O47-P47</f>
        <v>25210.69</v>
      </c>
      <c r="T47" s="19">
        <f>R47</f>
        <v>25210.69</v>
      </c>
    </row>
    <row r="48" spans="1:20" x14ac:dyDescent="0.3">
      <c r="C48">
        <v>16729</v>
      </c>
      <c r="D48">
        <v>402016</v>
      </c>
      <c r="E48" s="76">
        <v>44397</v>
      </c>
      <c r="F48">
        <v>1</v>
      </c>
      <c r="H48" t="s">
        <v>8265</v>
      </c>
      <c r="I48" t="s">
        <v>8266</v>
      </c>
      <c r="J48" t="s">
        <v>8264</v>
      </c>
      <c r="K48">
        <v>1029</v>
      </c>
      <c r="L48">
        <v>1029</v>
      </c>
      <c r="M48">
        <v>1029</v>
      </c>
    </row>
    <row r="49" spans="1:20" x14ac:dyDescent="0.3">
      <c r="C49">
        <v>16729</v>
      </c>
      <c r="D49">
        <v>388730</v>
      </c>
      <c r="E49" s="76">
        <v>44236</v>
      </c>
      <c r="F49">
        <v>1</v>
      </c>
      <c r="H49" t="s">
        <v>8267</v>
      </c>
      <c r="I49" t="s">
        <v>8266</v>
      </c>
      <c r="J49" t="s">
        <v>8055</v>
      </c>
      <c r="K49">
        <v>14880</v>
      </c>
      <c r="L49">
        <v>14880</v>
      </c>
      <c r="M49">
        <v>14880</v>
      </c>
    </row>
    <row r="52" spans="1:20" x14ac:dyDescent="0.3">
      <c r="A52" t="s">
        <v>8287</v>
      </c>
      <c r="B52" t="s">
        <v>8269</v>
      </c>
      <c r="C52">
        <v>16731</v>
      </c>
      <c r="D52">
        <v>400958</v>
      </c>
      <c r="E52" s="76">
        <v>44390</v>
      </c>
      <c r="F52">
        <v>1</v>
      </c>
      <c r="H52" t="s">
        <v>8270</v>
      </c>
      <c r="I52" t="s">
        <v>8271</v>
      </c>
      <c r="J52" t="s">
        <v>8272</v>
      </c>
      <c r="K52">
        <v>7660</v>
      </c>
      <c r="L52">
        <v>7660</v>
      </c>
      <c r="M52">
        <v>7660</v>
      </c>
      <c r="O52" s="19">
        <f>SUM(M52:M53)*1.117</f>
        <v>287805.103</v>
      </c>
      <c r="P52" s="19">
        <f>'ETC sheet-Cat C'!AA270</f>
        <v>261153.75</v>
      </c>
      <c r="R52" s="19">
        <f>O52-P52</f>
        <v>26651.353000000003</v>
      </c>
      <c r="S52" s="19">
        <f>R52</f>
        <v>26651.353000000003</v>
      </c>
      <c r="T52" s="19"/>
    </row>
    <row r="53" spans="1:20" x14ac:dyDescent="0.3">
      <c r="C53">
        <v>16731</v>
      </c>
      <c r="D53">
        <v>395846</v>
      </c>
      <c r="E53" s="76">
        <v>44257</v>
      </c>
      <c r="G53" s="68">
        <v>1</v>
      </c>
      <c r="H53" t="s">
        <v>8273</v>
      </c>
      <c r="I53" t="s">
        <v>8129</v>
      </c>
      <c r="J53" t="s">
        <v>8274</v>
      </c>
      <c r="K53">
        <v>244960</v>
      </c>
      <c r="L53" s="68">
        <v>249999</v>
      </c>
      <c r="M53">
        <v>249999</v>
      </c>
    </row>
    <row r="56" spans="1:20" x14ac:dyDescent="0.3">
      <c r="A56" t="s">
        <v>8275</v>
      </c>
      <c r="B56" t="s">
        <v>8276</v>
      </c>
      <c r="C56">
        <v>16732</v>
      </c>
      <c r="D56">
        <v>400208</v>
      </c>
      <c r="E56" s="76">
        <v>44350</v>
      </c>
      <c r="G56">
        <v>1</v>
      </c>
      <c r="H56" t="s">
        <v>8277</v>
      </c>
      <c r="I56" t="s">
        <v>8058</v>
      </c>
      <c r="J56" t="s">
        <v>8278</v>
      </c>
      <c r="K56">
        <v>40175</v>
      </c>
      <c r="L56">
        <v>40867</v>
      </c>
      <c r="M56">
        <v>40867</v>
      </c>
      <c r="O56" s="19">
        <f>SUM(M56:M57)*1.117</f>
        <v>1040071.093</v>
      </c>
      <c r="P56" s="19">
        <f>'ETC sheet-Cat C'!AA348</f>
        <v>993188</v>
      </c>
      <c r="R56" s="19">
        <f>O56-P56</f>
        <v>46883.092999999993</v>
      </c>
      <c r="T56" s="19">
        <f>R56</f>
        <v>46883.092999999993</v>
      </c>
    </row>
    <row r="57" spans="1:20" x14ac:dyDescent="0.3">
      <c r="C57">
        <v>16732</v>
      </c>
      <c r="D57">
        <v>388730</v>
      </c>
      <c r="E57" s="76">
        <v>44236</v>
      </c>
      <c r="F57">
        <v>1</v>
      </c>
      <c r="H57" t="s">
        <v>8279</v>
      </c>
      <c r="I57" t="s">
        <v>8266</v>
      </c>
      <c r="J57" t="s">
        <v>8055</v>
      </c>
      <c r="K57">
        <v>890262</v>
      </c>
      <c r="L57">
        <v>890262</v>
      </c>
      <c r="M57">
        <v>890262</v>
      </c>
    </row>
    <row r="60" spans="1:20" x14ac:dyDescent="0.3">
      <c r="A60" t="s">
        <v>8280</v>
      </c>
      <c r="B60" t="s">
        <v>8281</v>
      </c>
      <c r="C60">
        <v>16733</v>
      </c>
      <c r="D60">
        <v>401399</v>
      </c>
      <c r="E60" s="76">
        <v>44406</v>
      </c>
      <c r="F60">
        <v>1</v>
      </c>
      <c r="H60" t="s">
        <v>8282</v>
      </c>
      <c r="I60" t="s">
        <v>8266</v>
      </c>
      <c r="J60" t="s">
        <v>8283</v>
      </c>
      <c r="K60">
        <v>14791</v>
      </c>
      <c r="L60">
        <v>14791</v>
      </c>
      <c r="M60">
        <v>14791</v>
      </c>
      <c r="O60" s="19">
        <f>(SUM(M60:M61)+L62)*1.117</f>
        <v>461723.12</v>
      </c>
      <c r="P60" s="19">
        <f>'ETC sheet-Cat C'!AA355</f>
        <v>422387</v>
      </c>
      <c r="R60" s="19">
        <f>O60-P60</f>
        <v>39336.119999999995</v>
      </c>
      <c r="T60" s="19">
        <f>R60</f>
        <v>39336.119999999995</v>
      </c>
    </row>
    <row r="61" spans="1:20" x14ac:dyDescent="0.3">
      <c r="C61">
        <v>16733</v>
      </c>
      <c r="D61">
        <v>391837</v>
      </c>
      <c r="E61" s="76">
        <v>44258</v>
      </c>
      <c r="F61">
        <v>1</v>
      </c>
      <c r="H61" t="s">
        <v>8284</v>
      </c>
      <c r="I61" t="s">
        <v>8266</v>
      </c>
      <c r="J61" t="s">
        <v>8055</v>
      </c>
      <c r="K61">
        <v>354679</v>
      </c>
      <c r="L61">
        <v>354679</v>
      </c>
      <c r="M61">
        <v>354679</v>
      </c>
    </row>
    <row r="62" spans="1:20" x14ac:dyDescent="0.3">
      <c r="C62">
        <v>16733</v>
      </c>
      <c r="D62">
        <v>397180</v>
      </c>
      <c r="E62" s="76">
        <v>44410</v>
      </c>
      <c r="F62">
        <v>1</v>
      </c>
      <c r="H62" t="s">
        <v>8285</v>
      </c>
      <c r="I62" t="s">
        <v>8266</v>
      </c>
      <c r="J62" t="s">
        <v>8286</v>
      </c>
      <c r="K62">
        <v>63140</v>
      </c>
      <c r="L62">
        <v>43890</v>
      </c>
      <c r="N62" t="s">
        <v>8294</v>
      </c>
    </row>
    <row r="63" spans="1:20" x14ac:dyDescent="0.3">
      <c r="S63" s="48">
        <f>SUM(S2:S60)</f>
        <v>128865.81900000002</v>
      </c>
      <c r="T63" s="48">
        <f>SUM(T2:T60)</f>
        <v>442850.04799999995</v>
      </c>
    </row>
    <row r="64" spans="1:20" x14ac:dyDescent="0.3">
      <c r="Q64" s="110" t="s">
        <v>8367</v>
      </c>
      <c r="R64" s="52">
        <f>SUM(R2:R60)</f>
        <v>571715.86699999997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dimension ref="A2:M22"/>
  <sheetViews>
    <sheetView workbookViewId="0">
      <selection sqref="A1:M22"/>
    </sheetView>
  </sheetViews>
  <sheetFormatPr defaultRowHeight="14.4" x14ac:dyDescent="0.3"/>
  <cols>
    <col min="1" max="1" width="12" customWidth="1"/>
    <col min="2" max="2" width="66.77734375" customWidth="1"/>
    <col min="3" max="3" width="12.88671875" customWidth="1"/>
    <col min="4" max="4" width="13.44140625" customWidth="1"/>
    <col min="5" max="5" width="17.7773437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5" t="s">
        <v>8376</v>
      </c>
      <c r="D2" s="35"/>
      <c r="E2" s="35"/>
      <c r="F2" s="101">
        <f>'ETC sheet-Cat A'!M149</f>
        <v>4596075.650700001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5"/>
      <c r="L3" s="44"/>
    </row>
    <row r="4" spans="1:13" x14ac:dyDescent="0.3">
      <c r="A4" s="47" t="s">
        <v>8014</v>
      </c>
      <c r="E4" s="29"/>
      <c r="F4" s="29"/>
      <c r="G4" s="29"/>
    </row>
    <row r="5" spans="1:13" x14ac:dyDescent="0.3">
      <c r="B5" t="s">
        <v>8325</v>
      </c>
      <c r="D5" s="87">
        <f>200000-40000</f>
        <v>160000</v>
      </c>
      <c r="E5" s="29"/>
      <c r="F5" s="29"/>
      <c r="G5" s="29"/>
      <c r="K5" s="29"/>
      <c r="L5" s="29"/>
      <c r="M5" s="29"/>
    </row>
    <row r="6" spans="1:13" x14ac:dyDescent="0.3">
      <c r="B6" t="s">
        <v>8018</v>
      </c>
      <c r="D6" s="87">
        <v>170000</v>
      </c>
      <c r="E6" s="29"/>
      <c r="F6" s="29"/>
      <c r="G6" s="29"/>
      <c r="K6" s="29"/>
      <c r="L6" s="29"/>
      <c r="M6" s="29"/>
    </row>
    <row r="7" spans="1:13" x14ac:dyDescent="0.3">
      <c r="B7" t="s">
        <v>8387</v>
      </c>
      <c r="E7" s="29"/>
      <c r="F7" s="70">
        <f>SUM(D5:D6)</f>
        <v>330000</v>
      </c>
      <c r="G7" s="29"/>
    </row>
    <row r="8" spans="1:13" x14ac:dyDescent="0.3">
      <c r="E8" s="29"/>
      <c r="F8" s="29"/>
      <c r="G8" s="29"/>
      <c r="K8" s="49"/>
      <c r="L8" s="49"/>
      <c r="M8" s="49"/>
    </row>
    <row r="9" spans="1:13" x14ac:dyDescent="0.3">
      <c r="C9" s="47" t="s">
        <v>8386</v>
      </c>
      <c r="D9" s="46"/>
      <c r="E9" s="29"/>
      <c r="F9" s="50">
        <f>F2+F7</f>
        <v>4926075.650700001</v>
      </c>
      <c r="G9" s="29"/>
    </row>
    <row r="10" spans="1:13" x14ac:dyDescent="0.3">
      <c r="E10" s="29"/>
      <c r="F10" s="29"/>
      <c r="G10" s="29"/>
    </row>
    <row r="11" spans="1:13" x14ac:dyDescent="0.3">
      <c r="A11" s="47" t="s">
        <v>8383</v>
      </c>
      <c r="B11" t="s">
        <v>8382</v>
      </c>
      <c r="E11" s="29"/>
      <c r="F11" s="29">
        <v>425000</v>
      </c>
      <c r="G11" s="29"/>
    </row>
    <row r="12" spans="1:13" x14ac:dyDescent="0.3">
      <c r="B12" t="s">
        <v>8326</v>
      </c>
      <c r="E12" s="29"/>
      <c r="F12" s="29">
        <v>412018</v>
      </c>
      <c r="G12" s="29"/>
    </row>
    <row r="13" spans="1:13" x14ac:dyDescent="0.3">
      <c r="B13" t="s">
        <v>8331</v>
      </c>
      <c r="E13" s="29"/>
      <c r="F13" s="29">
        <f>'Open Commitments Cat A'!R96</f>
        <v>869109.68299999984</v>
      </c>
      <c r="G13" s="29"/>
      <c r="H13" t="s">
        <v>8329</v>
      </c>
    </row>
    <row r="14" spans="1:13" x14ac:dyDescent="0.3">
      <c r="B14" t="s">
        <v>8384</v>
      </c>
      <c r="E14" s="29"/>
      <c r="F14" s="29"/>
      <c r="G14" s="29"/>
    </row>
    <row r="15" spans="1:13" x14ac:dyDescent="0.3">
      <c r="C15" s="53" t="s">
        <v>8388</v>
      </c>
      <c r="D15" s="53"/>
      <c r="E15" s="109"/>
      <c r="F15" s="52">
        <f>F9+SUM(F11:F14)</f>
        <v>6632203.3337000012</v>
      </c>
      <c r="G15" s="29"/>
    </row>
    <row r="16" spans="1:13" x14ac:dyDescent="0.3">
      <c r="C16" s="45" t="s">
        <v>8328</v>
      </c>
      <c r="E16" s="29"/>
      <c r="F16" s="48">
        <v>19664212</v>
      </c>
      <c r="G16" s="29"/>
      <c r="L16" s="51"/>
    </row>
    <row r="17" spans="3:8" x14ac:dyDescent="0.3">
      <c r="C17" s="130" t="s">
        <v>8389</v>
      </c>
      <c r="D17" s="130"/>
      <c r="E17" s="131"/>
      <c r="F17" s="131">
        <f>F15+F16</f>
        <v>26296415.333700001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5" t="s">
        <v>8026</v>
      </c>
      <c r="E19" s="29"/>
      <c r="F19" s="48">
        <v>27000000</v>
      </c>
      <c r="G19" s="29"/>
    </row>
    <row r="20" spans="3:8" ht="15" thickBot="1" x14ac:dyDescent="0.35">
      <c r="C20" s="71" t="s">
        <v>8378</v>
      </c>
      <c r="D20" s="72"/>
      <c r="E20" s="73"/>
      <c r="F20" s="74">
        <f>F19-F17</f>
        <v>703584.66629999876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1" t="s">
        <v>8379</v>
      </c>
      <c r="D22" s="72"/>
      <c r="E22" s="73"/>
      <c r="F22" s="74">
        <f>F19-F9-F16-F13</f>
        <v>1540602.6662999974</v>
      </c>
      <c r="G22" s="29"/>
      <c r="H22" t="s">
        <v>8330</v>
      </c>
    </row>
  </sheetData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2:M22"/>
  <sheetViews>
    <sheetView tabSelected="1" workbookViewId="0">
      <selection activeCell="B12" sqref="B12"/>
    </sheetView>
  </sheetViews>
  <sheetFormatPr defaultRowHeight="14.4" x14ac:dyDescent="0.3"/>
  <cols>
    <col min="1" max="1" width="11.77734375" customWidth="1"/>
    <col min="2" max="2" width="66.77734375" customWidth="1"/>
    <col min="3" max="3" width="12.88671875" customWidth="1"/>
    <col min="4" max="4" width="13.44140625" customWidth="1"/>
    <col min="5" max="5" width="15.8867187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5" t="s">
        <v>8376</v>
      </c>
      <c r="D2" s="35"/>
      <c r="E2" s="35"/>
      <c r="F2" s="101">
        <f>'ETC sheet-Cat C'!M1294</f>
        <v>11895325.388000006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5"/>
      <c r="L3" s="44"/>
    </row>
    <row r="4" spans="1:13" x14ac:dyDescent="0.3">
      <c r="A4" s="47" t="s">
        <v>8014</v>
      </c>
      <c r="E4" s="29"/>
      <c r="F4" s="29"/>
      <c r="G4" s="29"/>
    </row>
    <row r="5" spans="1:13" x14ac:dyDescent="0.3">
      <c r="D5" s="87"/>
      <c r="E5" s="29"/>
      <c r="F5" s="29"/>
      <c r="G5" s="29"/>
      <c r="K5" s="29"/>
      <c r="L5" s="29"/>
      <c r="M5" s="29"/>
    </row>
    <row r="6" spans="1:13" x14ac:dyDescent="0.3">
      <c r="D6" s="87"/>
      <c r="E6" s="29"/>
      <c r="F6" s="29"/>
      <c r="G6" s="29"/>
      <c r="K6" s="29"/>
      <c r="L6" s="29"/>
      <c r="M6" s="29"/>
    </row>
    <row r="7" spans="1:13" x14ac:dyDescent="0.3">
      <c r="B7" t="s">
        <v>8387</v>
      </c>
      <c r="E7" s="29"/>
      <c r="F7" s="70">
        <f>SUM(D5:D6)</f>
        <v>0</v>
      </c>
      <c r="G7" s="29"/>
    </row>
    <row r="8" spans="1:13" x14ac:dyDescent="0.3">
      <c r="E8" s="29"/>
      <c r="F8" s="29"/>
      <c r="G8" s="29"/>
      <c r="K8" s="49"/>
      <c r="L8" s="49"/>
      <c r="M8" s="49"/>
    </row>
    <row r="9" spans="1:13" x14ac:dyDescent="0.3">
      <c r="C9" s="47" t="s">
        <v>8386</v>
      </c>
      <c r="D9" s="46"/>
      <c r="E9" s="29"/>
      <c r="F9" s="50">
        <f>F2+F7</f>
        <v>11895325.388000006</v>
      </c>
      <c r="G9" s="29"/>
    </row>
    <row r="10" spans="1:13" x14ac:dyDescent="0.3">
      <c r="E10" s="29"/>
      <c r="F10" s="29"/>
      <c r="G10" s="29"/>
    </row>
    <row r="11" spans="1:13" x14ac:dyDescent="0.3">
      <c r="A11" s="47" t="s">
        <v>8383</v>
      </c>
      <c r="B11" t="s">
        <v>8390</v>
      </c>
      <c r="E11" s="29"/>
      <c r="F11" s="29">
        <v>107012</v>
      </c>
      <c r="G11" s="29"/>
    </row>
    <row r="12" spans="1:13" x14ac:dyDescent="0.3">
      <c r="B12" t="s">
        <v>8326</v>
      </c>
      <c r="E12" s="29"/>
      <c r="F12" s="29">
        <v>519237</v>
      </c>
      <c r="G12" s="29"/>
    </row>
    <row r="13" spans="1:13" x14ac:dyDescent="0.3">
      <c r="B13" t="s">
        <v>8331</v>
      </c>
      <c r="E13" s="29"/>
      <c r="F13" s="29">
        <f>'Open Commitments Cat C'!R64</f>
        <v>571715.86699999997</v>
      </c>
      <c r="G13" s="29"/>
      <c r="H13" t="s">
        <v>8377</v>
      </c>
    </row>
    <row r="14" spans="1:13" x14ac:dyDescent="0.3">
      <c r="B14" t="s">
        <v>8384</v>
      </c>
      <c r="E14" s="29"/>
      <c r="F14" s="29"/>
      <c r="G14" s="29"/>
    </row>
    <row r="15" spans="1:13" x14ac:dyDescent="0.3">
      <c r="C15" s="53" t="s">
        <v>8388</v>
      </c>
      <c r="D15" s="53"/>
      <c r="E15" s="109"/>
      <c r="F15" s="52">
        <f>F9+SUM(F11:F14)</f>
        <v>13093290.255000006</v>
      </c>
      <c r="G15" s="29"/>
    </row>
    <row r="16" spans="1:13" x14ac:dyDescent="0.3">
      <c r="C16" s="45" t="s">
        <v>8328</v>
      </c>
      <c r="E16" s="29"/>
      <c r="F16" s="48">
        <v>19507182</v>
      </c>
      <c r="G16" s="29"/>
      <c r="L16" s="51"/>
    </row>
    <row r="17" spans="3:8" x14ac:dyDescent="0.3">
      <c r="C17" s="130" t="s">
        <v>8389</v>
      </c>
      <c r="D17" s="130"/>
      <c r="E17" s="131"/>
      <c r="F17" s="131">
        <f>F15+F16</f>
        <v>32600472.255000006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5" t="s">
        <v>8026</v>
      </c>
      <c r="E19" s="29"/>
      <c r="F19" s="48">
        <v>33400000</v>
      </c>
      <c r="G19" s="29"/>
    </row>
    <row r="20" spans="3:8" ht="15" thickBot="1" x14ac:dyDescent="0.35">
      <c r="C20" s="71" t="s">
        <v>8378</v>
      </c>
      <c r="D20" s="72"/>
      <c r="E20" s="73"/>
      <c r="F20" s="74">
        <f>F19-F17</f>
        <v>799527.74499999359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1" t="s">
        <v>8379</v>
      </c>
      <c r="D22" s="72"/>
      <c r="E22" s="73"/>
      <c r="F22" s="74">
        <f>F19-F9-F16-F13</f>
        <v>1425776.7449999959</v>
      </c>
      <c r="G22" s="29"/>
      <c r="H22" t="s">
        <v>8330</v>
      </c>
    </row>
  </sheetData>
  <pageMargins left="0.7" right="0.7" top="0.75" bottom="0.75" header="0.3" footer="0.3"/>
  <pageSetup scale="6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12" t="s">
        <v>3815</v>
      </c>
      <c r="B1" s="113"/>
      <c r="C1" s="113"/>
      <c r="D1" s="114"/>
      <c r="E1" s="115" t="s">
        <v>7818</v>
      </c>
      <c r="F1" s="116"/>
      <c r="G1" s="117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 t="shared" ref="I24:I27" si="8">C24*(1-G24)</f>
        <v>43.2</v>
      </c>
      <c r="J24" s="5"/>
      <c r="K24" s="5"/>
      <c r="L24" s="33">
        <f t="shared" ref="L24:L27" si="9">D24*(1-G24)</f>
        <v>0</v>
      </c>
      <c r="M24" s="33">
        <f t="shared" ref="M24:M27" si="10">IF(J24="",L24,(D24/C24)*J24)</f>
        <v>0</v>
      </c>
      <c r="N24" s="22">
        <f t="shared" ref="N24:N27" si="11"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 t="shared" si="8"/>
        <v>360.00000000000006</v>
      </c>
      <c r="J25" s="5"/>
      <c r="K25" s="5"/>
      <c r="L25" s="33">
        <f t="shared" si="9"/>
        <v>0</v>
      </c>
      <c r="M25" s="33">
        <f t="shared" si="10"/>
        <v>0</v>
      </c>
      <c r="N25" s="22">
        <f t="shared" si="11"/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 t="shared" si="8"/>
        <v>43.2</v>
      </c>
      <c r="J26" s="5"/>
      <c r="K26" s="5"/>
      <c r="L26" s="33">
        <f t="shared" si="9"/>
        <v>0</v>
      </c>
      <c r="M26" s="33">
        <f t="shared" si="10"/>
        <v>0</v>
      </c>
      <c r="N26" s="22">
        <f t="shared" si="11"/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 t="shared" si="8"/>
        <v>360.00000000000006</v>
      </c>
      <c r="J27" s="5"/>
      <c r="K27" s="5"/>
      <c r="L27" s="33">
        <f t="shared" si="9"/>
        <v>0</v>
      </c>
      <c r="M27" s="33">
        <f t="shared" si="10"/>
        <v>0</v>
      </c>
      <c r="N27" s="22">
        <f t="shared" si="11"/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 t="shared" ref="I29:I33" si="12">C29*(1-G29)</f>
        <v>43.2</v>
      </c>
      <c r="J29" s="5"/>
      <c r="K29" s="5"/>
      <c r="L29" s="33">
        <f t="shared" ref="L29:L33" si="13">D29*(1-G29)</f>
        <v>0</v>
      </c>
      <c r="M29" s="33">
        <f t="shared" ref="M29:M33" si="14">IF(J29="",L29,(D29/C29)*J29)</f>
        <v>0</v>
      </c>
      <c r="N29" s="22">
        <f t="shared" ref="N29:N33" si="15"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 t="shared" si="12"/>
        <v>144.00000000000003</v>
      </c>
      <c r="J30" s="5"/>
      <c r="K30" s="5"/>
      <c r="L30" s="33">
        <f t="shared" si="13"/>
        <v>0</v>
      </c>
      <c r="M30" s="33">
        <f t="shared" si="14"/>
        <v>0</v>
      </c>
      <c r="N30" s="22">
        <f t="shared" si="15"/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 t="shared" si="12"/>
        <v>360.00000000000006</v>
      </c>
      <c r="J31" s="5"/>
      <c r="K31" s="5"/>
      <c r="L31" s="33">
        <f t="shared" si="13"/>
        <v>0</v>
      </c>
      <c r="M31" s="33">
        <f t="shared" si="14"/>
        <v>0</v>
      </c>
      <c r="N31" s="22">
        <f t="shared" si="15"/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 t="shared" si="12"/>
        <v>43.2</v>
      </c>
      <c r="J32" s="5"/>
      <c r="K32" s="5"/>
      <c r="L32" s="33">
        <f t="shared" si="13"/>
        <v>0</v>
      </c>
      <c r="M32" s="33">
        <f t="shared" si="14"/>
        <v>0</v>
      </c>
      <c r="N32" s="22">
        <f t="shared" si="15"/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 t="shared" si="12"/>
        <v>360.00000000000006</v>
      </c>
      <c r="J33" s="5"/>
      <c r="K33" s="5"/>
      <c r="L33" s="33">
        <f t="shared" si="13"/>
        <v>0</v>
      </c>
      <c r="M33" s="33">
        <f t="shared" si="14"/>
        <v>0</v>
      </c>
      <c r="N33" s="22">
        <f t="shared" si="15"/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16">C35*(1-G35)</f>
        <v>43.2</v>
      </c>
      <c r="J35" s="5"/>
      <c r="K35" s="5"/>
      <c r="L35" s="33">
        <f t="shared" ref="L35:L46" si="17">D35*(1-G35)</f>
        <v>0</v>
      </c>
      <c r="M35" s="33">
        <f t="shared" ref="M35:M46" si="18">IF(J35="",L35,(D35/C35)*J35)</f>
        <v>0</v>
      </c>
      <c r="N35" s="22">
        <f t="shared" ref="N35:N46" si="19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16"/>
        <v>144.00000000000003</v>
      </c>
      <c r="J36" s="5"/>
      <c r="K36" s="5"/>
      <c r="L36" s="33">
        <f t="shared" si="17"/>
        <v>0</v>
      </c>
      <c r="M36" s="33">
        <f t="shared" si="18"/>
        <v>0</v>
      </c>
      <c r="N36" s="22">
        <f t="shared" si="19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16"/>
        <v>360.00000000000006</v>
      </c>
      <c r="J37" s="5"/>
      <c r="K37" s="5"/>
      <c r="L37" s="33">
        <f t="shared" si="17"/>
        <v>0</v>
      </c>
      <c r="M37" s="33">
        <f t="shared" si="18"/>
        <v>0</v>
      </c>
      <c r="N37" s="22">
        <f t="shared" si="19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16"/>
        <v>43.2</v>
      </c>
      <c r="J38" s="5"/>
      <c r="K38" s="5"/>
      <c r="L38" s="33">
        <f t="shared" si="17"/>
        <v>0</v>
      </c>
      <c r="M38" s="33">
        <f t="shared" si="18"/>
        <v>0</v>
      </c>
      <c r="N38" s="22">
        <f t="shared" si="19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16"/>
        <v>144.00000000000003</v>
      </c>
      <c r="J39" s="5"/>
      <c r="K39" s="5"/>
      <c r="L39" s="33">
        <f t="shared" si="17"/>
        <v>0</v>
      </c>
      <c r="M39" s="33">
        <f t="shared" si="18"/>
        <v>0</v>
      </c>
      <c r="N39" s="22">
        <f t="shared" si="19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16"/>
        <v>360.00000000000006</v>
      </c>
      <c r="J40" s="5"/>
      <c r="K40" s="5"/>
      <c r="L40" s="33">
        <f t="shared" si="17"/>
        <v>0</v>
      </c>
      <c r="M40" s="33">
        <f t="shared" si="18"/>
        <v>0</v>
      </c>
      <c r="N40" s="22">
        <f t="shared" si="19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16"/>
        <v>43.2</v>
      </c>
      <c r="J41" s="5"/>
      <c r="K41" s="5"/>
      <c r="L41" s="33">
        <f t="shared" si="17"/>
        <v>0</v>
      </c>
      <c r="M41" s="33">
        <f t="shared" si="18"/>
        <v>0</v>
      </c>
      <c r="N41" s="22">
        <f t="shared" si="19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16"/>
        <v>144.00000000000003</v>
      </c>
      <c r="J42" s="5"/>
      <c r="K42" s="5"/>
      <c r="L42" s="33">
        <f t="shared" si="17"/>
        <v>0</v>
      </c>
      <c r="M42" s="33">
        <f t="shared" si="18"/>
        <v>0</v>
      </c>
      <c r="N42" s="22">
        <f t="shared" si="19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16"/>
        <v>360.00000000000006</v>
      </c>
      <c r="J43" s="5"/>
      <c r="K43" s="5"/>
      <c r="L43" s="33">
        <f t="shared" si="17"/>
        <v>0</v>
      </c>
      <c r="M43" s="33">
        <f t="shared" si="18"/>
        <v>0</v>
      </c>
      <c r="N43" s="22">
        <f t="shared" si="19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16"/>
        <v>43.2</v>
      </c>
      <c r="J44" s="5"/>
      <c r="K44" s="5"/>
      <c r="L44" s="33">
        <f t="shared" si="17"/>
        <v>0</v>
      </c>
      <c r="M44" s="33">
        <f t="shared" si="18"/>
        <v>0</v>
      </c>
      <c r="N44" s="22">
        <f t="shared" si="19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16"/>
        <v>360.00000000000006</v>
      </c>
      <c r="J45" s="5"/>
      <c r="K45" s="5"/>
      <c r="L45" s="33">
        <f t="shared" si="17"/>
        <v>0</v>
      </c>
      <c r="M45" s="33">
        <f t="shared" si="18"/>
        <v>0</v>
      </c>
      <c r="N45" s="22">
        <f t="shared" si="19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16"/>
        <v>144.00000000000003</v>
      </c>
      <c r="J46" s="5"/>
      <c r="K46" s="5"/>
      <c r="L46" s="33">
        <f t="shared" si="17"/>
        <v>0</v>
      </c>
      <c r="M46" s="33">
        <f t="shared" si="18"/>
        <v>0</v>
      </c>
      <c r="N46" s="22">
        <f t="shared" si="19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 t="shared" ref="I48" si="20">C48*(1-G48)</f>
        <v>280</v>
      </c>
      <c r="J48" s="5"/>
      <c r="K48" s="5"/>
      <c r="L48" s="33">
        <f t="shared" ref="L48" si="21">D48*(1-G48)</f>
        <v>0</v>
      </c>
      <c r="M48" s="33">
        <f t="shared" ref="M48" si="22">IF(J48="",L48,(D48/C48)*J48)</f>
        <v>0</v>
      </c>
      <c r="N48" s="22">
        <f t="shared" ref="N48" si="23"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 t="shared" ref="I50:I54" si="24">C50*(1-G50)</f>
        <v>136</v>
      </c>
      <c r="J50" s="5"/>
      <c r="K50" s="5"/>
      <c r="L50" s="33">
        <f t="shared" ref="L50:L54" si="25">D50*(1-G50)</f>
        <v>0</v>
      </c>
      <c r="M50" s="33">
        <f t="shared" ref="M50:M54" si="26">IF(J50="",L50,(D50/C50)*J50)</f>
        <v>0</v>
      </c>
      <c r="N50" s="22">
        <f t="shared" ref="N50:N54" si="27"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 t="shared" si="24"/>
        <v>20</v>
      </c>
      <c r="J51" s="5"/>
      <c r="K51" s="5"/>
      <c r="L51" s="33">
        <f t="shared" si="25"/>
        <v>0</v>
      </c>
      <c r="M51" s="33">
        <f t="shared" si="26"/>
        <v>0</v>
      </c>
      <c r="N51" s="22">
        <f t="shared" si="27"/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 t="shared" si="24"/>
        <v>60</v>
      </c>
      <c r="J52" s="5"/>
      <c r="K52" s="5"/>
      <c r="L52" s="33">
        <f t="shared" si="25"/>
        <v>0</v>
      </c>
      <c r="M52" s="33">
        <f t="shared" si="26"/>
        <v>0</v>
      </c>
      <c r="N52" s="22">
        <f t="shared" si="27"/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 t="shared" si="24"/>
        <v>120</v>
      </c>
      <c r="J53" s="5"/>
      <c r="K53" s="5"/>
      <c r="L53" s="33">
        <f t="shared" si="25"/>
        <v>0</v>
      </c>
      <c r="M53" s="33">
        <f t="shared" si="26"/>
        <v>0</v>
      </c>
      <c r="N53" s="22">
        <f t="shared" si="27"/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 t="shared" si="24"/>
        <v>120</v>
      </c>
      <c r="J54" s="5"/>
      <c r="K54" s="5"/>
      <c r="L54" s="33">
        <f t="shared" si="25"/>
        <v>0</v>
      </c>
      <c r="M54" s="33">
        <f t="shared" si="26"/>
        <v>0</v>
      </c>
      <c r="N54" s="22">
        <f t="shared" si="27"/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28">C64*(1-G64)</f>
        <v>480</v>
      </c>
      <c r="J64" s="5"/>
      <c r="K64" s="5"/>
      <c r="L64" s="33">
        <f t="shared" ref="L64:L82" si="29">D64*(1-G64)</f>
        <v>0</v>
      </c>
      <c r="M64" s="33">
        <f t="shared" ref="M64:M82" si="30">IF(J64="",L64,(D64/C64)*J64)</f>
        <v>0</v>
      </c>
      <c r="N64" s="22">
        <f t="shared" ref="N64:N82" si="31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28"/>
        <v>480</v>
      </c>
      <c r="J65" s="5"/>
      <c r="K65" s="5"/>
      <c r="L65" s="33">
        <f t="shared" si="29"/>
        <v>0</v>
      </c>
      <c r="M65" s="33">
        <f t="shared" si="30"/>
        <v>0</v>
      </c>
      <c r="N65" s="22">
        <f t="shared" si="31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28"/>
        <v>480</v>
      </c>
      <c r="J66" s="5"/>
      <c r="K66" s="5"/>
      <c r="L66" s="33">
        <f t="shared" si="29"/>
        <v>0</v>
      </c>
      <c r="M66" s="33">
        <f t="shared" si="30"/>
        <v>0</v>
      </c>
      <c r="N66" s="22">
        <f t="shared" si="31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28"/>
        <v>80</v>
      </c>
      <c r="J67" s="5"/>
      <c r="K67" s="5"/>
      <c r="L67" s="33">
        <f t="shared" si="29"/>
        <v>0</v>
      </c>
      <c r="M67" s="33">
        <f t="shared" si="30"/>
        <v>0</v>
      </c>
      <c r="N67" s="22">
        <f t="shared" si="31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28"/>
        <v>80</v>
      </c>
      <c r="J68" s="5"/>
      <c r="K68" s="5"/>
      <c r="L68" s="33">
        <f t="shared" si="29"/>
        <v>0</v>
      </c>
      <c r="M68" s="33">
        <f t="shared" si="30"/>
        <v>0</v>
      </c>
      <c r="N68" s="22">
        <f t="shared" si="31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28"/>
        <v>80</v>
      </c>
      <c r="J69" s="5"/>
      <c r="K69" s="5"/>
      <c r="L69" s="33">
        <f t="shared" si="29"/>
        <v>0</v>
      </c>
      <c r="M69" s="33">
        <f t="shared" si="30"/>
        <v>0</v>
      </c>
      <c r="N69" s="22">
        <f t="shared" si="31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28"/>
        <v>8</v>
      </c>
      <c r="J70" s="5"/>
      <c r="K70" s="5"/>
      <c r="L70" s="33">
        <f t="shared" si="29"/>
        <v>0</v>
      </c>
      <c r="M70" s="33">
        <f t="shared" si="30"/>
        <v>0</v>
      </c>
      <c r="N70" s="22">
        <f t="shared" si="31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28"/>
        <v>8</v>
      </c>
      <c r="J71" s="5"/>
      <c r="K71" s="5"/>
      <c r="L71" s="33">
        <f t="shared" si="29"/>
        <v>0</v>
      </c>
      <c r="M71" s="33">
        <f t="shared" si="30"/>
        <v>0</v>
      </c>
      <c r="N71" s="22">
        <f t="shared" si="31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28"/>
        <v>8</v>
      </c>
      <c r="J72" s="5"/>
      <c r="K72" s="5"/>
      <c r="L72" s="33">
        <f t="shared" si="29"/>
        <v>0</v>
      </c>
      <c r="M72" s="33">
        <f t="shared" si="30"/>
        <v>0</v>
      </c>
      <c r="N72" s="22">
        <f t="shared" si="31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28"/>
        <v>16</v>
      </c>
      <c r="J73" s="5"/>
      <c r="K73" s="5"/>
      <c r="L73" s="33">
        <f t="shared" si="29"/>
        <v>0</v>
      </c>
      <c r="M73" s="33">
        <f t="shared" si="30"/>
        <v>0</v>
      </c>
      <c r="N73" s="22">
        <f t="shared" si="31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28"/>
        <v>40</v>
      </c>
      <c r="J74" s="5"/>
      <c r="K74" s="5"/>
      <c r="L74" s="33">
        <f t="shared" si="29"/>
        <v>0</v>
      </c>
      <c r="M74" s="33">
        <f t="shared" si="30"/>
        <v>0</v>
      </c>
      <c r="N74" s="22">
        <f t="shared" si="31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28"/>
        <v>30</v>
      </c>
      <c r="J75" s="5"/>
      <c r="K75" s="5"/>
      <c r="L75" s="33">
        <f t="shared" si="29"/>
        <v>0</v>
      </c>
      <c r="M75" s="33">
        <f t="shared" si="30"/>
        <v>0</v>
      </c>
      <c r="N75" s="22">
        <f t="shared" si="31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28"/>
        <v>30</v>
      </c>
      <c r="J76" s="5"/>
      <c r="K76" s="5"/>
      <c r="L76" s="33">
        <f t="shared" si="29"/>
        <v>0</v>
      </c>
      <c r="M76" s="33">
        <f t="shared" si="30"/>
        <v>0</v>
      </c>
      <c r="N76" s="22">
        <f t="shared" si="31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28"/>
        <v>30</v>
      </c>
      <c r="J77" s="5"/>
      <c r="K77" s="5"/>
      <c r="L77" s="33">
        <f t="shared" si="29"/>
        <v>0</v>
      </c>
      <c r="M77" s="33">
        <f t="shared" si="30"/>
        <v>0</v>
      </c>
      <c r="N77" s="22">
        <f t="shared" si="31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28"/>
        <v>30</v>
      </c>
      <c r="J78" s="5"/>
      <c r="K78" s="5"/>
      <c r="L78" s="33">
        <f t="shared" si="29"/>
        <v>0</v>
      </c>
      <c r="M78" s="33">
        <f t="shared" si="30"/>
        <v>0</v>
      </c>
      <c r="N78" s="22">
        <f t="shared" si="31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28"/>
        <v>16</v>
      </c>
      <c r="J79" s="5"/>
      <c r="K79" s="5"/>
      <c r="L79" s="33">
        <f t="shared" si="29"/>
        <v>0</v>
      </c>
      <c r="M79" s="33">
        <f t="shared" si="30"/>
        <v>0</v>
      </c>
      <c r="N79" s="22">
        <f t="shared" si="31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28"/>
        <v>16</v>
      </c>
      <c r="J80" s="5"/>
      <c r="K80" s="5"/>
      <c r="L80" s="33">
        <f t="shared" si="29"/>
        <v>0</v>
      </c>
      <c r="M80" s="33">
        <f t="shared" si="30"/>
        <v>0</v>
      </c>
      <c r="N80" s="22">
        <f t="shared" si="31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28"/>
        <v>16</v>
      </c>
      <c r="J81" s="5"/>
      <c r="K81" s="5"/>
      <c r="L81" s="33">
        <f t="shared" si="29"/>
        <v>0</v>
      </c>
      <c r="M81" s="33">
        <f t="shared" si="30"/>
        <v>0</v>
      </c>
      <c r="N81" s="22">
        <f t="shared" si="31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28"/>
        <v>16</v>
      </c>
      <c r="J82" s="5"/>
      <c r="K82" s="5"/>
      <c r="L82" s="33">
        <f t="shared" si="29"/>
        <v>0</v>
      </c>
      <c r="M82" s="33">
        <f t="shared" si="30"/>
        <v>0</v>
      </c>
      <c r="N82" s="22">
        <f t="shared" si="31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 t="shared" ref="I87:I89" si="32">C87*(1-G87)</f>
        <v>400</v>
      </c>
      <c r="J87" s="5"/>
      <c r="K87" s="5"/>
      <c r="L87" s="33">
        <f t="shared" ref="L87:L89" si="33">D87*(1-G87)</f>
        <v>0</v>
      </c>
      <c r="M87" s="33">
        <f t="shared" ref="M87:M89" si="34">IF(J87="",L87,(D87/C87)*J87)</f>
        <v>0</v>
      </c>
      <c r="N87" s="22">
        <f t="shared" ref="N87:N89" si="35"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 t="shared" si="32"/>
        <v>160</v>
      </c>
      <c r="J88" s="5"/>
      <c r="K88" s="5"/>
      <c r="L88" s="33">
        <f t="shared" si="33"/>
        <v>18807</v>
      </c>
      <c r="M88" s="33">
        <f t="shared" si="34"/>
        <v>18807</v>
      </c>
      <c r="N88" s="22">
        <f t="shared" si="35"/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 t="shared" si="32"/>
        <v>48</v>
      </c>
      <c r="J89" s="5"/>
      <c r="K89" s="5"/>
      <c r="L89" s="33">
        <f t="shared" si="33"/>
        <v>0</v>
      </c>
      <c r="M89" s="33">
        <f t="shared" si="34"/>
        <v>0</v>
      </c>
      <c r="N89" s="22">
        <f t="shared" si="35"/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 t="shared" ref="I91:I95" si="36">C91*(1-G91)</f>
        <v>56</v>
      </c>
      <c r="J91" s="5"/>
      <c r="K91" s="5"/>
      <c r="L91" s="33">
        <f t="shared" ref="L91:L95" si="37">D91*(1-G91)</f>
        <v>8494</v>
      </c>
      <c r="M91" s="33">
        <f t="shared" ref="M91:M95" si="38">IF(J91="",L91,(D91/C91)*J91)</f>
        <v>8494</v>
      </c>
      <c r="N91" s="22">
        <f t="shared" ref="N91:N95" si="39"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 t="shared" si="36"/>
        <v>56</v>
      </c>
      <c r="J92" s="5"/>
      <c r="K92" s="5"/>
      <c r="L92" s="33">
        <f t="shared" si="37"/>
        <v>0</v>
      </c>
      <c r="M92" s="33">
        <f t="shared" si="38"/>
        <v>0</v>
      </c>
      <c r="N92" s="22">
        <f t="shared" si="39"/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 t="shared" si="36"/>
        <v>280</v>
      </c>
      <c r="J93" s="5"/>
      <c r="K93" s="5"/>
      <c r="L93" s="33">
        <f t="shared" si="37"/>
        <v>0</v>
      </c>
      <c r="M93" s="33">
        <f t="shared" si="38"/>
        <v>0</v>
      </c>
      <c r="N93" s="22">
        <f t="shared" si="39"/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 t="shared" si="36"/>
        <v>168</v>
      </c>
      <c r="J94" s="5"/>
      <c r="K94" s="5"/>
      <c r="L94" s="33">
        <f t="shared" si="37"/>
        <v>19748</v>
      </c>
      <c r="M94" s="33">
        <f t="shared" si="38"/>
        <v>19748</v>
      </c>
      <c r="N94" s="22">
        <f t="shared" si="39"/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 t="shared" si="36"/>
        <v>323</v>
      </c>
      <c r="J95" s="5"/>
      <c r="K95" s="5"/>
      <c r="L95" s="33">
        <f t="shared" si="37"/>
        <v>57258</v>
      </c>
      <c r="M95" s="33">
        <f t="shared" si="38"/>
        <v>57258</v>
      </c>
      <c r="N95" s="22">
        <f t="shared" si="39"/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40">C97*(1-G97)</f>
        <v>39.6</v>
      </c>
      <c r="J97" s="5"/>
      <c r="K97" s="5"/>
      <c r="L97" s="33">
        <f t="shared" ref="L97:L104" si="41">D97*(1-G97)</f>
        <v>6006.6</v>
      </c>
      <c r="M97" s="33">
        <f t="shared" ref="M97:M104" si="42">IF(J97="",L97,(D97/C97)*J97)</f>
        <v>6006.6</v>
      </c>
      <c r="N97" s="22">
        <f t="shared" ref="N97:N104" si="43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40"/>
        <v>237.6</v>
      </c>
      <c r="J98" s="5"/>
      <c r="K98" s="5"/>
      <c r="L98" s="33">
        <f t="shared" si="41"/>
        <v>27928.799999999999</v>
      </c>
      <c r="M98" s="33">
        <f t="shared" si="42"/>
        <v>27928.799999999999</v>
      </c>
      <c r="N98" s="22">
        <f t="shared" si="43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40"/>
        <v>39.6</v>
      </c>
      <c r="J99" s="5"/>
      <c r="K99" s="5"/>
      <c r="L99" s="33">
        <f t="shared" si="41"/>
        <v>0</v>
      </c>
      <c r="M99" s="33">
        <f t="shared" si="42"/>
        <v>0</v>
      </c>
      <c r="N99" s="22">
        <f t="shared" si="43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40"/>
        <v>198</v>
      </c>
      <c r="J100" s="5"/>
      <c r="K100" s="5"/>
      <c r="L100" s="33">
        <f t="shared" si="41"/>
        <v>0</v>
      </c>
      <c r="M100" s="33">
        <f t="shared" si="42"/>
        <v>0</v>
      </c>
      <c r="N100" s="22">
        <f t="shared" si="43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40"/>
        <v>164.70000000000002</v>
      </c>
      <c r="J101" s="5"/>
      <c r="K101" s="5"/>
      <c r="L101" s="33">
        <f t="shared" si="41"/>
        <v>29196</v>
      </c>
      <c r="M101" s="33">
        <f t="shared" si="42"/>
        <v>29196</v>
      </c>
      <c r="N101" s="22">
        <f t="shared" si="43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40"/>
        <v>960</v>
      </c>
      <c r="J102" s="5"/>
      <c r="K102" s="5"/>
      <c r="L102" s="33">
        <f t="shared" si="41"/>
        <v>145959</v>
      </c>
      <c r="M102" s="33">
        <f t="shared" si="42"/>
        <v>145959</v>
      </c>
      <c r="N102" s="22">
        <f t="shared" si="43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40"/>
        <v>440</v>
      </c>
      <c r="J103" s="5"/>
      <c r="K103" s="5"/>
      <c r="L103" s="33">
        <f t="shared" si="41"/>
        <v>0</v>
      </c>
      <c r="M103" s="33">
        <f t="shared" si="42"/>
        <v>0</v>
      </c>
      <c r="N103" s="22">
        <f t="shared" si="43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40"/>
        <v>440</v>
      </c>
      <c r="J104" s="5"/>
      <c r="K104" s="5"/>
      <c r="L104" s="33">
        <f t="shared" si="41"/>
        <v>78182</v>
      </c>
      <c r="M104" s="33">
        <f t="shared" si="42"/>
        <v>78182</v>
      </c>
      <c r="N104" s="22">
        <f t="shared" si="43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 t="shared" ref="I106:I107" si="44">C106*(1-G106)</f>
        <v>12</v>
      </c>
      <c r="J106" s="5"/>
      <c r="K106" s="5"/>
      <c r="L106" s="33">
        <f t="shared" ref="L106:L107" si="45">D106*(1-G106)</f>
        <v>0</v>
      </c>
      <c r="M106" s="33">
        <f t="shared" ref="M106:M107" si="46">IF(J106="",L106,(D106/C106)*J106)</f>
        <v>0</v>
      </c>
      <c r="N106" s="22">
        <f t="shared" ref="N106:N107" si="47"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 t="shared" si="44"/>
        <v>12</v>
      </c>
      <c r="J107" s="5"/>
      <c r="K107" s="5"/>
      <c r="L107" s="33">
        <f t="shared" si="45"/>
        <v>1766.5</v>
      </c>
      <c r="M107" s="33">
        <f t="shared" si="46"/>
        <v>1766.5</v>
      </c>
      <c r="N107" s="22">
        <f t="shared" si="47"/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 t="shared" ref="I109:I113" si="48">C109*(1-G109)</f>
        <v>43.2</v>
      </c>
      <c r="J109" s="5"/>
      <c r="K109" s="5"/>
      <c r="L109" s="33">
        <f t="shared" ref="L109:L113" si="49">D109*(1-G109)</f>
        <v>6362.1</v>
      </c>
      <c r="M109" s="33">
        <f t="shared" ref="M109:M113" si="50">IF(J109="",L109,(D109/C109)*J109)</f>
        <v>6362.1</v>
      </c>
      <c r="N109" s="22">
        <f t="shared" ref="N109:N113" si="51"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 t="shared" si="48"/>
        <v>1728</v>
      </c>
      <c r="J110" s="5"/>
      <c r="K110" s="5"/>
      <c r="L110" s="33">
        <f t="shared" si="49"/>
        <v>0</v>
      </c>
      <c r="M110" s="33">
        <f t="shared" si="50"/>
        <v>0</v>
      </c>
      <c r="N110" s="22">
        <f t="shared" si="51"/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 t="shared" si="48"/>
        <v>432</v>
      </c>
      <c r="J111" s="5"/>
      <c r="K111" s="5"/>
      <c r="L111" s="33">
        <f t="shared" si="49"/>
        <v>49301.1</v>
      </c>
      <c r="M111" s="33">
        <f t="shared" si="50"/>
        <v>49301.1</v>
      </c>
      <c r="N111" s="22">
        <f t="shared" si="51"/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 t="shared" si="48"/>
        <v>18</v>
      </c>
      <c r="J112" s="5"/>
      <c r="K112" s="5"/>
      <c r="L112" s="33">
        <f t="shared" si="49"/>
        <v>2657.25</v>
      </c>
      <c r="M112" s="33">
        <f t="shared" si="50"/>
        <v>2657.25</v>
      </c>
      <c r="N112" s="22">
        <f t="shared" si="51"/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 t="shared" si="48"/>
        <v>360</v>
      </c>
      <c r="J113" s="5"/>
      <c r="K113" s="5"/>
      <c r="L113" s="33">
        <f t="shared" si="49"/>
        <v>0</v>
      </c>
      <c r="M113" s="33">
        <f t="shared" si="50"/>
        <v>0</v>
      </c>
      <c r="N113" s="22">
        <f t="shared" si="51"/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52">C115*(1-G115)</f>
        <v>415.8</v>
      </c>
      <c r="J115" s="5"/>
      <c r="K115" s="5"/>
      <c r="L115" s="33">
        <f t="shared" ref="L115:L123" si="53">D115*(1-G115)</f>
        <v>63196.200000000004</v>
      </c>
      <c r="M115" s="33">
        <f t="shared" ref="M115:M123" si="54">IF(J115="",L115,(D115/C115)*J115)</f>
        <v>63196.200000000004</v>
      </c>
      <c r="N115" s="22">
        <f t="shared" ref="N115:N123" si="55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52"/>
        <v>415.8</v>
      </c>
      <c r="J116" s="5"/>
      <c r="K116" s="5"/>
      <c r="L116" s="33">
        <f t="shared" si="53"/>
        <v>48973.5</v>
      </c>
      <c r="M116" s="33">
        <f t="shared" si="54"/>
        <v>48973.5</v>
      </c>
      <c r="N116" s="22">
        <f t="shared" si="55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52"/>
        <v>4147.2</v>
      </c>
      <c r="J117" s="5"/>
      <c r="K117" s="5"/>
      <c r="L117" s="33">
        <f t="shared" si="53"/>
        <v>0</v>
      </c>
      <c r="M117" s="33">
        <f t="shared" si="54"/>
        <v>0</v>
      </c>
      <c r="N117" s="22">
        <f t="shared" si="55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52"/>
        <v>159.38999999999999</v>
      </c>
      <c r="J118" s="5"/>
      <c r="K118" s="5"/>
      <c r="L118" s="33">
        <f t="shared" si="53"/>
        <v>24228.66</v>
      </c>
      <c r="M118" s="33">
        <f t="shared" si="54"/>
        <v>24228.66</v>
      </c>
      <c r="N118" s="22">
        <f t="shared" si="55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52"/>
        <v>318.77999999999997</v>
      </c>
      <c r="J119" s="5"/>
      <c r="K119" s="5"/>
      <c r="L119" s="33">
        <f t="shared" si="53"/>
        <v>37551.869999999995</v>
      </c>
      <c r="M119" s="33">
        <f t="shared" si="54"/>
        <v>37551.869999999995</v>
      </c>
      <c r="N119" s="22">
        <f t="shared" si="55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52"/>
        <v>1589.7599999999998</v>
      </c>
      <c r="J120" s="5"/>
      <c r="K120" s="5"/>
      <c r="L120" s="33">
        <f t="shared" si="53"/>
        <v>0</v>
      </c>
      <c r="M120" s="33">
        <f t="shared" si="54"/>
        <v>0</v>
      </c>
      <c r="N120" s="22">
        <f t="shared" si="55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52"/>
        <v>318.77999999999997</v>
      </c>
      <c r="J121" s="5"/>
      <c r="K121" s="5"/>
      <c r="L121" s="33">
        <f t="shared" si="53"/>
        <v>67753.17</v>
      </c>
      <c r="M121" s="33">
        <f t="shared" si="54"/>
        <v>67753.17</v>
      </c>
      <c r="N121" s="22">
        <f t="shared" si="55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52"/>
        <v>159.38999999999999</v>
      </c>
      <c r="J122" s="5"/>
      <c r="K122" s="5"/>
      <c r="L122" s="33">
        <f t="shared" si="53"/>
        <v>24228.66</v>
      </c>
      <c r="M122" s="33">
        <f t="shared" si="54"/>
        <v>24228.66</v>
      </c>
      <c r="N122" s="22">
        <f t="shared" si="55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52"/>
        <v>159.38999999999999</v>
      </c>
      <c r="J123" s="5"/>
      <c r="K123" s="5"/>
      <c r="L123" s="33">
        <f t="shared" si="53"/>
        <v>18775.59</v>
      </c>
      <c r="M123" s="33">
        <f t="shared" si="54"/>
        <v>18775.59</v>
      </c>
      <c r="N123" s="22">
        <f t="shared" si="55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 t="shared" ref="I125:I129" si="56">C125*(1-G125)</f>
        <v>128.4</v>
      </c>
      <c r="J125" s="5"/>
      <c r="K125" s="5"/>
      <c r="L125" s="33">
        <f t="shared" ref="L125:L129" si="57">D125*(1-G125)</f>
        <v>16697.600000000002</v>
      </c>
      <c r="M125" s="33">
        <f t="shared" ref="M125:M129" si="58">IF(J125="",L125,(D125/C125)*J125)</f>
        <v>16697.600000000002</v>
      </c>
      <c r="N125" s="22">
        <f t="shared" ref="N125:N129" si="59"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 t="shared" si="56"/>
        <v>32</v>
      </c>
      <c r="J126" s="5"/>
      <c r="K126" s="5"/>
      <c r="L126" s="33">
        <f t="shared" si="57"/>
        <v>5661.2000000000007</v>
      </c>
      <c r="M126" s="33">
        <f t="shared" si="58"/>
        <v>5661.2000000000007</v>
      </c>
      <c r="N126" s="22">
        <f t="shared" si="59"/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 t="shared" si="56"/>
        <v>32</v>
      </c>
      <c r="J127" s="5"/>
      <c r="K127" s="5"/>
      <c r="L127" s="33">
        <f t="shared" si="57"/>
        <v>3754</v>
      </c>
      <c r="M127" s="33">
        <f t="shared" si="58"/>
        <v>3754</v>
      </c>
      <c r="N127" s="22">
        <f t="shared" si="59"/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 t="shared" si="56"/>
        <v>70.400000000000006</v>
      </c>
      <c r="J128" s="5"/>
      <c r="K128" s="5"/>
      <c r="L128" s="33">
        <f t="shared" si="57"/>
        <v>0</v>
      </c>
      <c r="M128" s="33">
        <f t="shared" si="58"/>
        <v>0</v>
      </c>
      <c r="N128" s="22">
        <f t="shared" si="59"/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 t="shared" si="56"/>
        <v>70.400000000000006</v>
      </c>
      <c r="J129" s="5"/>
      <c r="K129" s="5"/>
      <c r="L129" s="33">
        <f t="shared" si="57"/>
        <v>0</v>
      </c>
      <c r="M129" s="33">
        <f t="shared" si="58"/>
        <v>0</v>
      </c>
      <c r="N129" s="22">
        <f t="shared" si="59"/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60">C131*(1-G131)</f>
        <v>64</v>
      </c>
      <c r="J131" s="5"/>
      <c r="K131" s="5"/>
      <c r="L131" s="33">
        <f t="shared" ref="L131:L136" si="61">D131*(1-G131)</f>
        <v>11345</v>
      </c>
      <c r="M131" s="33">
        <f t="shared" ref="M131:M136" si="62">IF(J131="",L131,(D131/C131)*J131)</f>
        <v>11345</v>
      </c>
      <c r="N131" s="22">
        <f t="shared" ref="N131:N136" si="63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60"/>
        <v>240</v>
      </c>
      <c r="J132" s="5"/>
      <c r="K132" s="5"/>
      <c r="L132" s="33">
        <f t="shared" si="61"/>
        <v>0</v>
      </c>
      <c r="M132" s="33">
        <f t="shared" si="62"/>
        <v>0</v>
      </c>
      <c r="N132" s="22">
        <f t="shared" si="63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60"/>
        <v>960</v>
      </c>
      <c r="J133" s="5"/>
      <c r="K133" s="5"/>
      <c r="L133" s="33">
        <f t="shared" si="61"/>
        <v>125093</v>
      </c>
      <c r="M133" s="33">
        <f t="shared" si="62"/>
        <v>125093</v>
      </c>
      <c r="N133" s="22">
        <f t="shared" si="63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60"/>
        <v>87.999999999999986</v>
      </c>
      <c r="J134" s="5"/>
      <c r="K134" s="5"/>
      <c r="L134" s="33">
        <f t="shared" si="61"/>
        <v>13005.999999999996</v>
      </c>
      <c r="M134" s="33">
        <f t="shared" si="62"/>
        <v>13005.999999999996</v>
      </c>
      <c r="N134" s="22">
        <f t="shared" si="63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60"/>
        <v>87.999999999999986</v>
      </c>
      <c r="J135" s="5"/>
      <c r="K135" s="5"/>
      <c r="L135" s="33">
        <f t="shared" si="61"/>
        <v>15199.799999999997</v>
      </c>
      <c r="M135" s="33">
        <f t="shared" si="62"/>
        <v>15199.799999999997</v>
      </c>
      <c r="N135" s="22">
        <f t="shared" si="63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60"/>
        <v>175.99999999999997</v>
      </c>
      <c r="J136" s="5"/>
      <c r="K136" s="5"/>
      <c r="L136" s="33">
        <f t="shared" si="61"/>
        <v>0</v>
      </c>
      <c r="M136" s="33">
        <f t="shared" si="62"/>
        <v>0</v>
      </c>
      <c r="N136" s="22">
        <f t="shared" si="63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 t="shared" ref="I138:I139" si="64">C138*(1-G138)</f>
        <v>32</v>
      </c>
      <c r="J138" s="5"/>
      <c r="K138" s="5"/>
      <c r="L138" s="33">
        <f t="shared" ref="L138:L139" si="65">D138*(1-G138)</f>
        <v>0</v>
      </c>
      <c r="M138" s="33">
        <f t="shared" ref="M138:M139" si="66">IF(J138="",L138,(D138/C138)*J138)</f>
        <v>0</v>
      </c>
      <c r="N138" s="22">
        <f t="shared" ref="N138:N139" si="67"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 t="shared" si="64"/>
        <v>32</v>
      </c>
      <c r="J139" s="5"/>
      <c r="K139" s="5"/>
      <c r="L139" s="33">
        <f t="shared" si="65"/>
        <v>5673</v>
      </c>
      <c r="M139" s="33">
        <f t="shared" si="66"/>
        <v>5673</v>
      </c>
      <c r="N139" s="22">
        <f t="shared" si="67"/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 t="shared" ref="I141:I142" si="68">C141*(1-G141)</f>
        <v>32</v>
      </c>
      <c r="J141" s="5"/>
      <c r="K141" s="5"/>
      <c r="L141" s="33">
        <f t="shared" ref="L141:L142" si="69">D141*(1-G141)</f>
        <v>0</v>
      </c>
      <c r="M141" s="33">
        <f t="shared" ref="M141:M142" si="70">IF(J141="",L141,(D141/C141)*J141)</f>
        <v>0</v>
      </c>
      <c r="N141" s="22">
        <f t="shared" ref="N141:N142" si="71"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 t="shared" si="68"/>
        <v>32</v>
      </c>
      <c r="J142" s="5"/>
      <c r="K142" s="5"/>
      <c r="L142" s="33">
        <f t="shared" si="69"/>
        <v>5673</v>
      </c>
      <c r="M142" s="33">
        <f t="shared" si="70"/>
        <v>5673</v>
      </c>
      <c r="N142" s="22">
        <f t="shared" si="71"/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72">C144*(1-G144)</f>
        <v>4.0000000000000036</v>
      </c>
      <c r="J144" s="5"/>
      <c r="K144" s="5"/>
      <c r="L144" s="33">
        <f t="shared" ref="L144:L153" si="73">D144*(1-G144)</f>
        <v>688.40000000000066</v>
      </c>
      <c r="M144" s="33">
        <f t="shared" ref="M144:M153" si="74">IF(J144="",L144,(D144/C144)*J144)</f>
        <v>688.40000000000066</v>
      </c>
      <c r="N144" s="22">
        <f t="shared" ref="N144:N153" si="75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72"/>
        <v>12.000000000000011</v>
      </c>
      <c r="J145" s="5"/>
      <c r="K145" s="5"/>
      <c r="L145" s="33">
        <f t="shared" si="73"/>
        <v>0</v>
      </c>
      <c r="M145" s="33">
        <f t="shared" si="74"/>
        <v>0</v>
      </c>
      <c r="N145" s="22">
        <f t="shared" si="75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72"/>
        <v>12.000000000000011</v>
      </c>
      <c r="J146" s="5"/>
      <c r="K146" s="5"/>
      <c r="L146" s="33">
        <f t="shared" si="73"/>
        <v>1518.1000000000013</v>
      </c>
      <c r="M146" s="33">
        <f t="shared" si="74"/>
        <v>1518.1000000000013</v>
      </c>
      <c r="N146" s="22">
        <f t="shared" si="75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72"/>
        <v>32</v>
      </c>
      <c r="J147" s="5"/>
      <c r="K147" s="5"/>
      <c r="L147" s="33">
        <f t="shared" si="73"/>
        <v>5507.2000000000007</v>
      </c>
      <c r="M147" s="33">
        <f t="shared" si="74"/>
        <v>5507.2000000000007</v>
      </c>
      <c r="N147" s="22">
        <f t="shared" si="75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72"/>
        <v>40</v>
      </c>
      <c r="J148" s="5"/>
      <c r="K148" s="5"/>
      <c r="L148" s="33">
        <f t="shared" si="73"/>
        <v>0</v>
      </c>
      <c r="M148" s="33">
        <f t="shared" si="74"/>
        <v>0</v>
      </c>
      <c r="N148" s="22">
        <f t="shared" si="75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72"/>
        <v>80</v>
      </c>
      <c r="J149" s="5"/>
      <c r="K149" s="5"/>
      <c r="L149" s="33">
        <f t="shared" si="73"/>
        <v>0</v>
      </c>
      <c r="M149" s="33">
        <f t="shared" si="74"/>
        <v>0</v>
      </c>
      <c r="N149" s="22">
        <f t="shared" si="75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72"/>
        <v>32</v>
      </c>
      <c r="J150" s="5"/>
      <c r="K150" s="5"/>
      <c r="L150" s="33">
        <f t="shared" si="73"/>
        <v>4048.4</v>
      </c>
      <c r="M150" s="33">
        <f t="shared" si="74"/>
        <v>4048.4</v>
      </c>
      <c r="N150" s="22">
        <f t="shared" si="75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72"/>
        <v>64</v>
      </c>
      <c r="J151" s="5"/>
      <c r="K151" s="5"/>
      <c r="L151" s="33">
        <f t="shared" si="73"/>
        <v>11015</v>
      </c>
      <c r="M151" s="33">
        <f t="shared" si="74"/>
        <v>11015</v>
      </c>
      <c r="N151" s="22">
        <f t="shared" si="75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72"/>
        <v>60</v>
      </c>
      <c r="J152" s="5"/>
      <c r="K152" s="5"/>
      <c r="L152" s="33">
        <f t="shared" si="73"/>
        <v>0</v>
      </c>
      <c r="M152" s="33">
        <f t="shared" si="74"/>
        <v>0</v>
      </c>
      <c r="N152" s="22">
        <f t="shared" si="75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72"/>
        <v>80</v>
      </c>
      <c r="J153" s="5"/>
      <c r="K153" s="5"/>
      <c r="L153" s="33">
        <f t="shared" si="73"/>
        <v>10121</v>
      </c>
      <c r="M153" s="33">
        <f t="shared" si="74"/>
        <v>10121</v>
      </c>
      <c r="N153" s="22">
        <f t="shared" si="75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76">C155*(1-G155)</f>
        <v>64</v>
      </c>
      <c r="J155" s="5"/>
      <c r="K155" s="5"/>
      <c r="L155" s="33">
        <f t="shared" ref="L155:L163" si="77">D155*(1-G155)</f>
        <v>0</v>
      </c>
      <c r="M155" s="33">
        <f t="shared" ref="M155:M163" si="78">IF(J155="",L155,(D155/C155)*J155)</f>
        <v>0</v>
      </c>
      <c r="N155" s="22">
        <f t="shared" ref="N155:N163" si="79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76"/>
        <v>64</v>
      </c>
      <c r="J156" s="5"/>
      <c r="K156" s="5"/>
      <c r="L156" s="33">
        <f t="shared" si="77"/>
        <v>11015</v>
      </c>
      <c r="M156" s="33">
        <f t="shared" si="78"/>
        <v>11015</v>
      </c>
      <c r="N156" s="22">
        <f t="shared" si="79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76"/>
        <v>406</v>
      </c>
      <c r="J157" s="5"/>
      <c r="K157" s="5"/>
      <c r="L157" s="33">
        <f t="shared" si="77"/>
        <v>51363</v>
      </c>
      <c r="M157" s="33">
        <f t="shared" si="78"/>
        <v>51363</v>
      </c>
      <c r="N157" s="22">
        <f t="shared" si="79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76"/>
        <v>80</v>
      </c>
      <c r="J158" s="5"/>
      <c r="K158" s="5"/>
      <c r="L158" s="33">
        <f t="shared" si="77"/>
        <v>10424</v>
      </c>
      <c r="M158" s="33">
        <f t="shared" si="78"/>
        <v>10424</v>
      </c>
      <c r="N158" s="22">
        <f t="shared" si="79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76"/>
        <v>320</v>
      </c>
      <c r="J159" s="5"/>
      <c r="K159" s="5"/>
      <c r="L159" s="33">
        <f t="shared" si="77"/>
        <v>37615</v>
      </c>
      <c r="M159" s="33">
        <f t="shared" si="78"/>
        <v>37615</v>
      </c>
      <c r="N159" s="22">
        <f t="shared" si="79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76"/>
        <v>160</v>
      </c>
      <c r="J160" s="5"/>
      <c r="K160" s="5"/>
      <c r="L160" s="33">
        <f t="shared" si="77"/>
        <v>0</v>
      </c>
      <c r="M160" s="33">
        <f t="shared" si="78"/>
        <v>0</v>
      </c>
      <c r="N160" s="22">
        <f t="shared" si="79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76"/>
        <v>72</v>
      </c>
      <c r="J161" s="5"/>
      <c r="K161" s="5"/>
      <c r="L161" s="33">
        <f t="shared" si="77"/>
        <v>12763</v>
      </c>
      <c r="M161" s="33">
        <f t="shared" si="78"/>
        <v>12763</v>
      </c>
      <c r="N161" s="22">
        <f t="shared" si="79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76"/>
        <v>108</v>
      </c>
      <c r="J162" s="5"/>
      <c r="K162" s="5"/>
      <c r="L162" s="33">
        <f t="shared" si="77"/>
        <v>0</v>
      </c>
      <c r="M162" s="33">
        <f t="shared" si="78"/>
        <v>0</v>
      </c>
      <c r="N162" s="22">
        <f t="shared" si="79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76"/>
        <v>108</v>
      </c>
      <c r="J163" s="5"/>
      <c r="K163" s="5"/>
      <c r="L163" s="33">
        <f t="shared" si="77"/>
        <v>14073</v>
      </c>
      <c r="M163" s="33">
        <f t="shared" si="78"/>
        <v>14073</v>
      </c>
      <c r="N163" s="22">
        <f t="shared" si="79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 t="shared" ref="I165:I169" si="80">C165*(1-G165)</f>
        <v>0.80000000000000071</v>
      </c>
      <c r="J165" s="5"/>
      <c r="K165" s="5"/>
      <c r="L165" s="33">
        <f t="shared" ref="L165:L169" si="81">D165*(1-G165)</f>
        <v>137.70000000000013</v>
      </c>
      <c r="M165" s="33">
        <f t="shared" ref="M165:M169" si="82">IF(J165="",L165,(D165/C165)*J165)</f>
        <v>137.70000000000013</v>
      </c>
      <c r="N165" s="22">
        <f t="shared" ref="N165:N169" si="83"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 t="shared" si="80"/>
        <v>4.0000000000000036</v>
      </c>
      <c r="J166" s="5"/>
      <c r="K166" s="5"/>
      <c r="L166" s="33">
        <f t="shared" si="81"/>
        <v>0</v>
      </c>
      <c r="M166" s="33">
        <f t="shared" si="82"/>
        <v>0</v>
      </c>
      <c r="N166" s="22">
        <f t="shared" si="83"/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 t="shared" si="80"/>
        <v>2.0000000000000018</v>
      </c>
      <c r="J167" s="5"/>
      <c r="K167" s="5"/>
      <c r="L167" s="33">
        <f t="shared" si="81"/>
        <v>0</v>
      </c>
      <c r="M167" s="33">
        <f t="shared" si="82"/>
        <v>0</v>
      </c>
      <c r="N167" s="22">
        <f t="shared" si="83"/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 t="shared" si="80"/>
        <v>12</v>
      </c>
      <c r="J168" s="5"/>
      <c r="K168" s="5"/>
      <c r="L168" s="33">
        <f t="shared" si="81"/>
        <v>2065</v>
      </c>
      <c r="M168" s="33">
        <f t="shared" si="82"/>
        <v>2065</v>
      </c>
      <c r="N168" s="22">
        <f t="shared" si="83"/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 t="shared" si="80"/>
        <v>30</v>
      </c>
      <c r="J169" s="5"/>
      <c r="K169" s="5"/>
      <c r="L169" s="33">
        <f t="shared" si="81"/>
        <v>0</v>
      </c>
      <c r="M169" s="33">
        <f t="shared" si="82"/>
        <v>0</v>
      </c>
      <c r="N169" s="22">
        <f t="shared" si="83"/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84">C171*(1-G171)</f>
        <v>25.6</v>
      </c>
      <c r="J171" s="5"/>
      <c r="K171" s="5"/>
      <c r="L171" s="33">
        <f t="shared" ref="L171:L177" si="85">D171*(1-G171)</f>
        <v>4406</v>
      </c>
      <c r="M171" s="33">
        <f t="shared" ref="M171:M177" si="86">IF(J171="",L171,(D171/C171)*J171)</f>
        <v>4406</v>
      </c>
      <c r="N171" s="22">
        <f t="shared" ref="N171:N177" si="87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84"/>
        <v>25.6</v>
      </c>
      <c r="J172" s="5"/>
      <c r="K172" s="5"/>
      <c r="L172" s="33">
        <f t="shared" si="85"/>
        <v>0</v>
      </c>
      <c r="M172" s="33">
        <f t="shared" si="86"/>
        <v>0</v>
      </c>
      <c r="N172" s="22">
        <f t="shared" si="87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84"/>
        <v>224</v>
      </c>
      <c r="J173" s="5"/>
      <c r="K173" s="5"/>
      <c r="L173" s="33">
        <f t="shared" si="85"/>
        <v>28338</v>
      </c>
      <c r="M173" s="33">
        <f t="shared" si="86"/>
        <v>28338</v>
      </c>
      <c r="N173" s="22">
        <f t="shared" si="87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84"/>
        <v>128</v>
      </c>
      <c r="J174" s="5"/>
      <c r="K174" s="5"/>
      <c r="L174" s="33">
        <f t="shared" si="85"/>
        <v>22690</v>
      </c>
      <c r="M174" s="33">
        <f t="shared" si="86"/>
        <v>22690</v>
      </c>
      <c r="N174" s="22">
        <f t="shared" si="87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84"/>
        <v>192</v>
      </c>
      <c r="J175" s="5"/>
      <c r="K175" s="5"/>
      <c r="L175" s="33">
        <f t="shared" si="85"/>
        <v>0</v>
      </c>
      <c r="M175" s="33">
        <f t="shared" si="86"/>
        <v>0</v>
      </c>
      <c r="N175" s="22">
        <f t="shared" si="87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84"/>
        <v>320</v>
      </c>
      <c r="J176" s="5"/>
      <c r="K176" s="5"/>
      <c r="L176" s="33">
        <f t="shared" si="85"/>
        <v>41698</v>
      </c>
      <c r="M176" s="33">
        <f t="shared" si="86"/>
        <v>41698</v>
      </c>
      <c r="N176" s="22">
        <f t="shared" si="87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84"/>
        <v>144</v>
      </c>
      <c r="J177" s="5"/>
      <c r="K177" s="5"/>
      <c r="L177" s="33">
        <f t="shared" si="85"/>
        <v>18764</v>
      </c>
      <c r="M177" s="33">
        <f t="shared" si="86"/>
        <v>18764</v>
      </c>
      <c r="N177" s="22">
        <f t="shared" si="87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 t="shared" ref="I179:I183" si="88">C179*(1-G179)</f>
        <v>16</v>
      </c>
      <c r="J179" s="5"/>
      <c r="K179" s="5"/>
      <c r="L179" s="33">
        <f t="shared" ref="L179:L183" si="89">D179*(1-G179)</f>
        <v>2085</v>
      </c>
      <c r="M179" s="33">
        <f t="shared" ref="M179:M183" si="90">IF(J179="",L179,(D179/C179)*J179)</f>
        <v>2085</v>
      </c>
      <c r="N179" s="22">
        <f t="shared" ref="N179:N183" si="91"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 t="shared" si="88"/>
        <v>48</v>
      </c>
      <c r="J180" s="5"/>
      <c r="K180" s="5"/>
      <c r="L180" s="33">
        <f t="shared" si="89"/>
        <v>8509</v>
      </c>
      <c r="M180" s="33">
        <f t="shared" si="90"/>
        <v>8509</v>
      </c>
      <c r="N180" s="22">
        <f t="shared" si="91"/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 t="shared" si="88"/>
        <v>48</v>
      </c>
      <c r="J181" s="5"/>
      <c r="K181" s="5"/>
      <c r="L181" s="33">
        <f t="shared" si="89"/>
        <v>0</v>
      </c>
      <c r="M181" s="33">
        <f t="shared" si="90"/>
        <v>0</v>
      </c>
      <c r="N181" s="22">
        <f t="shared" si="91"/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 t="shared" si="88"/>
        <v>80</v>
      </c>
      <c r="J182" s="5"/>
      <c r="K182" s="5"/>
      <c r="L182" s="33">
        <f t="shared" si="89"/>
        <v>14182</v>
      </c>
      <c r="M182" s="33">
        <f t="shared" si="90"/>
        <v>14182</v>
      </c>
      <c r="N182" s="22">
        <f t="shared" si="91"/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 t="shared" si="88"/>
        <v>80</v>
      </c>
      <c r="J183" s="5"/>
      <c r="K183" s="5"/>
      <c r="L183" s="33">
        <f t="shared" si="89"/>
        <v>0</v>
      </c>
      <c r="M183" s="33">
        <f t="shared" si="90"/>
        <v>0</v>
      </c>
      <c r="N183" s="22">
        <f t="shared" si="91"/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 t="shared" ref="I186:I187" si="92">C186*(1-G186)</f>
        <v>268.8</v>
      </c>
      <c r="J186" s="5"/>
      <c r="K186" s="5"/>
      <c r="L186" s="33">
        <f t="shared" ref="L186:L187" si="93">D186*(1-G186)</f>
        <v>43665.408000000003</v>
      </c>
      <c r="M186" s="33">
        <f t="shared" ref="M186:M187" si="94">IF(J186="",L186,(D186/C186)*J186)</f>
        <v>43665.408000000003</v>
      </c>
      <c r="N186" s="22">
        <f t="shared" ref="N186:N187" si="95"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 t="shared" si="92"/>
        <v>68</v>
      </c>
      <c r="J187" s="5"/>
      <c r="K187" s="5"/>
      <c r="L187" s="33">
        <f t="shared" si="93"/>
        <v>11361</v>
      </c>
      <c r="M187" s="33">
        <f t="shared" si="94"/>
        <v>11361</v>
      </c>
      <c r="N187" s="22">
        <f t="shared" si="95"/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 t="shared" ref="I189" si="96">C189*(1-G189)</f>
        <v>1280</v>
      </c>
      <c r="J189" s="5"/>
      <c r="K189" s="5"/>
      <c r="L189" s="33">
        <f t="shared" ref="L189" si="97">D189*(1-G189)</f>
        <v>1767.68</v>
      </c>
      <c r="M189" s="33">
        <f t="shared" ref="M189" si="98">IF(J189="",L189,(D189/C189)*J189)</f>
        <v>1767.68</v>
      </c>
      <c r="N189" s="22">
        <f t="shared" ref="N189" si="99"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 t="shared" ref="I191:I193" si="100">C191*(1-G191)</f>
        <v>551</v>
      </c>
      <c r="J191" s="5"/>
      <c r="K191" s="5"/>
      <c r="L191" s="33">
        <f t="shared" ref="L191:L193" si="101">D191*(1-G191)</f>
        <v>639.5</v>
      </c>
      <c r="M191" s="33">
        <f t="shared" ref="M191:M193" si="102">IF(J191="",L191,(D191/C191)*J191)</f>
        <v>639.5</v>
      </c>
      <c r="N191" s="22">
        <f t="shared" ref="N191:N193" si="103"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 t="shared" si="100"/>
        <v>13399.999999999998</v>
      </c>
      <c r="J192" s="5"/>
      <c r="K192" s="5"/>
      <c r="L192" s="33">
        <f t="shared" si="101"/>
        <v>15580.179999999998</v>
      </c>
      <c r="M192" s="33">
        <f t="shared" si="102"/>
        <v>15580.179999999998</v>
      </c>
      <c r="N192" s="22">
        <f t="shared" si="103"/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 t="shared" si="100"/>
        <v>845.70000000000016</v>
      </c>
      <c r="J193" s="5"/>
      <c r="K193" s="5"/>
      <c r="L193" s="33">
        <f t="shared" si="101"/>
        <v>88084.729200000016</v>
      </c>
      <c r="M193" s="33">
        <f t="shared" si="102"/>
        <v>88084.729200000016</v>
      </c>
      <c r="N193" s="22">
        <f t="shared" si="103"/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 t="shared" ref="I195:I196" si="104">C195*(1-G195)</f>
        <v>144.00000000000003</v>
      </c>
      <c r="J195" s="5"/>
      <c r="K195" s="5"/>
      <c r="L195" s="33">
        <f t="shared" ref="L195:L196" si="105">D195*(1-G195)</f>
        <v>9469.5000000000018</v>
      </c>
      <c r="M195" s="33">
        <f t="shared" ref="M195:M196" si="106">IF(J195="",L195,(D195/C195)*J195)</f>
        <v>9469.5000000000018</v>
      </c>
      <c r="N195" s="22">
        <f t="shared" ref="N195:N196" si="107"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 t="shared" si="104"/>
        <v>144.00000000000003</v>
      </c>
      <c r="J196" s="5"/>
      <c r="K196" s="5"/>
      <c r="L196" s="33">
        <f t="shared" si="105"/>
        <v>9475.9500000000007</v>
      </c>
      <c r="M196" s="33">
        <f t="shared" si="106"/>
        <v>9475.9500000000007</v>
      </c>
      <c r="N196" s="22">
        <f t="shared" si="107"/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108">C198*(1-G198)</f>
        <v>49447.41</v>
      </c>
      <c r="J198" s="5"/>
      <c r="K198" s="5"/>
      <c r="L198" s="33">
        <f t="shared" ref="L198:L205" si="109">D198*(1-G198)</f>
        <v>57392.862000000001</v>
      </c>
      <c r="M198" s="33">
        <f t="shared" ref="M198:M205" si="110">IF(J198="",L198,(D198/C198)*J198)</f>
        <v>57392.862000000001</v>
      </c>
      <c r="N198" s="22">
        <f t="shared" ref="N198:N205" si="111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108"/>
        <v>19814.883999999998</v>
      </c>
      <c r="J199" s="5"/>
      <c r="K199" s="5"/>
      <c r="L199" s="33">
        <f t="shared" si="109"/>
        <v>22998.571999999996</v>
      </c>
      <c r="M199" s="33">
        <f t="shared" si="110"/>
        <v>22998.571999999996</v>
      </c>
      <c r="N199" s="22">
        <f t="shared" si="111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108"/>
        <v>37631.087999999989</v>
      </c>
      <c r="J200" s="5"/>
      <c r="K200" s="5"/>
      <c r="L200" s="33">
        <f t="shared" si="109"/>
        <v>43677.80999999999</v>
      </c>
      <c r="M200" s="33">
        <f t="shared" si="110"/>
        <v>43677.80999999999</v>
      </c>
      <c r="N200" s="22">
        <f t="shared" si="111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108"/>
        <v>150983</v>
      </c>
      <c r="J201" s="5"/>
      <c r="K201" s="5"/>
      <c r="L201" s="33">
        <f t="shared" si="109"/>
        <v>175244</v>
      </c>
      <c r="M201" s="33">
        <f t="shared" si="110"/>
        <v>175244</v>
      </c>
      <c r="N201" s="22">
        <f t="shared" si="111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108"/>
        <v>40004.100000000006</v>
      </c>
      <c r="J202" s="5"/>
      <c r="K202" s="5"/>
      <c r="L202" s="33">
        <f t="shared" si="109"/>
        <v>46432.200000000004</v>
      </c>
      <c r="M202" s="33">
        <f t="shared" si="110"/>
        <v>46432.200000000004</v>
      </c>
      <c r="N202" s="22">
        <f t="shared" si="111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108"/>
        <v>100199.99999999999</v>
      </c>
      <c r="J203" s="5"/>
      <c r="K203" s="5"/>
      <c r="L203" s="33">
        <f t="shared" si="109"/>
        <v>116300.80399999999</v>
      </c>
      <c r="M203" s="33">
        <f t="shared" si="110"/>
        <v>116300.80399999999</v>
      </c>
      <c r="N203" s="22">
        <f t="shared" si="111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108"/>
        <v>802.19999999999993</v>
      </c>
      <c r="J204" s="5"/>
      <c r="K204" s="5"/>
      <c r="L204" s="33">
        <f t="shared" si="109"/>
        <v>64032.138799999993</v>
      </c>
      <c r="M204" s="33">
        <f t="shared" si="110"/>
        <v>64032.138799999993</v>
      </c>
      <c r="N204" s="22">
        <f t="shared" si="111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108"/>
        <v>0</v>
      </c>
      <c r="J205" s="5"/>
      <c r="K205" s="5"/>
      <c r="L205" s="33">
        <f t="shared" si="109"/>
        <v>0</v>
      </c>
      <c r="M205" s="33">
        <f t="shared" si="110"/>
        <v>0</v>
      </c>
      <c r="N205" s="22">
        <f t="shared" si="111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 t="shared" ref="I207:I209" si="112">C207*(1-G207)</f>
        <v>26072.399999999994</v>
      </c>
      <c r="J207" s="5"/>
      <c r="K207" s="5"/>
      <c r="L207" s="33">
        <f t="shared" ref="L207:L209" si="113">D207*(1-G207)</f>
        <v>30261.799999999992</v>
      </c>
      <c r="M207" s="33">
        <f t="shared" ref="M207:M209" si="114">IF(J207="",L207,(D207/C207)*J207)</f>
        <v>30261.799999999992</v>
      </c>
      <c r="N207" s="22">
        <f t="shared" ref="N207:N209" si="115"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 t="shared" si="112"/>
        <v>80745</v>
      </c>
      <c r="J208" s="5"/>
      <c r="K208" s="5"/>
      <c r="L208" s="33">
        <f t="shared" si="113"/>
        <v>93719</v>
      </c>
      <c r="M208" s="33">
        <f t="shared" si="114"/>
        <v>93719</v>
      </c>
      <c r="N208" s="22">
        <f t="shared" si="115"/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 t="shared" si="112"/>
        <v>202.4</v>
      </c>
      <c r="J209" s="5"/>
      <c r="K209" s="5"/>
      <c r="L209" s="33">
        <f t="shared" si="113"/>
        <v>26579.850000000002</v>
      </c>
      <c r="M209" s="33">
        <f t="shared" si="114"/>
        <v>26579.850000000002</v>
      </c>
      <c r="N209" s="22">
        <f t="shared" si="115"/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 t="shared" ref="I211:I215" si="116">C211*(1-G211)</f>
        <v>72920</v>
      </c>
      <c r="J211" s="5"/>
      <c r="K211" s="5"/>
      <c r="L211" s="33">
        <f t="shared" ref="L211:L215" si="117">D211*(1-G211)</f>
        <v>82977.5</v>
      </c>
      <c r="M211" s="33">
        <f t="shared" ref="M211:M215" si="118">IF(J211="",L211,(D211/C211)*J211)</f>
        <v>82977.5</v>
      </c>
      <c r="N211" s="22">
        <f t="shared" ref="N211:N215" si="119"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 t="shared" si="116"/>
        <v>29400</v>
      </c>
      <c r="J212" s="5"/>
      <c r="K212" s="5"/>
      <c r="L212" s="33">
        <f t="shared" si="117"/>
        <v>33455</v>
      </c>
      <c r="M212" s="33">
        <f t="shared" si="118"/>
        <v>33455</v>
      </c>
      <c r="N212" s="22">
        <f t="shared" si="119"/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 t="shared" si="116"/>
        <v>7500</v>
      </c>
      <c r="J213" s="5"/>
      <c r="K213" s="5"/>
      <c r="L213" s="33">
        <f t="shared" si="117"/>
        <v>8530</v>
      </c>
      <c r="M213" s="33">
        <f t="shared" si="118"/>
        <v>8530</v>
      </c>
      <c r="N213" s="22">
        <f t="shared" si="119"/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 t="shared" si="116"/>
        <v>2000</v>
      </c>
      <c r="J214" s="5"/>
      <c r="K214" s="5"/>
      <c r="L214" s="33">
        <f t="shared" si="117"/>
        <v>2276</v>
      </c>
      <c r="M214" s="33">
        <f t="shared" si="118"/>
        <v>2276</v>
      </c>
      <c r="N214" s="22">
        <f t="shared" si="119"/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 t="shared" si="116"/>
        <v>100000</v>
      </c>
      <c r="J215" s="5"/>
      <c r="K215" s="5"/>
      <c r="L215" s="33">
        <f t="shared" si="117"/>
        <v>116068.5</v>
      </c>
      <c r="M215" s="33">
        <f t="shared" si="118"/>
        <v>116068.5</v>
      </c>
      <c r="N215" s="22">
        <f t="shared" si="119"/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 t="shared" ref="I217:I219" si="120">C217*(1-G217)</f>
        <v>9910.5000000000018</v>
      </c>
      <c r="J217" s="5"/>
      <c r="K217" s="5"/>
      <c r="L217" s="33">
        <f t="shared" ref="L217:L219" si="121">D217*(1-G217)</f>
        <v>11277.300000000001</v>
      </c>
      <c r="M217" s="33">
        <f t="shared" ref="M217:M219" si="122">IF(J217="",L217,(D217/C217)*J217)</f>
        <v>11277.300000000001</v>
      </c>
      <c r="N217" s="22">
        <f t="shared" ref="N217:N219" si="123"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 t="shared" si="120"/>
        <v>18401</v>
      </c>
      <c r="J218" s="5"/>
      <c r="K218" s="5"/>
      <c r="L218" s="33">
        <f t="shared" si="121"/>
        <v>20975</v>
      </c>
      <c r="M218" s="33">
        <f t="shared" si="122"/>
        <v>20975</v>
      </c>
      <c r="N218" s="22">
        <f t="shared" si="123"/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 t="shared" si="120"/>
        <v>10225.800000000001</v>
      </c>
      <c r="J219" s="5"/>
      <c r="K219" s="5"/>
      <c r="L219" s="33">
        <f t="shared" si="121"/>
        <v>11868.900000000001</v>
      </c>
      <c r="M219" s="33">
        <f t="shared" si="122"/>
        <v>11868.900000000001</v>
      </c>
      <c r="N219" s="22">
        <f t="shared" si="123"/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 t="shared" ref="I221:I222" si="124">C221*(1-G221)</f>
        <v>11667</v>
      </c>
      <c r="J221" s="5"/>
      <c r="K221" s="5"/>
      <c r="L221" s="33">
        <f t="shared" ref="L221:L222" si="125">D221*(1-G221)</f>
        <v>13542</v>
      </c>
      <c r="M221" s="33">
        <f t="shared" ref="M221:M222" si="126">IF(J221="",L221,(D221/C221)*J221)</f>
        <v>13542</v>
      </c>
      <c r="N221" s="22">
        <f t="shared" ref="N221:N222" si="127"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 t="shared" si="124"/>
        <v>10493</v>
      </c>
      <c r="J222" s="5"/>
      <c r="K222" s="5"/>
      <c r="L222" s="33">
        <f t="shared" si="125"/>
        <v>12179</v>
      </c>
      <c r="M222" s="33">
        <f t="shared" si="126"/>
        <v>12179</v>
      </c>
      <c r="N222" s="22">
        <f t="shared" si="127"/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128">C224*(1-G224)</f>
        <v>0</v>
      </c>
      <c r="J224" s="5"/>
      <c r="K224" s="5"/>
      <c r="L224" s="33">
        <f t="shared" ref="L224:L230" si="129">D224*(1-G224)</f>
        <v>0</v>
      </c>
      <c r="M224" s="33">
        <f t="shared" ref="M224:M230" si="130">IF(J224="",L224,(D224/C224)*J224)</f>
        <v>0</v>
      </c>
      <c r="N224" s="22">
        <f t="shared" ref="N224:N230" si="131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128"/>
        <v>374.40000000000032</v>
      </c>
      <c r="J225" s="5"/>
      <c r="K225" s="5"/>
      <c r="L225" s="33">
        <f t="shared" si="129"/>
        <v>6550.2800000000061</v>
      </c>
      <c r="M225" s="33">
        <f t="shared" si="130"/>
        <v>6550.2800000000061</v>
      </c>
      <c r="N225" s="22">
        <f t="shared" si="131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128"/>
        <v>0</v>
      </c>
      <c r="J226" s="5"/>
      <c r="K226" s="5"/>
      <c r="L226" s="33">
        <f t="shared" si="129"/>
        <v>0</v>
      </c>
      <c r="M226" s="33">
        <f t="shared" si="130"/>
        <v>0</v>
      </c>
      <c r="N226" s="22">
        <f t="shared" si="131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128"/>
        <v>40793.85</v>
      </c>
      <c r="J227" s="5"/>
      <c r="K227" s="5"/>
      <c r="L227" s="33">
        <f t="shared" si="129"/>
        <v>47066.399999999994</v>
      </c>
      <c r="M227" s="33">
        <f t="shared" si="130"/>
        <v>47066.399999999994</v>
      </c>
      <c r="N227" s="22">
        <f t="shared" si="131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128"/>
        <v>6557.5</v>
      </c>
      <c r="J228" s="5"/>
      <c r="K228" s="5"/>
      <c r="L228" s="33">
        <f t="shared" si="129"/>
        <v>7554.5</v>
      </c>
      <c r="M228" s="33">
        <f t="shared" si="130"/>
        <v>7554.5</v>
      </c>
      <c r="N228" s="22">
        <f t="shared" si="131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128"/>
        <v>18480</v>
      </c>
      <c r="J229" s="5"/>
      <c r="K229" s="5"/>
      <c r="L229" s="33">
        <f t="shared" si="129"/>
        <v>21303.8</v>
      </c>
      <c r="M229" s="33">
        <f t="shared" si="130"/>
        <v>21303.8</v>
      </c>
      <c r="N229" s="22">
        <f t="shared" si="131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128"/>
        <v>138000.00000000003</v>
      </c>
      <c r="J230" s="5"/>
      <c r="K230" s="5"/>
      <c r="L230" s="33">
        <f t="shared" si="129"/>
        <v>160174.50000000003</v>
      </c>
      <c r="M230" s="33">
        <f t="shared" si="130"/>
        <v>160174.50000000003</v>
      </c>
      <c r="N230" s="22">
        <f t="shared" si="131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132">C232*(1-G232)</f>
        <v>6</v>
      </c>
      <c r="J232" s="5"/>
      <c r="K232" s="5"/>
      <c r="L232" s="33">
        <f t="shared" ref="L232:L295" si="133">D232*(1-G232)</f>
        <v>319.56</v>
      </c>
      <c r="M232" s="33">
        <f t="shared" ref="M232:M295" si="134">IF(J232="",L232,(D232/C232)*J232)</f>
        <v>319.56</v>
      </c>
      <c r="N232" s="22">
        <f t="shared" ref="N232:N295" si="135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132"/>
        <v>9</v>
      </c>
      <c r="J233" s="5"/>
      <c r="K233" s="5"/>
      <c r="L233" s="33">
        <f t="shared" si="133"/>
        <v>160.44</v>
      </c>
      <c r="M233" s="33">
        <f t="shared" si="134"/>
        <v>160.44</v>
      </c>
      <c r="N233" s="22">
        <f t="shared" si="135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132"/>
        <v>1.2</v>
      </c>
      <c r="J234" s="5"/>
      <c r="K234" s="5"/>
      <c r="L234" s="33">
        <f t="shared" si="133"/>
        <v>139.44</v>
      </c>
      <c r="M234" s="33">
        <f t="shared" si="134"/>
        <v>139.44</v>
      </c>
      <c r="N234" s="22">
        <f t="shared" si="135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132"/>
        <v>50</v>
      </c>
      <c r="J235" s="5"/>
      <c r="K235" s="5"/>
      <c r="L235" s="33">
        <f t="shared" si="133"/>
        <v>2663</v>
      </c>
      <c r="M235" s="33">
        <f t="shared" si="134"/>
        <v>2663</v>
      </c>
      <c r="N235" s="22">
        <f t="shared" si="135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132"/>
        <v>75</v>
      </c>
      <c r="J236" s="5"/>
      <c r="K236" s="5"/>
      <c r="L236" s="33">
        <f t="shared" si="133"/>
        <v>1337</v>
      </c>
      <c r="M236" s="33">
        <f t="shared" si="134"/>
        <v>1337</v>
      </c>
      <c r="N236" s="22">
        <f t="shared" si="135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132"/>
        <v>10</v>
      </c>
      <c r="J237" s="5"/>
      <c r="K237" s="5"/>
      <c r="L237" s="33">
        <f t="shared" si="133"/>
        <v>1162</v>
      </c>
      <c r="M237" s="33">
        <f t="shared" si="134"/>
        <v>1162</v>
      </c>
      <c r="N237" s="22">
        <f t="shared" si="135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132"/>
        <v>50</v>
      </c>
      <c r="J238" s="5"/>
      <c r="K238" s="5"/>
      <c r="L238" s="33">
        <f t="shared" si="133"/>
        <v>2663</v>
      </c>
      <c r="M238" s="33">
        <f t="shared" si="134"/>
        <v>2663</v>
      </c>
      <c r="N238" s="22">
        <f t="shared" si="135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132"/>
        <v>75</v>
      </c>
      <c r="J239" s="5"/>
      <c r="K239" s="5"/>
      <c r="L239" s="33">
        <f t="shared" si="133"/>
        <v>1337</v>
      </c>
      <c r="M239" s="33">
        <f t="shared" si="134"/>
        <v>1337</v>
      </c>
      <c r="N239" s="22">
        <f t="shared" si="135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132"/>
        <v>10</v>
      </c>
      <c r="J240" s="5"/>
      <c r="K240" s="5"/>
      <c r="L240" s="33">
        <f t="shared" si="133"/>
        <v>1162</v>
      </c>
      <c r="M240" s="33">
        <f t="shared" si="134"/>
        <v>1162</v>
      </c>
      <c r="N240" s="22">
        <f t="shared" si="135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132"/>
        <v>50</v>
      </c>
      <c r="J241" s="5"/>
      <c r="K241" s="5"/>
      <c r="L241" s="33">
        <f t="shared" si="133"/>
        <v>2663</v>
      </c>
      <c r="M241" s="33">
        <f t="shared" si="134"/>
        <v>2663</v>
      </c>
      <c r="N241" s="22">
        <f t="shared" si="135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132"/>
        <v>75</v>
      </c>
      <c r="J242" s="5"/>
      <c r="K242" s="5"/>
      <c r="L242" s="33">
        <f t="shared" si="133"/>
        <v>1337</v>
      </c>
      <c r="M242" s="33">
        <f t="shared" si="134"/>
        <v>1337</v>
      </c>
      <c r="N242" s="22">
        <f t="shared" si="135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132"/>
        <v>10</v>
      </c>
      <c r="J243" s="5"/>
      <c r="K243" s="5"/>
      <c r="L243" s="33">
        <f t="shared" si="133"/>
        <v>1162</v>
      </c>
      <c r="M243" s="33">
        <f t="shared" si="134"/>
        <v>1162</v>
      </c>
      <c r="N243" s="22">
        <f t="shared" si="135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132"/>
        <v>50</v>
      </c>
      <c r="J244" s="5"/>
      <c r="K244" s="5"/>
      <c r="L244" s="33">
        <f t="shared" si="133"/>
        <v>2663</v>
      </c>
      <c r="M244" s="33">
        <f t="shared" si="134"/>
        <v>2663</v>
      </c>
      <c r="N244" s="22">
        <f t="shared" si="135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132"/>
        <v>75</v>
      </c>
      <c r="J245" s="5"/>
      <c r="K245" s="5"/>
      <c r="L245" s="33">
        <f t="shared" si="133"/>
        <v>1337</v>
      </c>
      <c r="M245" s="33">
        <f t="shared" si="134"/>
        <v>1337</v>
      </c>
      <c r="N245" s="22">
        <f t="shared" si="135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132"/>
        <v>10</v>
      </c>
      <c r="J246" s="5"/>
      <c r="K246" s="5"/>
      <c r="L246" s="33">
        <f t="shared" si="133"/>
        <v>1162</v>
      </c>
      <c r="M246" s="33">
        <f t="shared" si="134"/>
        <v>1162</v>
      </c>
      <c r="N246" s="22">
        <f t="shared" si="135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132"/>
        <v>50</v>
      </c>
      <c r="J247" s="5"/>
      <c r="K247" s="5"/>
      <c r="L247" s="33">
        <f t="shared" si="133"/>
        <v>2663</v>
      </c>
      <c r="M247" s="33">
        <f t="shared" si="134"/>
        <v>2663</v>
      </c>
      <c r="N247" s="22">
        <f t="shared" si="135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132"/>
        <v>75</v>
      </c>
      <c r="J248" s="5"/>
      <c r="K248" s="5"/>
      <c r="L248" s="33">
        <f t="shared" si="133"/>
        <v>1337</v>
      </c>
      <c r="M248" s="33">
        <f t="shared" si="134"/>
        <v>1337</v>
      </c>
      <c r="N248" s="22">
        <f t="shared" si="135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132"/>
        <v>10</v>
      </c>
      <c r="J249" s="5"/>
      <c r="K249" s="5"/>
      <c r="L249" s="33">
        <f t="shared" si="133"/>
        <v>1162</v>
      </c>
      <c r="M249" s="33">
        <f t="shared" si="134"/>
        <v>1162</v>
      </c>
      <c r="N249" s="22">
        <f t="shared" si="135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132"/>
        <v>50</v>
      </c>
      <c r="J250" s="5"/>
      <c r="K250" s="5"/>
      <c r="L250" s="33">
        <f t="shared" si="133"/>
        <v>2663</v>
      </c>
      <c r="M250" s="33">
        <f t="shared" si="134"/>
        <v>2663</v>
      </c>
      <c r="N250" s="22">
        <f t="shared" si="135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132"/>
        <v>75</v>
      </c>
      <c r="J251" s="5"/>
      <c r="K251" s="5"/>
      <c r="L251" s="33">
        <f t="shared" si="133"/>
        <v>1337</v>
      </c>
      <c r="M251" s="33">
        <f t="shared" si="134"/>
        <v>1337</v>
      </c>
      <c r="N251" s="22">
        <f t="shared" si="135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132"/>
        <v>10</v>
      </c>
      <c r="J252" s="5"/>
      <c r="K252" s="5"/>
      <c r="L252" s="33">
        <f t="shared" si="133"/>
        <v>1162</v>
      </c>
      <c r="M252" s="33">
        <f t="shared" si="134"/>
        <v>1162</v>
      </c>
      <c r="N252" s="22">
        <f t="shared" si="135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132"/>
        <v>50</v>
      </c>
      <c r="J253" s="5"/>
      <c r="K253" s="5"/>
      <c r="L253" s="33">
        <f t="shared" si="133"/>
        <v>2663</v>
      </c>
      <c r="M253" s="33">
        <f t="shared" si="134"/>
        <v>2663</v>
      </c>
      <c r="N253" s="22">
        <f t="shared" si="135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132"/>
        <v>75</v>
      </c>
      <c r="J254" s="5"/>
      <c r="K254" s="5"/>
      <c r="L254" s="33">
        <f t="shared" si="133"/>
        <v>1337</v>
      </c>
      <c r="M254" s="33">
        <f t="shared" si="134"/>
        <v>1337</v>
      </c>
      <c r="N254" s="22">
        <f t="shared" si="135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132"/>
        <v>10</v>
      </c>
      <c r="J255" s="5"/>
      <c r="K255" s="5"/>
      <c r="L255" s="33">
        <f t="shared" si="133"/>
        <v>1162</v>
      </c>
      <c r="M255" s="33">
        <f t="shared" si="134"/>
        <v>1162</v>
      </c>
      <c r="N255" s="22">
        <f t="shared" si="135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132"/>
        <v>50</v>
      </c>
      <c r="J256" s="5"/>
      <c r="K256" s="5"/>
      <c r="L256" s="33">
        <f t="shared" si="133"/>
        <v>2663</v>
      </c>
      <c r="M256" s="33">
        <f t="shared" si="134"/>
        <v>2663</v>
      </c>
      <c r="N256" s="22">
        <f t="shared" si="135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132"/>
        <v>75</v>
      </c>
      <c r="J257" s="5"/>
      <c r="K257" s="5"/>
      <c r="L257" s="33">
        <f t="shared" si="133"/>
        <v>1337</v>
      </c>
      <c r="M257" s="33">
        <f t="shared" si="134"/>
        <v>1337</v>
      </c>
      <c r="N257" s="22">
        <f t="shared" si="135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132"/>
        <v>10</v>
      </c>
      <c r="J258" s="5"/>
      <c r="K258" s="5"/>
      <c r="L258" s="33">
        <f t="shared" si="133"/>
        <v>1162</v>
      </c>
      <c r="M258" s="33">
        <f t="shared" si="134"/>
        <v>1162</v>
      </c>
      <c r="N258" s="22">
        <f t="shared" si="135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132"/>
        <v>50</v>
      </c>
      <c r="J259" s="5"/>
      <c r="K259" s="5"/>
      <c r="L259" s="33">
        <f t="shared" si="133"/>
        <v>2663</v>
      </c>
      <c r="M259" s="33">
        <f t="shared" si="134"/>
        <v>2663</v>
      </c>
      <c r="N259" s="22">
        <f t="shared" si="135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132"/>
        <v>75</v>
      </c>
      <c r="J260" s="5"/>
      <c r="K260" s="5"/>
      <c r="L260" s="33">
        <f t="shared" si="133"/>
        <v>1337</v>
      </c>
      <c r="M260" s="33">
        <f t="shared" si="134"/>
        <v>1337</v>
      </c>
      <c r="N260" s="22">
        <f t="shared" si="135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132"/>
        <v>10</v>
      </c>
      <c r="J261" s="5"/>
      <c r="K261" s="5"/>
      <c r="L261" s="33">
        <f t="shared" si="133"/>
        <v>1162</v>
      </c>
      <c r="M261" s="33">
        <f t="shared" si="134"/>
        <v>1162</v>
      </c>
      <c r="N261" s="22">
        <f t="shared" si="135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132"/>
        <v>50</v>
      </c>
      <c r="J262" s="5"/>
      <c r="K262" s="5"/>
      <c r="L262" s="33">
        <f t="shared" si="133"/>
        <v>2663</v>
      </c>
      <c r="M262" s="33">
        <f t="shared" si="134"/>
        <v>2663</v>
      </c>
      <c r="N262" s="22">
        <f t="shared" si="135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132"/>
        <v>75</v>
      </c>
      <c r="J263" s="5"/>
      <c r="K263" s="5"/>
      <c r="L263" s="33">
        <f t="shared" si="133"/>
        <v>1337</v>
      </c>
      <c r="M263" s="33">
        <f t="shared" si="134"/>
        <v>1337</v>
      </c>
      <c r="N263" s="22">
        <f t="shared" si="135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132"/>
        <v>10</v>
      </c>
      <c r="J264" s="5"/>
      <c r="K264" s="5"/>
      <c r="L264" s="33">
        <f t="shared" si="133"/>
        <v>1162</v>
      </c>
      <c r="M264" s="33">
        <f t="shared" si="134"/>
        <v>1162</v>
      </c>
      <c r="N264" s="22">
        <f t="shared" si="135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132"/>
        <v>50</v>
      </c>
      <c r="J265" s="5"/>
      <c r="K265" s="5"/>
      <c r="L265" s="33">
        <f t="shared" si="133"/>
        <v>2663</v>
      </c>
      <c r="M265" s="33">
        <f t="shared" si="134"/>
        <v>2663</v>
      </c>
      <c r="N265" s="22">
        <f t="shared" si="135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132"/>
        <v>75</v>
      </c>
      <c r="J266" s="5"/>
      <c r="K266" s="5"/>
      <c r="L266" s="33">
        <f t="shared" si="133"/>
        <v>1337</v>
      </c>
      <c r="M266" s="33">
        <f t="shared" si="134"/>
        <v>1337</v>
      </c>
      <c r="N266" s="22">
        <f t="shared" si="135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132"/>
        <v>10</v>
      </c>
      <c r="J267" s="5"/>
      <c r="K267" s="5"/>
      <c r="L267" s="33">
        <f t="shared" si="133"/>
        <v>1162</v>
      </c>
      <c r="M267" s="33">
        <f t="shared" si="134"/>
        <v>1162</v>
      </c>
      <c r="N267" s="22">
        <f t="shared" si="135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132"/>
        <v>50</v>
      </c>
      <c r="J268" s="5"/>
      <c r="K268" s="5"/>
      <c r="L268" s="33">
        <f t="shared" si="133"/>
        <v>2663</v>
      </c>
      <c r="M268" s="33">
        <f t="shared" si="134"/>
        <v>2663</v>
      </c>
      <c r="N268" s="22">
        <f t="shared" si="135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132"/>
        <v>75</v>
      </c>
      <c r="J269" s="5"/>
      <c r="K269" s="5"/>
      <c r="L269" s="33">
        <f t="shared" si="133"/>
        <v>1337</v>
      </c>
      <c r="M269" s="33">
        <f t="shared" si="134"/>
        <v>1337</v>
      </c>
      <c r="N269" s="22">
        <f t="shared" si="135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132"/>
        <v>10</v>
      </c>
      <c r="J270" s="5"/>
      <c r="K270" s="5"/>
      <c r="L270" s="33">
        <f t="shared" si="133"/>
        <v>1162</v>
      </c>
      <c r="M270" s="33">
        <f t="shared" si="134"/>
        <v>1162</v>
      </c>
      <c r="N270" s="22">
        <f t="shared" si="135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132"/>
        <v>50</v>
      </c>
      <c r="J271" s="5"/>
      <c r="K271" s="5"/>
      <c r="L271" s="33">
        <f t="shared" si="133"/>
        <v>2663</v>
      </c>
      <c r="M271" s="33">
        <f t="shared" si="134"/>
        <v>2663</v>
      </c>
      <c r="N271" s="22">
        <f t="shared" si="135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132"/>
        <v>75</v>
      </c>
      <c r="J272" s="5"/>
      <c r="K272" s="5"/>
      <c r="L272" s="33">
        <f t="shared" si="133"/>
        <v>1337</v>
      </c>
      <c r="M272" s="33">
        <f t="shared" si="134"/>
        <v>1337</v>
      </c>
      <c r="N272" s="22">
        <f t="shared" si="135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132"/>
        <v>10</v>
      </c>
      <c r="J273" s="5"/>
      <c r="K273" s="5"/>
      <c r="L273" s="33">
        <f t="shared" si="133"/>
        <v>1162</v>
      </c>
      <c r="M273" s="33">
        <f t="shared" si="134"/>
        <v>1162</v>
      </c>
      <c r="N273" s="22">
        <f t="shared" si="135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132"/>
        <v>50</v>
      </c>
      <c r="J274" s="5"/>
      <c r="K274" s="5"/>
      <c r="L274" s="33">
        <f t="shared" si="133"/>
        <v>2663</v>
      </c>
      <c r="M274" s="33">
        <f t="shared" si="134"/>
        <v>2663</v>
      </c>
      <c r="N274" s="22">
        <f t="shared" si="135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132"/>
        <v>75</v>
      </c>
      <c r="J275" s="5"/>
      <c r="K275" s="5"/>
      <c r="L275" s="33">
        <f t="shared" si="133"/>
        <v>1337</v>
      </c>
      <c r="M275" s="33">
        <f t="shared" si="134"/>
        <v>1337</v>
      </c>
      <c r="N275" s="22">
        <f t="shared" si="135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132"/>
        <v>10</v>
      </c>
      <c r="J276" s="5"/>
      <c r="K276" s="5"/>
      <c r="L276" s="33">
        <f t="shared" si="133"/>
        <v>1162</v>
      </c>
      <c r="M276" s="33">
        <f t="shared" si="134"/>
        <v>1162</v>
      </c>
      <c r="N276" s="22">
        <f t="shared" si="135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132"/>
        <v>50</v>
      </c>
      <c r="J277" s="5"/>
      <c r="K277" s="5"/>
      <c r="L277" s="33">
        <f t="shared" si="133"/>
        <v>2663</v>
      </c>
      <c r="M277" s="33">
        <f t="shared" si="134"/>
        <v>2663</v>
      </c>
      <c r="N277" s="22">
        <f t="shared" si="135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132"/>
        <v>75</v>
      </c>
      <c r="J278" s="5"/>
      <c r="K278" s="5"/>
      <c r="L278" s="33">
        <f t="shared" si="133"/>
        <v>1337</v>
      </c>
      <c r="M278" s="33">
        <f t="shared" si="134"/>
        <v>1337</v>
      </c>
      <c r="N278" s="22">
        <f t="shared" si="135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132"/>
        <v>10</v>
      </c>
      <c r="J279" s="5"/>
      <c r="K279" s="5"/>
      <c r="L279" s="33">
        <f t="shared" si="133"/>
        <v>1162</v>
      </c>
      <c r="M279" s="33">
        <f t="shared" si="134"/>
        <v>1162</v>
      </c>
      <c r="N279" s="22">
        <f t="shared" si="135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132"/>
        <v>50</v>
      </c>
      <c r="J280" s="5"/>
      <c r="K280" s="5"/>
      <c r="L280" s="33">
        <f t="shared" si="133"/>
        <v>2663</v>
      </c>
      <c r="M280" s="33">
        <f t="shared" si="134"/>
        <v>2663</v>
      </c>
      <c r="N280" s="22">
        <f t="shared" si="135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132"/>
        <v>75</v>
      </c>
      <c r="J281" s="5"/>
      <c r="K281" s="5"/>
      <c r="L281" s="33">
        <f t="shared" si="133"/>
        <v>1337</v>
      </c>
      <c r="M281" s="33">
        <f t="shared" si="134"/>
        <v>1337</v>
      </c>
      <c r="N281" s="22">
        <f t="shared" si="135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132"/>
        <v>10</v>
      </c>
      <c r="J282" s="5"/>
      <c r="K282" s="5"/>
      <c r="L282" s="33">
        <f t="shared" si="133"/>
        <v>1162</v>
      </c>
      <c r="M282" s="33">
        <f t="shared" si="134"/>
        <v>1162</v>
      </c>
      <c r="N282" s="22">
        <f t="shared" si="135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132"/>
        <v>50</v>
      </c>
      <c r="J283" s="5"/>
      <c r="K283" s="5"/>
      <c r="L283" s="33">
        <f t="shared" si="133"/>
        <v>2663</v>
      </c>
      <c r="M283" s="33">
        <f t="shared" si="134"/>
        <v>2663</v>
      </c>
      <c r="N283" s="22">
        <f t="shared" si="135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132"/>
        <v>75</v>
      </c>
      <c r="J284" s="5"/>
      <c r="K284" s="5"/>
      <c r="L284" s="33">
        <f t="shared" si="133"/>
        <v>1337</v>
      </c>
      <c r="M284" s="33">
        <f t="shared" si="134"/>
        <v>1337</v>
      </c>
      <c r="N284" s="22">
        <f t="shared" si="135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132"/>
        <v>10</v>
      </c>
      <c r="J285" s="5"/>
      <c r="K285" s="5"/>
      <c r="L285" s="33">
        <f t="shared" si="133"/>
        <v>1162</v>
      </c>
      <c r="M285" s="33">
        <f t="shared" si="134"/>
        <v>1162</v>
      </c>
      <c r="N285" s="22">
        <f t="shared" si="135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132"/>
        <v>50</v>
      </c>
      <c r="J286" s="5"/>
      <c r="K286" s="5"/>
      <c r="L286" s="33">
        <f t="shared" si="133"/>
        <v>2663</v>
      </c>
      <c r="M286" s="33">
        <f t="shared" si="134"/>
        <v>2663</v>
      </c>
      <c r="N286" s="22">
        <f t="shared" si="135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132"/>
        <v>75</v>
      </c>
      <c r="J287" s="5"/>
      <c r="K287" s="5"/>
      <c r="L287" s="33">
        <f t="shared" si="133"/>
        <v>1337</v>
      </c>
      <c r="M287" s="33">
        <f t="shared" si="134"/>
        <v>1337</v>
      </c>
      <c r="N287" s="22">
        <f t="shared" si="135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132"/>
        <v>10</v>
      </c>
      <c r="J288" s="5"/>
      <c r="K288" s="5"/>
      <c r="L288" s="33">
        <f t="shared" si="133"/>
        <v>1162</v>
      </c>
      <c r="M288" s="33">
        <f t="shared" si="134"/>
        <v>1162</v>
      </c>
      <c r="N288" s="22">
        <f t="shared" si="135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132"/>
        <v>50</v>
      </c>
      <c r="J289" s="5"/>
      <c r="K289" s="5"/>
      <c r="L289" s="33">
        <f t="shared" si="133"/>
        <v>2663</v>
      </c>
      <c r="M289" s="33">
        <f t="shared" si="134"/>
        <v>2663</v>
      </c>
      <c r="N289" s="22">
        <f t="shared" si="135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132"/>
        <v>75</v>
      </c>
      <c r="J290" s="5"/>
      <c r="K290" s="5"/>
      <c r="L290" s="33">
        <f t="shared" si="133"/>
        <v>1337</v>
      </c>
      <c r="M290" s="33">
        <f t="shared" si="134"/>
        <v>1337</v>
      </c>
      <c r="N290" s="22">
        <f t="shared" si="135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132"/>
        <v>10</v>
      </c>
      <c r="J291" s="5"/>
      <c r="K291" s="5"/>
      <c r="L291" s="33">
        <f t="shared" si="133"/>
        <v>1162</v>
      </c>
      <c r="M291" s="33">
        <f t="shared" si="134"/>
        <v>1162</v>
      </c>
      <c r="N291" s="22">
        <f t="shared" si="135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132"/>
        <v>50</v>
      </c>
      <c r="J292" s="5"/>
      <c r="K292" s="5"/>
      <c r="L292" s="33">
        <f t="shared" si="133"/>
        <v>2663</v>
      </c>
      <c r="M292" s="33">
        <f t="shared" si="134"/>
        <v>2663</v>
      </c>
      <c r="N292" s="22">
        <f t="shared" si="135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132"/>
        <v>75</v>
      </c>
      <c r="J293" s="5"/>
      <c r="K293" s="5"/>
      <c r="L293" s="33">
        <f t="shared" si="133"/>
        <v>1337</v>
      </c>
      <c r="M293" s="33">
        <f t="shared" si="134"/>
        <v>1337</v>
      </c>
      <c r="N293" s="22">
        <f t="shared" si="135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132"/>
        <v>10</v>
      </c>
      <c r="J294" s="5"/>
      <c r="K294" s="5"/>
      <c r="L294" s="33">
        <f t="shared" si="133"/>
        <v>1162</v>
      </c>
      <c r="M294" s="33">
        <f t="shared" si="134"/>
        <v>1162</v>
      </c>
      <c r="N294" s="22">
        <f t="shared" si="135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132"/>
        <v>50</v>
      </c>
      <c r="J295" s="5"/>
      <c r="K295" s="5"/>
      <c r="L295" s="33">
        <f t="shared" si="133"/>
        <v>2663</v>
      </c>
      <c r="M295" s="33">
        <f t="shared" si="134"/>
        <v>2663</v>
      </c>
      <c r="N295" s="22">
        <f t="shared" si="135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 t="shared" ref="I296:I300" si="136">C296*(1-G296)</f>
        <v>75</v>
      </c>
      <c r="J296" s="5"/>
      <c r="K296" s="5"/>
      <c r="L296" s="33">
        <f t="shared" ref="L296:L300" si="137">D296*(1-G296)</f>
        <v>1337</v>
      </c>
      <c r="M296" s="33">
        <f t="shared" ref="M296:M300" si="138">IF(J296="",L296,(D296/C296)*J296)</f>
        <v>1337</v>
      </c>
      <c r="N296" s="22">
        <f t="shared" ref="N296:N300" si="139"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 t="shared" si="136"/>
        <v>10</v>
      </c>
      <c r="J297" s="5"/>
      <c r="K297" s="5"/>
      <c r="L297" s="33">
        <f t="shared" si="137"/>
        <v>1162</v>
      </c>
      <c r="M297" s="33">
        <f t="shared" si="138"/>
        <v>1162</v>
      </c>
      <c r="N297" s="22">
        <f t="shared" si="139"/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 t="shared" si="136"/>
        <v>50</v>
      </c>
      <c r="J298" s="5"/>
      <c r="K298" s="5"/>
      <c r="L298" s="33">
        <f t="shared" si="137"/>
        <v>2663</v>
      </c>
      <c r="M298" s="33">
        <f t="shared" si="138"/>
        <v>2663</v>
      </c>
      <c r="N298" s="22">
        <f t="shared" si="139"/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 t="shared" si="136"/>
        <v>75</v>
      </c>
      <c r="J299" s="5"/>
      <c r="K299" s="5"/>
      <c r="L299" s="33">
        <f t="shared" si="137"/>
        <v>1337</v>
      </c>
      <c r="M299" s="33">
        <f t="shared" si="138"/>
        <v>1337</v>
      </c>
      <c r="N299" s="22">
        <f t="shared" si="139"/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 t="shared" si="136"/>
        <v>10</v>
      </c>
      <c r="J300" s="5"/>
      <c r="K300" s="5"/>
      <c r="L300" s="33">
        <f t="shared" si="137"/>
        <v>1162</v>
      </c>
      <c r="M300" s="33">
        <f t="shared" si="138"/>
        <v>1162</v>
      </c>
      <c r="N300" s="22">
        <f t="shared" si="139"/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140">C302*(1-G302)</f>
        <v>15.2</v>
      </c>
      <c r="J302" s="5"/>
      <c r="K302" s="5"/>
      <c r="L302" s="33">
        <f t="shared" ref="L302:L313" si="141">D302*(1-G302)</f>
        <v>270.75</v>
      </c>
      <c r="M302" s="33">
        <f t="shared" ref="M302:M313" si="142">IF(J302="",L302,(D302/C302)*J302)</f>
        <v>270.75</v>
      </c>
      <c r="N302" s="22">
        <f t="shared" ref="N302:N313" si="143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140"/>
        <v>9.5</v>
      </c>
      <c r="J303" s="5"/>
      <c r="K303" s="5"/>
      <c r="L303" s="33">
        <f t="shared" si="141"/>
        <v>506.34999999999997</v>
      </c>
      <c r="M303" s="33">
        <f t="shared" si="142"/>
        <v>506.34999999999997</v>
      </c>
      <c r="N303" s="22">
        <f t="shared" si="143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140"/>
        <v>14.25</v>
      </c>
      <c r="J304" s="5"/>
      <c r="K304" s="5"/>
      <c r="L304" s="33">
        <f t="shared" si="141"/>
        <v>1655.85</v>
      </c>
      <c r="M304" s="33">
        <f t="shared" si="142"/>
        <v>1655.85</v>
      </c>
      <c r="N304" s="22">
        <f t="shared" si="143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140"/>
        <v>16</v>
      </c>
      <c r="J305" s="5"/>
      <c r="K305" s="5"/>
      <c r="L305" s="33">
        <f t="shared" si="141"/>
        <v>285</v>
      </c>
      <c r="M305" s="33">
        <f t="shared" si="142"/>
        <v>285</v>
      </c>
      <c r="N305" s="22">
        <f t="shared" si="143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140"/>
        <v>10</v>
      </c>
      <c r="J306" s="5"/>
      <c r="K306" s="5"/>
      <c r="L306" s="33">
        <f t="shared" si="141"/>
        <v>533</v>
      </c>
      <c r="M306" s="33">
        <f t="shared" si="142"/>
        <v>533</v>
      </c>
      <c r="N306" s="22">
        <f t="shared" si="143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140"/>
        <v>15</v>
      </c>
      <c r="J307" s="5"/>
      <c r="K307" s="5"/>
      <c r="L307" s="33">
        <f t="shared" si="141"/>
        <v>1743</v>
      </c>
      <c r="M307" s="33">
        <f t="shared" si="142"/>
        <v>1743</v>
      </c>
      <c r="N307" s="22">
        <f t="shared" si="143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140"/>
        <v>16</v>
      </c>
      <c r="J308" s="5"/>
      <c r="K308" s="5"/>
      <c r="L308" s="33">
        <f t="shared" si="141"/>
        <v>285</v>
      </c>
      <c r="M308" s="33">
        <f t="shared" si="142"/>
        <v>285</v>
      </c>
      <c r="N308" s="22">
        <f t="shared" si="143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140"/>
        <v>10</v>
      </c>
      <c r="J309" s="5"/>
      <c r="K309" s="5"/>
      <c r="L309" s="33">
        <f t="shared" si="141"/>
        <v>533</v>
      </c>
      <c r="M309" s="33">
        <f t="shared" si="142"/>
        <v>533</v>
      </c>
      <c r="N309" s="22">
        <f t="shared" si="143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140"/>
        <v>15</v>
      </c>
      <c r="J310" s="5"/>
      <c r="K310" s="5"/>
      <c r="L310" s="33">
        <f t="shared" si="141"/>
        <v>1743</v>
      </c>
      <c r="M310" s="33">
        <f t="shared" si="142"/>
        <v>1743</v>
      </c>
      <c r="N310" s="22">
        <f t="shared" si="143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140"/>
        <v>6156</v>
      </c>
      <c r="J311" s="5"/>
      <c r="K311" s="5"/>
      <c r="L311" s="33">
        <f t="shared" si="141"/>
        <v>7144.95</v>
      </c>
      <c r="M311" s="33">
        <f t="shared" si="142"/>
        <v>7144.95</v>
      </c>
      <c r="N311" s="22">
        <f t="shared" si="143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140"/>
        <v>6480</v>
      </c>
      <c r="J312" s="5"/>
      <c r="K312" s="5"/>
      <c r="L312" s="33">
        <f t="shared" si="141"/>
        <v>7521</v>
      </c>
      <c r="M312" s="33">
        <f t="shared" si="142"/>
        <v>7521</v>
      </c>
      <c r="N312" s="22">
        <f t="shared" si="143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140"/>
        <v>6480</v>
      </c>
      <c r="J313" s="5"/>
      <c r="K313" s="5"/>
      <c r="L313" s="33">
        <f t="shared" si="141"/>
        <v>7521</v>
      </c>
      <c r="M313" s="33">
        <f t="shared" si="142"/>
        <v>7521</v>
      </c>
      <c r="N313" s="22">
        <f t="shared" si="143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 t="shared" ref="I315:I317" si="144">C315*(1-G315)</f>
        <v>1072.5</v>
      </c>
      <c r="J315" s="5"/>
      <c r="K315" s="5"/>
      <c r="L315" s="33">
        <f t="shared" ref="L315:L317" si="145">D315*(1-G315)</f>
        <v>1242.8</v>
      </c>
      <c r="M315" s="33">
        <f t="shared" ref="M315:M317" si="146">IF(J315="",L315,(D315/C315)*J315)</f>
        <v>1242.8</v>
      </c>
      <c r="N315" s="22">
        <f t="shared" ref="N315:N317" si="147"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 t="shared" si="144"/>
        <v>195</v>
      </c>
      <c r="J316" s="5"/>
      <c r="K316" s="5"/>
      <c r="L316" s="33">
        <f t="shared" si="145"/>
        <v>226.20000000000002</v>
      </c>
      <c r="M316" s="33">
        <f t="shared" si="146"/>
        <v>226.20000000000002</v>
      </c>
      <c r="N316" s="22">
        <f t="shared" si="147"/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 t="shared" si="144"/>
        <v>55963.44</v>
      </c>
      <c r="J317" s="5"/>
      <c r="K317" s="5"/>
      <c r="L317" s="33">
        <f t="shared" si="145"/>
        <v>62433.54</v>
      </c>
      <c r="M317" s="33">
        <f t="shared" si="146"/>
        <v>62433.54</v>
      </c>
      <c r="N317" s="22">
        <f t="shared" si="147"/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 t="shared" ref="I319:I320" si="148">C319*(1-G319)</f>
        <v>41117.94</v>
      </c>
      <c r="J319" s="5"/>
      <c r="K319" s="5"/>
      <c r="L319" s="33">
        <f t="shared" ref="L319:L320" si="149">D319*(1-G319)</f>
        <v>47724.720000000008</v>
      </c>
      <c r="M319" s="33">
        <f t="shared" ref="M319:M320" si="150">IF(J319="",L319,(D319/C319)*J319)</f>
        <v>47724.720000000008</v>
      </c>
      <c r="N319" s="22">
        <f t="shared" ref="N319:N320" si="151"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 t="shared" si="148"/>
        <v>1760</v>
      </c>
      <c r="J320" s="5"/>
      <c r="K320" s="5"/>
      <c r="L320" s="33">
        <f t="shared" si="149"/>
        <v>140500</v>
      </c>
      <c r="M320" s="33">
        <f t="shared" si="150"/>
        <v>140500</v>
      </c>
      <c r="N320" s="22">
        <f t="shared" si="151"/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 t="shared" ref="I322:I324" si="152">C322*(1-G322)</f>
        <v>237500</v>
      </c>
      <c r="J322" s="5"/>
      <c r="K322" s="5"/>
      <c r="L322" s="33">
        <f t="shared" ref="L322:L324" si="153">D322*(1-G322)</f>
        <v>264958</v>
      </c>
      <c r="M322" s="33">
        <f t="shared" ref="M322:M324" si="154">IF(J322="",L322,(D322/C322)*J322)</f>
        <v>264958</v>
      </c>
      <c r="N322" s="22">
        <f t="shared" ref="N322:N324" si="155"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 t="shared" si="152"/>
        <v>237500</v>
      </c>
      <c r="J323" s="5"/>
      <c r="K323" s="5"/>
      <c r="L323" s="33">
        <f t="shared" si="153"/>
        <v>264958</v>
      </c>
      <c r="M323" s="33">
        <f t="shared" si="154"/>
        <v>264958</v>
      </c>
      <c r="N323" s="22">
        <f t="shared" si="155"/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 t="shared" si="152"/>
        <v>237500</v>
      </c>
      <c r="J324" s="5"/>
      <c r="K324" s="5"/>
      <c r="L324" s="33">
        <f t="shared" si="153"/>
        <v>264958</v>
      </c>
      <c r="M324" s="33">
        <f t="shared" si="154"/>
        <v>264958</v>
      </c>
      <c r="N324" s="22">
        <f t="shared" si="155"/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 t="shared" ref="I326:I329" si="156">C326*(1-G326)</f>
        <v>70.400000000000006</v>
      </c>
      <c r="J326" s="5"/>
      <c r="K326" s="5"/>
      <c r="L326" s="33">
        <f t="shared" ref="L326:L329" si="157">D326*(1-G326)</f>
        <v>1155.2</v>
      </c>
      <c r="M326" s="33">
        <f t="shared" ref="M326:M329" si="158">IF(J326="",L326,(D326/C326)*J326)</f>
        <v>1155.2</v>
      </c>
      <c r="N326" s="22">
        <f t="shared" ref="N326:N329" si="159"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 t="shared" si="156"/>
        <v>230.39999999999998</v>
      </c>
      <c r="J327" s="5"/>
      <c r="K327" s="5"/>
      <c r="L327" s="33">
        <f t="shared" si="157"/>
        <v>3787.7999999999997</v>
      </c>
      <c r="M327" s="33">
        <f t="shared" si="158"/>
        <v>3787.7999999999997</v>
      </c>
      <c r="N327" s="22">
        <f t="shared" si="159"/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 t="shared" si="156"/>
        <v>177356</v>
      </c>
      <c r="J328" s="5"/>
      <c r="K328" s="5"/>
      <c r="L328" s="33">
        <f t="shared" si="157"/>
        <v>205854</v>
      </c>
      <c r="M328" s="33">
        <f t="shared" si="158"/>
        <v>205854</v>
      </c>
      <c r="N328" s="22">
        <f t="shared" si="159"/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 t="shared" si="156"/>
        <v>670160</v>
      </c>
      <c r="J329" s="5"/>
      <c r="K329" s="5"/>
      <c r="L329" s="33">
        <f t="shared" si="157"/>
        <v>777844</v>
      </c>
      <c r="M329" s="33">
        <f t="shared" si="158"/>
        <v>777844</v>
      </c>
      <c r="N329" s="22">
        <f t="shared" si="159"/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 t="shared" ref="I331:I332" si="160">C331*(1-G331)</f>
        <v>43913.5</v>
      </c>
      <c r="J331" s="5"/>
      <c r="K331" s="5"/>
      <c r="L331" s="33">
        <f t="shared" ref="L331:L332" si="161">D331*(1-G331)</f>
        <v>50969.5</v>
      </c>
      <c r="M331" s="33">
        <f t="shared" ref="M331:M332" si="162">IF(J331="",L331,(D331/C331)*J331)</f>
        <v>50969.5</v>
      </c>
      <c r="N331" s="22">
        <f t="shared" ref="N331:N332" si="163"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 t="shared" si="160"/>
        <v>128640</v>
      </c>
      <c r="J332" s="5"/>
      <c r="K332" s="5"/>
      <c r="L332" s="33">
        <f t="shared" si="161"/>
        <v>149310</v>
      </c>
      <c r="M332" s="33">
        <f t="shared" si="162"/>
        <v>149310</v>
      </c>
      <c r="N332" s="22">
        <f t="shared" si="163"/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 t="shared" ref="I334:I336" si="164">C334*(1-G334)</f>
        <v>129049</v>
      </c>
      <c r="J334" s="5"/>
      <c r="K334" s="5"/>
      <c r="L334" s="33">
        <f t="shared" ref="L334:L336" si="165">D334*(1-G334)</f>
        <v>149785</v>
      </c>
      <c r="M334" s="33">
        <f t="shared" ref="M334:M336" si="166">IF(J334="",L334,(D334/C334)*J334)</f>
        <v>149785</v>
      </c>
      <c r="N334" s="22">
        <f t="shared" ref="N334:N336" si="167"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 t="shared" si="164"/>
        <v>199077</v>
      </c>
      <c r="J335" s="5"/>
      <c r="K335" s="5"/>
      <c r="L335" s="33">
        <f t="shared" si="165"/>
        <v>231066</v>
      </c>
      <c r="M335" s="33">
        <f t="shared" si="166"/>
        <v>231066</v>
      </c>
      <c r="N335" s="22">
        <f t="shared" si="167"/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 t="shared" si="164"/>
        <v>368299.26</v>
      </c>
      <c r="J336" s="5"/>
      <c r="K336" s="5"/>
      <c r="L336" s="33">
        <f t="shared" si="165"/>
        <v>427478.94</v>
      </c>
      <c r="M336" s="33">
        <f t="shared" si="166"/>
        <v>427478.94</v>
      </c>
      <c r="N336" s="22">
        <f t="shared" si="167"/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 t="shared" ref="I338:I341" si="168">C338*(1-G338)</f>
        <v>104682</v>
      </c>
      <c r="J338" s="5"/>
      <c r="K338" s="5"/>
      <c r="L338" s="33">
        <f t="shared" ref="L338:L341" si="169">D338*(1-G338)</f>
        <v>121503</v>
      </c>
      <c r="M338" s="33">
        <f t="shared" ref="M338:M341" si="170">IF(J338="",L338,(D338/C338)*J338)</f>
        <v>121503</v>
      </c>
      <c r="N338" s="22">
        <f t="shared" ref="N338:N341" si="171"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 t="shared" si="168"/>
        <v>64000</v>
      </c>
      <c r="J339" s="5"/>
      <c r="K339" s="5"/>
      <c r="L339" s="33">
        <f t="shared" si="169"/>
        <v>74284</v>
      </c>
      <c r="M339" s="33">
        <f t="shared" si="170"/>
        <v>74284</v>
      </c>
      <c r="N339" s="22">
        <f t="shared" si="171"/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 t="shared" si="168"/>
        <v>16856</v>
      </c>
      <c r="J340" s="5"/>
      <c r="K340" s="5"/>
      <c r="L340" s="33">
        <f t="shared" si="169"/>
        <v>19181</v>
      </c>
      <c r="M340" s="33">
        <f t="shared" si="170"/>
        <v>19181</v>
      </c>
      <c r="N340" s="22">
        <f t="shared" si="171"/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 t="shared" si="168"/>
        <v>183302.80000000002</v>
      </c>
      <c r="J341" s="5"/>
      <c r="K341" s="5"/>
      <c r="L341" s="33">
        <f t="shared" si="169"/>
        <v>212756.38</v>
      </c>
      <c r="M341" s="33">
        <f t="shared" si="170"/>
        <v>212756.38</v>
      </c>
      <c r="N341" s="22">
        <f t="shared" si="171"/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 t="shared" ref="I351:I352" si="172">C351*(1-G351)</f>
        <v>14770</v>
      </c>
      <c r="J351" s="5"/>
      <c r="K351" s="5"/>
      <c r="L351" s="33">
        <f t="shared" ref="L351:L352" si="173">D351*(1-G351)</f>
        <v>17143</v>
      </c>
      <c r="M351" s="33">
        <f t="shared" ref="M351:M352" si="174">IF(J351="",L351,(D351/C351)*J351)</f>
        <v>17143</v>
      </c>
      <c r="N351" s="22">
        <f t="shared" ref="N351:N352" si="175"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 t="shared" si="172"/>
        <v>46420</v>
      </c>
      <c r="J352" s="5"/>
      <c r="K352" s="5"/>
      <c r="L352" s="33">
        <f t="shared" si="173"/>
        <v>53879</v>
      </c>
      <c r="M352" s="33">
        <f t="shared" si="174"/>
        <v>53879</v>
      </c>
      <c r="N352" s="22">
        <f t="shared" si="175"/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12" t="s">
        <v>3815</v>
      </c>
      <c r="B1" s="113"/>
      <c r="C1" s="113"/>
      <c r="D1" s="114"/>
      <c r="E1" s="115" t="s">
        <v>7818</v>
      </c>
      <c r="F1" s="116"/>
      <c r="G1" s="117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 t="shared" ref="I29:I30" si="8">C29*(1-G29)</f>
        <v>0.20000000000000018</v>
      </c>
      <c r="J29" s="5"/>
      <c r="K29" s="5"/>
      <c r="L29" s="33">
        <f t="shared" ref="L29:L30" si="9">D29*(1-G29)</f>
        <v>29.450000000000028</v>
      </c>
      <c r="M29" s="33">
        <f t="shared" ref="M29:M30" si="10">IF(J29="",L29,(D29/C29)*J29)</f>
        <v>29.450000000000028</v>
      </c>
      <c r="N29" s="22">
        <f t="shared" ref="N29:N30" si="11"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 t="shared" si="8"/>
        <v>0.20000000000000018</v>
      </c>
      <c r="J30" s="5"/>
      <c r="K30" s="5"/>
      <c r="L30" s="33">
        <f t="shared" si="9"/>
        <v>34.400000000000034</v>
      </c>
      <c r="M30" s="33">
        <f t="shared" si="10"/>
        <v>34.400000000000034</v>
      </c>
      <c r="N30" s="22">
        <f t="shared" si="11"/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 t="shared" ref="I32:I34" si="12">C32*(1-G32)</f>
        <v>8</v>
      </c>
      <c r="J32" s="5"/>
      <c r="K32" s="5"/>
      <c r="L32" s="33">
        <f t="shared" ref="L32:L34" si="13">D32*(1-G32)</f>
        <v>1012</v>
      </c>
      <c r="M32" s="33">
        <f t="shared" ref="M32:M34" si="14">IF(J32="",L32,(D32/C32)*J32)</f>
        <v>1012</v>
      </c>
      <c r="N32" s="22">
        <f t="shared" ref="N32:N34" si="15"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 t="shared" si="12"/>
        <v>8</v>
      </c>
      <c r="J33" s="5"/>
      <c r="K33" s="5"/>
      <c r="L33" s="33">
        <f t="shared" si="13"/>
        <v>1178</v>
      </c>
      <c r="M33" s="33">
        <f t="shared" si="14"/>
        <v>1178</v>
      </c>
      <c r="N33" s="22">
        <f t="shared" si="15"/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 t="shared" si="12"/>
        <v>8</v>
      </c>
      <c r="J34" s="5"/>
      <c r="K34" s="5"/>
      <c r="L34" s="33">
        <f t="shared" si="13"/>
        <v>1377</v>
      </c>
      <c r="M34" s="33">
        <f t="shared" si="14"/>
        <v>1377</v>
      </c>
      <c r="N34" s="22">
        <f t="shared" si="15"/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 t="shared" ref="I36:I37" si="16">C36*(1-G36)</f>
        <v>192</v>
      </c>
      <c r="J36" s="5"/>
      <c r="K36" s="5"/>
      <c r="L36" s="33">
        <f t="shared" ref="L36:L37" si="17">D36*(1-G36)</f>
        <v>29123.399999999998</v>
      </c>
      <c r="M36" s="33">
        <f t="shared" ref="M36:M37" si="18">IF(J36="",L36,(D36/C36)*J36)</f>
        <v>29123.399999999998</v>
      </c>
      <c r="N36" s="22">
        <f t="shared" ref="N36:N37" si="19"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 t="shared" si="16"/>
        <v>40.199999999999996</v>
      </c>
      <c r="J37" s="5"/>
      <c r="K37" s="5"/>
      <c r="L37" s="33">
        <f t="shared" si="17"/>
        <v>7126.2</v>
      </c>
      <c r="M37" s="33">
        <f t="shared" si="18"/>
        <v>7126.2</v>
      </c>
      <c r="N37" s="22">
        <f t="shared" si="19"/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20">C39*(1-G39)</f>
        <v>3.2</v>
      </c>
      <c r="J39" s="5"/>
      <c r="K39" s="5"/>
      <c r="L39" s="33">
        <f t="shared" ref="L39:L47" si="21">D39*(1-G39)</f>
        <v>457.6</v>
      </c>
      <c r="M39" s="33">
        <f t="shared" ref="M39:M47" si="22">IF(J39="",L39,(D39/C39)*J39)</f>
        <v>457.6</v>
      </c>
      <c r="N39" s="22">
        <f t="shared" ref="N39:N47" si="23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20"/>
        <v>3.2</v>
      </c>
      <c r="J40" s="5"/>
      <c r="K40" s="5"/>
      <c r="L40" s="33">
        <f t="shared" si="21"/>
        <v>534.4</v>
      </c>
      <c r="M40" s="33">
        <f t="shared" si="22"/>
        <v>534.4</v>
      </c>
      <c r="N40" s="22">
        <f t="shared" si="23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20"/>
        <v>2</v>
      </c>
      <c r="J41" s="5"/>
      <c r="K41" s="5"/>
      <c r="L41" s="33">
        <f t="shared" si="21"/>
        <v>286</v>
      </c>
      <c r="M41" s="33">
        <f t="shared" si="22"/>
        <v>286</v>
      </c>
      <c r="N41" s="22">
        <f t="shared" si="23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20"/>
        <v>2</v>
      </c>
      <c r="J42" s="5"/>
      <c r="K42" s="5"/>
      <c r="L42" s="33">
        <f t="shared" si="21"/>
        <v>334</v>
      </c>
      <c r="M42" s="33">
        <f t="shared" si="22"/>
        <v>334</v>
      </c>
      <c r="N42" s="22">
        <f t="shared" si="23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20"/>
        <v>24</v>
      </c>
      <c r="J43" s="5"/>
      <c r="K43" s="5"/>
      <c r="L43" s="33">
        <f t="shared" si="21"/>
        <v>2739</v>
      </c>
      <c r="M43" s="33">
        <f t="shared" si="22"/>
        <v>2739</v>
      </c>
      <c r="N43" s="22">
        <f t="shared" si="23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20"/>
        <v>64</v>
      </c>
      <c r="J44" s="5"/>
      <c r="K44" s="5"/>
      <c r="L44" s="33">
        <f t="shared" si="21"/>
        <v>11015</v>
      </c>
      <c r="M44" s="33">
        <f t="shared" si="22"/>
        <v>11015</v>
      </c>
      <c r="N44" s="22">
        <f t="shared" si="23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20"/>
        <v>64</v>
      </c>
      <c r="J45" s="5"/>
      <c r="K45" s="5"/>
      <c r="L45" s="33">
        <f t="shared" si="21"/>
        <v>9425</v>
      </c>
      <c r="M45" s="33">
        <f t="shared" si="22"/>
        <v>9425</v>
      </c>
      <c r="N45" s="22">
        <f t="shared" si="23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20"/>
        <v>64</v>
      </c>
      <c r="J46" s="5"/>
      <c r="K46" s="5"/>
      <c r="L46" s="33">
        <f t="shared" si="21"/>
        <v>7304</v>
      </c>
      <c r="M46" s="33">
        <f t="shared" si="22"/>
        <v>7304</v>
      </c>
      <c r="N46" s="22">
        <f t="shared" si="23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20"/>
        <v>24</v>
      </c>
      <c r="J47" s="5"/>
      <c r="K47" s="5"/>
      <c r="L47" s="33">
        <f t="shared" si="21"/>
        <v>2739</v>
      </c>
      <c r="M47" s="33">
        <f t="shared" si="22"/>
        <v>2739</v>
      </c>
      <c r="N47" s="22">
        <f t="shared" si="23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 t="shared" ref="I49:I50" si="24">C49*(1-G49)</f>
        <v>40</v>
      </c>
      <c r="J49" s="5"/>
      <c r="K49" s="5"/>
      <c r="L49" s="33">
        <f t="shared" ref="L49:L50" si="25">D49*(1-G49)</f>
        <v>6067</v>
      </c>
      <c r="M49" s="33">
        <f t="shared" ref="M49:M50" si="26">IF(J49="",L49,(D49/C49)*J49)</f>
        <v>6067</v>
      </c>
      <c r="N49" s="22">
        <f t="shared" ref="N49:N50" si="27"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 t="shared" si="24"/>
        <v>308</v>
      </c>
      <c r="J50" s="5"/>
      <c r="K50" s="5"/>
      <c r="L50" s="33">
        <f t="shared" si="25"/>
        <v>36204</v>
      </c>
      <c r="M50" s="33">
        <f t="shared" si="26"/>
        <v>36204</v>
      </c>
      <c r="N50" s="22">
        <f t="shared" si="27"/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28">C52*(1-G52)</f>
        <v>24</v>
      </c>
      <c r="J52" s="5"/>
      <c r="K52" s="5"/>
      <c r="L52" s="33">
        <f t="shared" ref="L52:L59" si="29">D52*(1-G52)</f>
        <v>2739</v>
      </c>
      <c r="M52" s="33">
        <f t="shared" ref="M52:M59" si="30">IF(J52="",L52,(D52/C52)*J52)</f>
        <v>2739</v>
      </c>
      <c r="N52" s="22">
        <f t="shared" ref="N52:N59" si="31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28"/>
        <v>24</v>
      </c>
      <c r="J53" s="5"/>
      <c r="K53" s="5"/>
      <c r="L53" s="33">
        <f t="shared" si="29"/>
        <v>2739</v>
      </c>
      <c r="M53" s="33">
        <f t="shared" si="30"/>
        <v>2739</v>
      </c>
      <c r="N53" s="22">
        <f t="shared" si="31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28"/>
        <v>24</v>
      </c>
      <c r="J54" s="5"/>
      <c r="K54" s="5"/>
      <c r="L54" s="33">
        <f t="shared" si="29"/>
        <v>2739</v>
      </c>
      <c r="M54" s="33">
        <f t="shared" si="30"/>
        <v>2739</v>
      </c>
      <c r="N54" s="22">
        <f t="shared" si="31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28"/>
        <v>80</v>
      </c>
      <c r="J55" s="5"/>
      <c r="K55" s="5"/>
      <c r="L55" s="33">
        <f t="shared" si="29"/>
        <v>9130</v>
      </c>
      <c r="M55" s="33">
        <f t="shared" si="30"/>
        <v>9130</v>
      </c>
      <c r="N55" s="22">
        <f t="shared" si="31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28"/>
        <v>24</v>
      </c>
      <c r="J56" s="5"/>
      <c r="K56" s="5"/>
      <c r="L56" s="33">
        <f t="shared" si="29"/>
        <v>2739</v>
      </c>
      <c r="M56" s="33">
        <f t="shared" si="30"/>
        <v>2739</v>
      </c>
      <c r="N56" s="22">
        <f t="shared" si="31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28"/>
        <v>240</v>
      </c>
      <c r="J57" s="5"/>
      <c r="K57" s="5"/>
      <c r="L57" s="33">
        <f t="shared" si="29"/>
        <v>27453</v>
      </c>
      <c r="M57" s="33">
        <f t="shared" si="30"/>
        <v>27453</v>
      </c>
      <c r="N57" s="22">
        <f t="shared" si="31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28"/>
        <v>40</v>
      </c>
      <c r="J58" s="5"/>
      <c r="K58" s="5"/>
      <c r="L58" s="33">
        <f t="shared" si="29"/>
        <v>4702</v>
      </c>
      <c r="M58" s="33">
        <f t="shared" si="30"/>
        <v>4702</v>
      </c>
      <c r="N58" s="22">
        <f t="shared" si="31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28"/>
        <v>40</v>
      </c>
      <c r="J59" s="5"/>
      <c r="K59" s="5"/>
      <c r="L59" s="33">
        <f t="shared" si="29"/>
        <v>4702</v>
      </c>
      <c r="M59" s="33">
        <f t="shared" si="30"/>
        <v>4702</v>
      </c>
      <c r="N59" s="22">
        <f t="shared" si="31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32">C61*(1-G61)</f>
        <v>194.04000000000002</v>
      </c>
      <c r="J61" s="5"/>
      <c r="K61" s="5"/>
      <c r="L61" s="33">
        <f t="shared" ref="L61:L70" si="33">D61*(1-G61)</f>
        <v>29362.620000000003</v>
      </c>
      <c r="M61" s="33">
        <f t="shared" ref="M61:M70" si="34">IF(J61="",L61,(D61/C61)*J61)</f>
        <v>29362.620000000003</v>
      </c>
      <c r="N61" s="22">
        <f t="shared" ref="N61:N70" si="35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32"/>
        <v>387.24</v>
      </c>
      <c r="J62" s="5"/>
      <c r="K62" s="5"/>
      <c r="L62" s="33">
        <f t="shared" si="33"/>
        <v>45410.400000000001</v>
      </c>
      <c r="M62" s="33">
        <f t="shared" si="34"/>
        <v>45410.400000000001</v>
      </c>
      <c r="N62" s="22">
        <f t="shared" si="35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32"/>
        <v>300.3</v>
      </c>
      <c r="J63" s="5"/>
      <c r="K63" s="5"/>
      <c r="L63" s="33">
        <f t="shared" si="33"/>
        <v>45451.9</v>
      </c>
      <c r="M63" s="33">
        <f t="shared" si="34"/>
        <v>45451.9</v>
      </c>
      <c r="N63" s="22">
        <f t="shared" si="35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32"/>
        <v>599.30000000000007</v>
      </c>
      <c r="J64" s="5"/>
      <c r="K64" s="5"/>
      <c r="L64" s="33">
        <f t="shared" si="33"/>
        <v>70292.95</v>
      </c>
      <c r="M64" s="33">
        <f t="shared" si="34"/>
        <v>70292.95</v>
      </c>
      <c r="N64" s="22">
        <f t="shared" si="35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32"/>
        <v>286.44</v>
      </c>
      <c r="J65" s="5"/>
      <c r="K65" s="5"/>
      <c r="L65" s="33">
        <f t="shared" si="33"/>
        <v>43373.34</v>
      </c>
      <c r="M65" s="33">
        <f t="shared" si="34"/>
        <v>43373.34</v>
      </c>
      <c r="N65" s="22">
        <f t="shared" si="35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32"/>
        <v>571.64</v>
      </c>
      <c r="J66" s="5"/>
      <c r="K66" s="5"/>
      <c r="L66" s="33">
        <f t="shared" si="33"/>
        <v>67078.42</v>
      </c>
      <c r="M66" s="33">
        <f t="shared" si="34"/>
        <v>67078.42</v>
      </c>
      <c r="N66" s="22">
        <f t="shared" si="35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32"/>
        <v>300.3</v>
      </c>
      <c r="J67" s="5"/>
      <c r="K67" s="5"/>
      <c r="L67" s="33">
        <f t="shared" si="33"/>
        <v>45511.700000000004</v>
      </c>
      <c r="M67" s="33">
        <f t="shared" si="34"/>
        <v>45511.700000000004</v>
      </c>
      <c r="N67" s="22">
        <f t="shared" si="35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32"/>
        <v>599.30000000000007</v>
      </c>
      <c r="J68" s="5"/>
      <c r="K68" s="5"/>
      <c r="L68" s="33">
        <f t="shared" si="33"/>
        <v>70385.900000000009</v>
      </c>
      <c r="M68" s="33">
        <f t="shared" si="34"/>
        <v>70385.900000000009</v>
      </c>
      <c r="N68" s="22">
        <f t="shared" si="35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32"/>
        <v>309.53999999999996</v>
      </c>
      <c r="J69" s="5"/>
      <c r="K69" s="5"/>
      <c r="L69" s="33">
        <f t="shared" si="33"/>
        <v>46932.829999999994</v>
      </c>
      <c r="M69" s="33">
        <f t="shared" si="34"/>
        <v>46932.829999999994</v>
      </c>
      <c r="N69" s="22">
        <f t="shared" si="35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32"/>
        <v>617.7399999999999</v>
      </c>
      <c r="J70" s="5"/>
      <c r="K70" s="5"/>
      <c r="L70" s="33">
        <f t="shared" si="33"/>
        <v>72583.109999999986</v>
      </c>
      <c r="M70" s="33">
        <f t="shared" si="34"/>
        <v>72583.109999999986</v>
      </c>
      <c r="N70" s="22">
        <f t="shared" si="35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36">C72*(1-G72)</f>
        <v>482.4</v>
      </c>
      <c r="J72" s="5"/>
      <c r="K72" s="5"/>
      <c r="L72" s="33">
        <f t="shared" ref="L72:L81" si="37">D72*(1-G72)</f>
        <v>56704.109999999993</v>
      </c>
      <c r="M72" s="33">
        <f t="shared" ref="M72:M81" si="38">IF(J72="",L72,(D72/C72)*J72)</f>
        <v>56704.109999999993</v>
      </c>
      <c r="N72" s="22">
        <f t="shared" ref="N72:N81" si="39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36"/>
        <v>396.00000000000006</v>
      </c>
      <c r="J73" s="5"/>
      <c r="K73" s="5"/>
      <c r="L73" s="33">
        <f t="shared" si="37"/>
        <v>46209.350000000006</v>
      </c>
      <c r="M73" s="33">
        <f t="shared" si="38"/>
        <v>46209.350000000006</v>
      </c>
      <c r="N73" s="22">
        <f t="shared" si="39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36"/>
        <v>120.6</v>
      </c>
      <c r="J74" s="5"/>
      <c r="K74" s="5"/>
      <c r="L74" s="33">
        <f t="shared" si="37"/>
        <v>18293.009999999998</v>
      </c>
      <c r="M74" s="33">
        <f t="shared" si="38"/>
        <v>18293.009999999998</v>
      </c>
      <c r="N74" s="22">
        <f t="shared" si="39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36"/>
        <v>309.53999999999996</v>
      </c>
      <c r="J75" s="5"/>
      <c r="K75" s="5"/>
      <c r="L75" s="33">
        <f t="shared" si="37"/>
        <v>46997.149999999994</v>
      </c>
      <c r="M75" s="33">
        <f t="shared" si="38"/>
        <v>46997.149999999994</v>
      </c>
      <c r="N75" s="22">
        <f t="shared" si="39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36"/>
        <v>926.6099999999999</v>
      </c>
      <c r="J76" s="5"/>
      <c r="K76" s="5"/>
      <c r="L76" s="33">
        <f t="shared" si="37"/>
        <v>109023.73999999999</v>
      </c>
      <c r="M76" s="33">
        <f t="shared" si="38"/>
        <v>109023.73999999999</v>
      </c>
      <c r="N76" s="22">
        <f t="shared" si="39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36"/>
        <v>954.27</v>
      </c>
      <c r="J77" s="5"/>
      <c r="K77" s="5"/>
      <c r="L77" s="33">
        <f t="shared" si="37"/>
        <v>112330.62</v>
      </c>
      <c r="M77" s="33">
        <f t="shared" si="38"/>
        <v>112330.62</v>
      </c>
      <c r="N77" s="22">
        <f t="shared" si="39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36"/>
        <v>318.77999999999997</v>
      </c>
      <c r="J78" s="5"/>
      <c r="K78" s="5"/>
      <c r="L78" s="33">
        <f t="shared" si="37"/>
        <v>48422.82</v>
      </c>
      <c r="M78" s="33">
        <f t="shared" si="38"/>
        <v>48422.82</v>
      </c>
      <c r="N78" s="22">
        <f t="shared" si="39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36"/>
        <v>318.77999999999997</v>
      </c>
      <c r="J79" s="5"/>
      <c r="K79" s="5"/>
      <c r="L79" s="33">
        <f t="shared" si="37"/>
        <v>48436.619999999995</v>
      </c>
      <c r="M79" s="33">
        <f t="shared" si="38"/>
        <v>48436.619999999995</v>
      </c>
      <c r="N79" s="22">
        <f t="shared" si="39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36"/>
        <v>1192.32</v>
      </c>
      <c r="J80" s="5"/>
      <c r="K80" s="5"/>
      <c r="L80" s="33">
        <f t="shared" si="37"/>
        <v>181164.33</v>
      </c>
      <c r="M80" s="33">
        <f t="shared" si="38"/>
        <v>181164.33</v>
      </c>
      <c r="N80" s="22">
        <f t="shared" si="39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36"/>
        <v>954.27</v>
      </c>
      <c r="J81" s="5"/>
      <c r="K81" s="5"/>
      <c r="L81" s="33">
        <f t="shared" si="37"/>
        <v>112363.04999999999</v>
      </c>
      <c r="M81" s="33">
        <f t="shared" si="38"/>
        <v>112363.04999999999</v>
      </c>
      <c r="N81" s="22">
        <f t="shared" si="39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 t="shared" ref="I83:I84" si="40">C83*(1-G83)</f>
        <v>57.599999999999994</v>
      </c>
      <c r="J83" s="5"/>
      <c r="K83" s="5"/>
      <c r="L83" s="33">
        <f t="shared" ref="L83:L84" si="41">D83*(1-G83)</f>
        <v>6770.4</v>
      </c>
      <c r="M83" s="33">
        <f t="shared" ref="M83:M84" si="42">IF(J83="",L83,(D83/C83)*J83)</f>
        <v>6770.4</v>
      </c>
      <c r="N83" s="22">
        <f t="shared" ref="N83:N84" si="43"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 t="shared" si="40"/>
        <v>91.8</v>
      </c>
      <c r="J84" s="5"/>
      <c r="K84" s="5"/>
      <c r="L84" s="33">
        <f t="shared" si="41"/>
        <v>11962.199999999999</v>
      </c>
      <c r="M84" s="33">
        <f t="shared" si="42"/>
        <v>11962.199999999999</v>
      </c>
      <c r="N84" s="22">
        <f t="shared" si="43"/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44">C86*(1-G86)</f>
        <v>22.4</v>
      </c>
      <c r="J86" s="5"/>
      <c r="K86" s="5"/>
      <c r="L86" s="33">
        <f t="shared" ref="L86:L100" si="45">D86*(1-G86)</f>
        <v>3397.7999999999997</v>
      </c>
      <c r="M86" s="33">
        <f t="shared" ref="M86:M100" si="46">IF(J86="",L86,(D86/C86)*J86)</f>
        <v>3397.7999999999997</v>
      </c>
      <c r="N86" s="22">
        <f t="shared" ref="N86:N100" si="4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44"/>
        <v>22.4</v>
      </c>
      <c r="J87" s="5"/>
      <c r="K87" s="5"/>
      <c r="L87" s="33">
        <f t="shared" si="45"/>
        <v>3971.1</v>
      </c>
      <c r="M87" s="33">
        <f t="shared" si="46"/>
        <v>3971.1</v>
      </c>
      <c r="N87" s="22">
        <f t="shared" si="4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44"/>
        <v>358.4</v>
      </c>
      <c r="J88" s="5"/>
      <c r="K88" s="5"/>
      <c r="L88" s="33">
        <f t="shared" si="45"/>
        <v>42128.1</v>
      </c>
      <c r="M88" s="33">
        <f t="shared" si="46"/>
        <v>42128.1</v>
      </c>
      <c r="N88" s="22">
        <f t="shared" si="4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44"/>
        <v>22.4</v>
      </c>
      <c r="J89" s="5"/>
      <c r="K89" s="5"/>
      <c r="L89" s="33">
        <f t="shared" si="45"/>
        <v>2885.3999999999996</v>
      </c>
      <c r="M89" s="33">
        <f t="shared" si="46"/>
        <v>2885.3999999999996</v>
      </c>
      <c r="N89" s="22">
        <f t="shared" si="4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44"/>
        <v>40</v>
      </c>
      <c r="J90" s="5"/>
      <c r="K90" s="5"/>
      <c r="L90" s="33">
        <f t="shared" si="45"/>
        <v>5890.5</v>
      </c>
      <c r="M90" s="33">
        <f t="shared" si="46"/>
        <v>5890.5</v>
      </c>
      <c r="N90" s="22">
        <f t="shared" si="4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44"/>
        <v>40</v>
      </c>
      <c r="J91" s="5"/>
      <c r="K91" s="5"/>
      <c r="L91" s="33">
        <f t="shared" si="45"/>
        <v>6884</v>
      </c>
      <c r="M91" s="33">
        <f t="shared" si="46"/>
        <v>6884</v>
      </c>
      <c r="N91" s="22">
        <f t="shared" si="4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44"/>
        <v>31.999999999999993</v>
      </c>
      <c r="J92" s="5"/>
      <c r="K92" s="5"/>
      <c r="L92" s="33">
        <f t="shared" si="45"/>
        <v>4853.8999999999987</v>
      </c>
      <c r="M92" s="33">
        <f t="shared" si="46"/>
        <v>4853.8999999999987</v>
      </c>
      <c r="N92" s="22">
        <f t="shared" si="4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44"/>
        <v>31.999999999999993</v>
      </c>
      <c r="J93" s="5"/>
      <c r="K93" s="5"/>
      <c r="L93" s="33">
        <f t="shared" si="45"/>
        <v>5672.5999999999985</v>
      </c>
      <c r="M93" s="33">
        <f t="shared" si="46"/>
        <v>5672.5999999999985</v>
      </c>
      <c r="N93" s="22">
        <f t="shared" si="4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44"/>
        <v>11.199999999999998</v>
      </c>
      <c r="J94" s="5"/>
      <c r="K94" s="5"/>
      <c r="L94" s="33">
        <f t="shared" si="45"/>
        <v>1698.7999999999997</v>
      </c>
      <c r="M94" s="33">
        <f t="shared" si="46"/>
        <v>1698.7999999999997</v>
      </c>
      <c r="N94" s="22">
        <f t="shared" si="4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44"/>
        <v>17.599999999999994</v>
      </c>
      <c r="J95" s="5"/>
      <c r="K95" s="5"/>
      <c r="L95" s="33">
        <f t="shared" si="45"/>
        <v>3119.9999999999991</v>
      </c>
      <c r="M95" s="33">
        <f t="shared" si="46"/>
        <v>3119.9999999999991</v>
      </c>
      <c r="N95" s="22">
        <f t="shared" si="4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44"/>
        <v>8.7999999999999972</v>
      </c>
      <c r="J96" s="5"/>
      <c r="K96" s="5"/>
      <c r="L96" s="33">
        <f t="shared" si="45"/>
        <v>1034.3999999999999</v>
      </c>
      <c r="M96" s="33">
        <f t="shared" si="46"/>
        <v>1034.3999999999999</v>
      </c>
      <c r="N96" s="22">
        <f t="shared" si="4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44"/>
        <v>80</v>
      </c>
      <c r="J97" s="5"/>
      <c r="K97" s="5"/>
      <c r="L97" s="33">
        <f t="shared" si="45"/>
        <v>12135</v>
      </c>
      <c r="M97" s="33">
        <f t="shared" si="46"/>
        <v>12135</v>
      </c>
      <c r="N97" s="22">
        <f t="shared" si="4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44"/>
        <v>240</v>
      </c>
      <c r="J98" s="5"/>
      <c r="K98" s="5"/>
      <c r="L98" s="33">
        <f t="shared" si="45"/>
        <v>42545</v>
      </c>
      <c r="M98" s="33">
        <f t="shared" si="46"/>
        <v>42545</v>
      </c>
      <c r="N98" s="22">
        <f t="shared" si="4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44"/>
        <v>40</v>
      </c>
      <c r="J99" s="5"/>
      <c r="K99" s="5"/>
      <c r="L99" s="33">
        <f t="shared" si="45"/>
        <v>6884</v>
      </c>
      <c r="M99" s="33">
        <f t="shared" si="46"/>
        <v>6884</v>
      </c>
      <c r="N99" s="22">
        <f t="shared" si="4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44"/>
        <v>33.6</v>
      </c>
      <c r="J100" s="5"/>
      <c r="K100" s="5"/>
      <c r="L100" s="33">
        <f t="shared" si="45"/>
        <v>5956.44</v>
      </c>
      <c r="M100" s="33">
        <f t="shared" si="46"/>
        <v>5956.44</v>
      </c>
      <c r="N100" s="22">
        <f t="shared" si="4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48">C102*(1-G102)</f>
        <v>4</v>
      </c>
      <c r="J102" s="5"/>
      <c r="K102" s="5"/>
      <c r="L102" s="33">
        <f t="shared" ref="L102:L111" si="49">D102*(1-G102)</f>
        <v>506</v>
      </c>
      <c r="M102" s="33">
        <f t="shared" ref="M102:M111" si="50">IF(J102="",L102,(D102/C102)*J102)</f>
        <v>506</v>
      </c>
      <c r="N102" s="22">
        <f t="shared" ref="N102:N111" si="5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48"/>
        <v>4</v>
      </c>
      <c r="J103" s="5"/>
      <c r="K103" s="5"/>
      <c r="L103" s="33">
        <f t="shared" si="49"/>
        <v>688</v>
      </c>
      <c r="M103" s="33">
        <f t="shared" si="50"/>
        <v>688</v>
      </c>
      <c r="N103" s="22">
        <f t="shared" si="5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48"/>
        <v>4</v>
      </c>
      <c r="J104" s="5"/>
      <c r="K104" s="5"/>
      <c r="L104" s="33">
        <f t="shared" si="49"/>
        <v>0</v>
      </c>
      <c r="M104" s="33">
        <f t="shared" si="50"/>
        <v>0</v>
      </c>
      <c r="N104" s="22">
        <f t="shared" si="5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48"/>
        <v>4</v>
      </c>
      <c r="J105" s="5"/>
      <c r="K105" s="5"/>
      <c r="L105" s="33">
        <f t="shared" si="49"/>
        <v>824</v>
      </c>
      <c r="M105" s="33">
        <f t="shared" si="50"/>
        <v>824</v>
      </c>
      <c r="N105" s="22">
        <f t="shared" si="5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48"/>
        <v>8</v>
      </c>
      <c r="J106" s="5"/>
      <c r="K106" s="5"/>
      <c r="L106" s="33">
        <f t="shared" si="49"/>
        <v>1012</v>
      </c>
      <c r="M106" s="33">
        <f t="shared" si="50"/>
        <v>1012</v>
      </c>
      <c r="N106" s="22">
        <f t="shared" si="5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48"/>
        <v>4</v>
      </c>
      <c r="J107" s="5"/>
      <c r="K107" s="5"/>
      <c r="L107" s="33">
        <f t="shared" si="49"/>
        <v>506</v>
      </c>
      <c r="M107" s="33">
        <f t="shared" si="50"/>
        <v>506</v>
      </c>
      <c r="N107" s="22">
        <f t="shared" si="5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48"/>
        <v>8</v>
      </c>
      <c r="J108" s="5"/>
      <c r="K108" s="5"/>
      <c r="L108" s="33">
        <f t="shared" si="49"/>
        <v>1012</v>
      </c>
      <c r="M108" s="33">
        <f t="shared" si="50"/>
        <v>1012</v>
      </c>
      <c r="N108" s="22">
        <f t="shared" si="5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48"/>
        <v>4</v>
      </c>
      <c r="J109" s="5"/>
      <c r="K109" s="5"/>
      <c r="L109" s="33">
        <f t="shared" si="49"/>
        <v>688</v>
      </c>
      <c r="M109" s="33">
        <f t="shared" si="50"/>
        <v>688</v>
      </c>
      <c r="N109" s="22">
        <f t="shared" si="5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48"/>
        <v>4</v>
      </c>
      <c r="J110" s="5"/>
      <c r="K110" s="5"/>
      <c r="L110" s="33">
        <f t="shared" si="49"/>
        <v>0</v>
      </c>
      <c r="M110" s="33">
        <f t="shared" si="50"/>
        <v>0</v>
      </c>
      <c r="N110" s="22">
        <f t="shared" si="5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48"/>
        <v>4</v>
      </c>
      <c r="J111" s="5"/>
      <c r="K111" s="5"/>
      <c r="L111" s="33">
        <f t="shared" si="49"/>
        <v>824</v>
      </c>
      <c r="M111" s="33">
        <f t="shared" si="50"/>
        <v>824</v>
      </c>
      <c r="N111" s="22">
        <f t="shared" si="5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 t="shared" ref="I113:I114" si="52">C113*(1-G113)</f>
        <v>156</v>
      </c>
      <c r="J113" s="5"/>
      <c r="K113" s="5"/>
      <c r="L113" s="33">
        <f t="shared" ref="L113:L114" si="53">D113*(1-G113)</f>
        <v>20328</v>
      </c>
      <c r="M113" s="33">
        <f t="shared" ref="M113:M114" si="54">IF(J113="",L113,(D113/C113)*J113)</f>
        <v>20328</v>
      </c>
      <c r="N113" s="22">
        <f t="shared" ref="N113:N114" si="55"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 t="shared" si="52"/>
        <v>108</v>
      </c>
      <c r="J114" s="5"/>
      <c r="K114" s="5"/>
      <c r="L114" s="33">
        <f t="shared" si="53"/>
        <v>14073</v>
      </c>
      <c r="M114" s="33">
        <f t="shared" si="54"/>
        <v>14073</v>
      </c>
      <c r="N114" s="22">
        <f t="shared" si="55"/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56">C116*(1-G116)</f>
        <v>8</v>
      </c>
      <c r="J116" s="5"/>
      <c r="K116" s="5"/>
      <c r="L116" s="33">
        <f t="shared" ref="L116:L125" si="57">D116*(1-G116)</f>
        <v>1012</v>
      </c>
      <c r="M116" s="33">
        <f t="shared" ref="M116:M125" si="58">IF(J116="",L116,(D116/C116)*J116)</f>
        <v>1012</v>
      </c>
      <c r="N116" s="22">
        <f t="shared" ref="N116:N125" si="59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56"/>
        <v>4</v>
      </c>
      <c r="J117" s="5"/>
      <c r="K117" s="5"/>
      <c r="L117" s="33">
        <f t="shared" si="57"/>
        <v>506</v>
      </c>
      <c r="M117" s="33">
        <f t="shared" si="58"/>
        <v>506</v>
      </c>
      <c r="N117" s="22">
        <f t="shared" si="59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56"/>
        <v>4</v>
      </c>
      <c r="J118" s="5"/>
      <c r="K118" s="5"/>
      <c r="L118" s="33">
        <f t="shared" si="57"/>
        <v>688</v>
      </c>
      <c r="M118" s="33">
        <f t="shared" si="58"/>
        <v>688</v>
      </c>
      <c r="N118" s="22">
        <f t="shared" si="59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56"/>
        <v>4</v>
      </c>
      <c r="J119" s="5"/>
      <c r="K119" s="5"/>
      <c r="L119" s="33">
        <f t="shared" si="57"/>
        <v>0</v>
      </c>
      <c r="M119" s="33">
        <f t="shared" si="58"/>
        <v>0</v>
      </c>
      <c r="N119" s="22">
        <f t="shared" si="59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56"/>
        <v>4</v>
      </c>
      <c r="J120" s="5"/>
      <c r="K120" s="5"/>
      <c r="L120" s="33">
        <f t="shared" si="57"/>
        <v>824</v>
      </c>
      <c r="M120" s="33">
        <f t="shared" si="58"/>
        <v>824</v>
      </c>
      <c r="N120" s="22">
        <f t="shared" si="59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56"/>
        <v>4</v>
      </c>
      <c r="J121" s="5"/>
      <c r="K121" s="5"/>
      <c r="L121" s="33">
        <f t="shared" si="57"/>
        <v>824</v>
      </c>
      <c r="M121" s="33">
        <f t="shared" si="58"/>
        <v>824</v>
      </c>
      <c r="N121" s="22">
        <f t="shared" si="59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56"/>
        <v>4</v>
      </c>
      <c r="J122" s="5"/>
      <c r="K122" s="5"/>
      <c r="L122" s="33">
        <f t="shared" si="57"/>
        <v>688</v>
      </c>
      <c r="M122" s="33">
        <f t="shared" si="58"/>
        <v>688</v>
      </c>
      <c r="N122" s="22">
        <f t="shared" si="59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56"/>
        <v>4</v>
      </c>
      <c r="J123" s="5"/>
      <c r="K123" s="5"/>
      <c r="L123" s="33">
        <f t="shared" si="57"/>
        <v>0</v>
      </c>
      <c r="M123" s="33">
        <f t="shared" si="58"/>
        <v>0</v>
      </c>
      <c r="N123" s="22">
        <f t="shared" si="59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56"/>
        <v>4</v>
      </c>
      <c r="J124" s="5"/>
      <c r="K124" s="5"/>
      <c r="L124" s="33">
        <f t="shared" si="57"/>
        <v>506</v>
      </c>
      <c r="M124" s="33">
        <f t="shared" si="58"/>
        <v>506</v>
      </c>
      <c r="N124" s="22">
        <f t="shared" si="59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56"/>
        <v>8</v>
      </c>
      <c r="J125" s="5"/>
      <c r="K125" s="5"/>
      <c r="L125" s="33">
        <f t="shared" si="57"/>
        <v>1012</v>
      </c>
      <c r="M125" s="33">
        <f t="shared" si="58"/>
        <v>1012</v>
      </c>
      <c r="N125" s="22">
        <f t="shared" si="59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60">C127*(1-G127)</f>
        <v>80</v>
      </c>
      <c r="J127" s="5"/>
      <c r="K127" s="5"/>
      <c r="L127" s="33">
        <f t="shared" ref="L127:L132" si="61">D127*(1-G127)</f>
        <v>10424</v>
      </c>
      <c r="M127" s="33">
        <f t="shared" ref="M127:M132" si="62">IF(J127="",L127,(D127/C127)*J127)</f>
        <v>10424</v>
      </c>
      <c r="N127" s="22">
        <f t="shared" ref="N127:N132" si="63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60"/>
        <v>40</v>
      </c>
      <c r="J128" s="5"/>
      <c r="K128" s="5"/>
      <c r="L128" s="33">
        <f t="shared" si="61"/>
        <v>7091</v>
      </c>
      <c r="M128" s="33">
        <f t="shared" si="62"/>
        <v>7091</v>
      </c>
      <c r="N128" s="22">
        <f t="shared" si="63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60"/>
        <v>320</v>
      </c>
      <c r="J129" s="5"/>
      <c r="K129" s="5"/>
      <c r="L129" s="33">
        <f t="shared" si="61"/>
        <v>37615</v>
      </c>
      <c r="M129" s="33">
        <f t="shared" si="62"/>
        <v>37615</v>
      </c>
      <c r="N129" s="22">
        <f t="shared" si="63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60"/>
        <v>128.80000000000001</v>
      </c>
      <c r="J130" s="5"/>
      <c r="K130" s="5"/>
      <c r="L130" s="33">
        <f t="shared" si="61"/>
        <v>16294.400000000001</v>
      </c>
      <c r="M130" s="33">
        <f t="shared" si="62"/>
        <v>16294.400000000001</v>
      </c>
      <c r="N130" s="22">
        <f t="shared" si="63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60"/>
        <v>160</v>
      </c>
      <c r="J131" s="5"/>
      <c r="K131" s="5"/>
      <c r="L131" s="33">
        <f t="shared" si="61"/>
        <v>20849</v>
      </c>
      <c r="M131" s="33">
        <f t="shared" si="62"/>
        <v>20849</v>
      </c>
      <c r="N131" s="22">
        <f t="shared" si="63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60"/>
        <v>192</v>
      </c>
      <c r="J132" s="5"/>
      <c r="K132" s="5"/>
      <c r="L132" s="33">
        <f t="shared" si="61"/>
        <v>25019</v>
      </c>
      <c r="M132" s="33">
        <f t="shared" si="62"/>
        <v>25019</v>
      </c>
      <c r="N132" s="22">
        <f t="shared" si="63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 t="shared" ref="I134" si="64">C134*(1-G134)</f>
        <v>16</v>
      </c>
      <c r="J134" s="5"/>
      <c r="K134" s="5"/>
      <c r="L134" s="33">
        <f t="shared" ref="L134" si="65">D134*(1-G134)</f>
        <v>2762</v>
      </c>
      <c r="M134" s="33">
        <f t="shared" ref="M134" si="66">IF(J134="",L134,(D134/C134)*J134)</f>
        <v>2762</v>
      </c>
      <c r="N134" s="22">
        <f t="shared" ref="N134" si="67"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12" t="s">
        <v>3815</v>
      </c>
      <c r="B1" s="113"/>
      <c r="C1" s="113"/>
      <c r="D1" s="114"/>
      <c r="E1" s="115" t="s">
        <v>7818</v>
      </c>
      <c r="F1" s="116"/>
      <c r="G1" s="117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 t="shared" ref="I29:I30" si="8">C29*(1-G29)</f>
        <v>0.20000000000000018</v>
      </c>
      <c r="J29" s="5"/>
      <c r="K29" s="5"/>
      <c r="L29" s="33">
        <f t="shared" ref="L29:L30" si="9">D29*(1-G29)</f>
        <v>29.450000000000028</v>
      </c>
      <c r="M29" s="33">
        <f t="shared" ref="M29:M30" si="10">IF(J29="",L29,(D29/C29)*J29)</f>
        <v>29.450000000000028</v>
      </c>
      <c r="N29" s="22">
        <f t="shared" ref="N29:N30" si="11"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 t="shared" si="8"/>
        <v>0.20000000000000018</v>
      </c>
      <c r="J30" s="5"/>
      <c r="K30" s="5"/>
      <c r="L30" s="33">
        <f t="shared" si="9"/>
        <v>34.400000000000034</v>
      </c>
      <c r="M30" s="33">
        <f t="shared" si="10"/>
        <v>34.400000000000034</v>
      </c>
      <c r="N30" s="22">
        <f t="shared" si="11"/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 t="shared" ref="I32:I34" si="12">C32*(1-G32)</f>
        <v>8</v>
      </c>
      <c r="J32" s="5"/>
      <c r="K32" s="5"/>
      <c r="L32" s="33">
        <f t="shared" ref="L32:L34" si="13">D32*(1-G32)</f>
        <v>1012</v>
      </c>
      <c r="M32" s="33">
        <f t="shared" ref="M32:M34" si="14">IF(J32="",L32,(D32/C32)*J32)</f>
        <v>1012</v>
      </c>
      <c r="N32" s="22">
        <f t="shared" ref="N32:N34" si="15"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 t="shared" si="12"/>
        <v>8</v>
      </c>
      <c r="J33" s="5"/>
      <c r="K33" s="5"/>
      <c r="L33" s="33">
        <f t="shared" si="13"/>
        <v>1178</v>
      </c>
      <c r="M33" s="33">
        <f t="shared" si="14"/>
        <v>1178</v>
      </c>
      <c r="N33" s="22">
        <f t="shared" si="15"/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 t="shared" si="12"/>
        <v>8</v>
      </c>
      <c r="J34" s="5"/>
      <c r="K34" s="5"/>
      <c r="L34" s="33">
        <f t="shared" si="13"/>
        <v>1377</v>
      </c>
      <c r="M34" s="33">
        <f t="shared" si="14"/>
        <v>1377</v>
      </c>
      <c r="N34" s="22">
        <f t="shared" si="15"/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 t="shared" ref="I36:I37" si="16">C36*(1-G36)</f>
        <v>192</v>
      </c>
      <c r="J36" s="5"/>
      <c r="K36" s="5"/>
      <c r="L36" s="33">
        <f t="shared" ref="L36:L37" si="17">D36*(1-G36)</f>
        <v>29123.399999999998</v>
      </c>
      <c r="M36" s="33">
        <f t="shared" ref="M36:M37" si="18">IF(J36="",L36,(D36/C36)*J36)</f>
        <v>29123.399999999998</v>
      </c>
      <c r="N36" s="22">
        <f t="shared" ref="N36:N37" si="19"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 t="shared" si="16"/>
        <v>40.199999999999996</v>
      </c>
      <c r="J37" s="5"/>
      <c r="K37" s="5"/>
      <c r="L37" s="33">
        <f t="shared" si="17"/>
        <v>7126.2</v>
      </c>
      <c r="M37" s="33">
        <f t="shared" si="18"/>
        <v>7126.2</v>
      </c>
      <c r="N37" s="22">
        <f t="shared" si="19"/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20">C39*(1-G39)</f>
        <v>3.2</v>
      </c>
      <c r="J39" s="5"/>
      <c r="K39" s="5"/>
      <c r="L39" s="33">
        <f t="shared" ref="L39:L47" si="21">D39*(1-G39)</f>
        <v>457.6</v>
      </c>
      <c r="M39" s="33">
        <f t="shared" ref="M39:M47" si="22">IF(J39="",L39,(D39/C39)*J39)</f>
        <v>457.6</v>
      </c>
      <c r="N39" s="22">
        <f t="shared" ref="N39:N47" si="23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20"/>
        <v>3.2</v>
      </c>
      <c r="J40" s="5"/>
      <c r="K40" s="5"/>
      <c r="L40" s="33">
        <f t="shared" si="21"/>
        <v>534.4</v>
      </c>
      <c r="M40" s="33">
        <f t="shared" si="22"/>
        <v>534.4</v>
      </c>
      <c r="N40" s="22">
        <f t="shared" si="23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20"/>
        <v>2</v>
      </c>
      <c r="J41" s="5"/>
      <c r="K41" s="5"/>
      <c r="L41" s="33">
        <f t="shared" si="21"/>
        <v>286</v>
      </c>
      <c r="M41" s="33">
        <f t="shared" si="22"/>
        <v>286</v>
      </c>
      <c r="N41" s="22">
        <f t="shared" si="23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20"/>
        <v>2</v>
      </c>
      <c r="J42" s="5"/>
      <c r="K42" s="5"/>
      <c r="L42" s="33">
        <f t="shared" si="21"/>
        <v>334</v>
      </c>
      <c r="M42" s="33">
        <f t="shared" si="22"/>
        <v>334</v>
      </c>
      <c r="N42" s="22">
        <f t="shared" si="23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20"/>
        <v>24</v>
      </c>
      <c r="J43" s="5"/>
      <c r="K43" s="5"/>
      <c r="L43" s="33">
        <f t="shared" si="21"/>
        <v>2739</v>
      </c>
      <c r="M43" s="33">
        <f t="shared" si="22"/>
        <v>2739</v>
      </c>
      <c r="N43" s="22">
        <f t="shared" si="23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20"/>
        <v>64</v>
      </c>
      <c r="J44" s="5"/>
      <c r="K44" s="5"/>
      <c r="L44" s="33">
        <f t="shared" si="21"/>
        <v>11015</v>
      </c>
      <c r="M44" s="33">
        <f t="shared" si="22"/>
        <v>11015</v>
      </c>
      <c r="N44" s="22">
        <f t="shared" si="23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20"/>
        <v>64</v>
      </c>
      <c r="J45" s="5"/>
      <c r="K45" s="5"/>
      <c r="L45" s="33">
        <f t="shared" si="21"/>
        <v>9425</v>
      </c>
      <c r="M45" s="33">
        <f t="shared" si="22"/>
        <v>9425</v>
      </c>
      <c r="N45" s="22">
        <f t="shared" si="23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20"/>
        <v>64</v>
      </c>
      <c r="J46" s="5"/>
      <c r="K46" s="5"/>
      <c r="L46" s="33">
        <f t="shared" si="21"/>
        <v>7304</v>
      </c>
      <c r="M46" s="33">
        <f t="shared" si="22"/>
        <v>7304</v>
      </c>
      <c r="N46" s="22">
        <f t="shared" si="23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20"/>
        <v>24</v>
      </c>
      <c r="J47" s="5"/>
      <c r="K47" s="5"/>
      <c r="L47" s="33">
        <f t="shared" si="21"/>
        <v>2739</v>
      </c>
      <c r="M47" s="33">
        <f t="shared" si="22"/>
        <v>2739</v>
      </c>
      <c r="N47" s="22">
        <f t="shared" si="23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 t="shared" ref="I49:I50" si="24">C49*(1-G49)</f>
        <v>40</v>
      </c>
      <c r="J49" s="5"/>
      <c r="K49" s="5"/>
      <c r="L49" s="33">
        <f t="shared" ref="L49:L50" si="25">D49*(1-G49)</f>
        <v>6067</v>
      </c>
      <c r="M49" s="33">
        <f t="shared" ref="M49:M50" si="26">IF(J49="",L49,(D49/C49)*J49)</f>
        <v>6067</v>
      </c>
      <c r="N49" s="22">
        <f t="shared" ref="N49:N50" si="27"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 t="shared" si="24"/>
        <v>308</v>
      </c>
      <c r="J50" s="5"/>
      <c r="K50" s="5"/>
      <c r="L50" s="33">
        <f t="shared" si="25"/>
        <v>36204</v>
      </c>
      <c r="M50" s="33">
        <f t="shared" si="26"/>
        <v>36204</v>
      </c>
      <c r="N50" s="22">
        <f t="shared" si="27"/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28">C52*(1-G52)</f>
        <v>24</v>
      </c>
      <c r="J52" s="5"/>
      <c r="K52" s="5"/>
      <c r="L52" s="33">
        <f t="shared" ref="L52:L59" si="29">D52*(1-G52)</f>
        <v>2739</v>
      </c>
      <c r="M52" s="33">
        <f t="shared" ref="M52:M59" si="30">IF(J52="",L52,(D52/C52)*J52)</f>
        <v>2739</v>
      </c>
      <c r="N52" s="22">
        <f t="shared" ref="N52:N59" si="31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28"/>
        <v>24</v>
      </c>
      <c r="J53" s="5"/>
      <c r="K53" s="5"/>
      <c r="L53" s="33">
        <f t="shared" si="29"/>
        <v>2739</v>
      </c>
      <c r="M53" s="33">
        <f t="shared" si="30"/>
        <v>2739</v>
      </c>
      <c r="N53" s="22">
        <f t="shared" si="31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28"/>
        <v>24</v>
      </c>
      <c r="J54" s="5"/>
      <c r="K54" s="5"/>
      <c r="L54" s="33">
        <f t="shared" si="29"/>
        <v>2739</v>
      </c>
      <c r="M54" s="33">
        <f t="shared" si="30"/>
        <v>2739</v>
      </c>
      <c r="N54" s="22">
        <f t="shared" si="31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28"/>
        <v>80</v>
      </c>
      <c r="J55" s="5"/>
      <c r="K55" s="5"/>
      <c r="L55" s="33">
        <f t="shared" si="29"/>
        <v>9130</v>
      </c>
      <c r="M55" s="33">
        <f t="shared" si="30"/>
        <v>9130</v>
      </c>
      <c r="N55" s="22">
        <f t="shared" si="31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28"/>
        <v>24</v>
      </c>
      <c r="J56" s="5"/>
      <c r="K56" s="5"/>
      <c r="L56" s="33">
        <f t="shared" si="29"/>
        <v>2739</v>
      </c>
      <c r="M56" s="33">
        <f t="shared" si="30"/>
        <v>2739</v>
      </c>
      <c r="N56" s="22">
        <f t="shared" si="31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28"/>
        <v>240</v>
      </c>
      <c r="J57" s="5"/>
      <c r="K57" s="5"/>
      <c r="L57" s="33">
        <f t="shared" si="29"/>
        <v>27453</v>
      </c>
      <c r="M57" s="33">
        <f t="shared" si="30"/>
        <v>27453</v>
      </c>
      <c r="N57" s="22">
        <f t="shared" si="31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28"/>
        <v>40</v>
      </c>
      <c r="J58" s="5"/>
      <c r="K58" s="5"/>
      <c r="L58" s="33">
        <f t="shared" si="29"/>
        <v>4702</v>
      </c>
      <c r="M58" s="33">
        <f t="shared" si="30"/>
        <v>4702</v>
      </c>
      <c r="N58" s="22">
        <f t="shared" si="31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28"/>
        <v>40</v>
      </c>
      <c r="J59" s="5"/>
      <c r="K59" s="5"/>
      <c r="L59" s="33">
        <f t="shared" si="29"/>
        <v>4702</v>
      </c>
      <c r="M59" s="33">
        <f t="shared" si="30"/>
        <v>4702</v>
      </c>
      <c r="N59" s="22">
        <f t="shared" si="31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32">C61*(1-G61)</f>
        <v>194.04000000000002</v>
      </c>
      <c r="J61" s="5"/>
      <c r="K61" s="5"/>
      <c r="L61" s="33">
        <f t="shared" ref="L61:L70" si="33">D61*(1-G61)</f>
        <v>29362.620000000003</v>
      </c>
      <c r="M61" s="33">
        <f t="shared" ref="M61:M70" si="34">IF(J61="",L61,(D61/C61)*J61)</f>
        <v>29362.620000000003</v>
      </c>
      <c r="N61" s="22">
        <f t="shared" ref="N61:N70" si="35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32"/>
        <v>387.24</v>
      </c>
      <c r="J62" s="5"/>
      <c r="K62" s="5"/>
      <c r="L62" s="33">
        <f t="shared" si="33"/>
        <v>45410.400000000001</v>
      </c>
      <c r="M62" s="33">
        <f t="shared" si="34"/>
        <v>45410.400000000001</v>
      </c>
      <c r="N62" s="22">
        <f t="shared" si="35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32"/>
        <v>300.3</v>
      </c>
      <c r="J63" s="5"/>
      <c r="K63" s="5"/>
      <c r="L63" s="33">
        <f t="shared" si="33"/>
        <v>45451.9</v>
      </c>
      <c r="M63" s="33">
        <f t="shared" si="34"/>
        <v>45451.9</v>
      </c>
      <c r="N63" s="22">
        <f t="shared" si="35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32"/>
        <v>599.30000000000007</v>
      </c>
      <c r="J64" s="5"/>
      <c r="K64" s="5"/>
      <c r="L64" s="33">
        <f t="shared" si="33"/>
        <v>70292.95</v>
      </c>
      <c r="M64" s="33">
        <f t="shared" si="34"/>
        <v>70292.95</v>
      </c>
      <c r="N64" s="22">
        <f t="shared" si="35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32"/>
        <v>286.44</v>
      </c>
      <c r="J65" s="5"/>
      <c r="K65" s="5"/>
      <c r="L65" s="33">
        <f t="shared" si="33"/>
        <v>43373.34</v>
      </c>
      <c r="M65" s="33">
        <f t="shared" si="34"/>
        <v>43373.34</v>
      </c>
      <c r="N65" s="22">
        <f t="shared" si="35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32"/>
        <v>571.64</v>
      </c>
      <c r="J66" s="5"/>
      <c r="K66" s="5"/>
      <c r="L66" s="33">
        <f t="shared" si="33"/>
        <v>67078.42</v>
      </c>
      <c r="M66" s="33">
        <f t="shared" si="34"/>
        <v>67078.42</v>
      </c>
      <c r="N66" s="22">
        <f t="shared" si="35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32"/>
        <v>300.3</v>
      </c>
      <c r="J67" s="5"/>
      <c r="K67" s="5"/>
      <c r="L67" s="33">
        <f t="shared" si="33"/>
        <v>45511.700000000004</v>
      </c>
      <c r="M67" s="33">
        <f t="shared" si="34"/>
        <v>45511.700000000004</v>
      </c>
      <c r="N67" s="22">
        <f t="shared" si="35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32"/>
        <v>599.30000000000007</v>
      </c>
      <c r="J68" s="5"/>
      <c r="K68" s="5"/>
      <c r="L68" s="33">
        <f t="shared" si="33"/>
        <v>70385.900000000009</v>
      </c>
      <c r="M68" s="33">
        <f t="shared" si="34"/>
        <v>70385.900000000009</v>
      </c>
      <c r="N68" s="22">
        <f t="shared" si="35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32"/>
        <v>309.53999999999996</v>
      </c>
      <c r="J69" s="5"/>
      <c r="K69" s="5"/>
      <c r="L69" s="33">
        <f t="shared" si="33"/>
        <v>46932.829999999994</v>
      </c>
      <c r="M69" s="33">
        <f t="shared" si="34"/>
        <v>46932.829999999994</v>
      </c>
      <c r="N69" s="22">
        <f t="shared" si="35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32"/>
        <v>617.7399999999999</v>
      </c>
      <c r="J70" s="5"/>
      <c r="K70" s="5"/>
      <c r="L70" s="33">
        <f t="shared" si="33"/>
        <v>72583.109999999986</v>
      </c>
      <c r="M70" s="33">
        <f t="shared" si="34"/>
        <v>72583.109999999986</v>
      </c>
      <c r="N70" s="22">
        <f t="shared" si="35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36">C72*(1-G72)</f>
        <v>482.4</v>
      </c>
      <c r="J72" s="5"/>
      <c r="K72" s="5"/>
      <c r="L72" s="33">
        <f t="shared" ref="L72:L81" si="37">D72*(1-G72)</f>
        <v>56704.109999999993</v>
      </c>
      <c r="M72" s="33">
        <f t="shared" ref="M72:M81" si="38">IF(J72="",L72,(D72/C72)*J72)</f>
        <v>56704.109999999993</v>
      </c>
      <c r="N72" s="22">
        <f t="shared" ref="N72:N81" si="39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36"/>
        <v>396.00000000000006</v>
      </c>
      <c r="J73" s="5"/>
      <c r="K73" s="5"/>
      <c r="L73" s="33">
        <f t="shared" si="37"/>
        <v>46209.350000000006</v>
      </c>
      <c r="M73" s="33">
        <f t="shared" si="38"/>
        <v>46209.350000000006</v>
      </c>
      <c r="N73" s="22">
        <f t="shared" si="39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36"/>
        <v>120.6</v>
      </c>
      <c r="J74" s="5"/>
      <c r="K74" s="5"/>
      <c r="L74" s="33">
        <f t="shared" si="37"/>
        <v>18293.009999999998</v>
      </c>
      <c r="M74" s="33">
        <f t="shared" si="38"/>
        <v>18293.009999999998</v>
      </c>
      <c r="N74" s="22">
        <f t="shared" si="39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36"/>
        <v>309.53999999999996</v>
      </c>
      <c r="J75" s="5"/>
      <c r="K75" s="5"/>
      <c r="L75" s="33">
        <f t="shared" si="37"/>
        <v>46997.149999999994</v>
      </c>
      <c r="M75" s="33">
        <f t="shared" si="38"/>
        <v>46997.149999999994</v>
      </c>
      <c r="N75" s="22">
        <f t="shared" si="39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36"/>
        <v>926.6099999999999</v>
      </c>
      <c r="J76" s="5"/>
      <c r="K76" s="5"/>
      <c r="L76" s="33">
        <f t="shared" si="37"/>
        <v>109023.73999999999</v>
      </c>
      <c r="M76" s="33">
        <f t="shared" si="38"/>
        <v>109023.73999999999</v>
      </c>
      <c r="N76" s="22">
        <f t="shared" si="39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36"/>
        <v>954.27</v>
      </c>
      <c r="J77" s="5"/>
      <c r="K77" s="5"/>
      <c r="L77" s="33">
        <f t="shared" si="37"/>
        <v>112330.62</v>
      </c>
      <c r="M77" s="33">
        <f t="shared" si="38"/>
        <v>112330.62</v>
      </c>
      <c r="N77" s="22">
        <f t="shared" si="39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36"/>
        <v>318.77999999999997</v>
      </c>
      <c r="J78" s="5"/>
      <c r="K78" s="5"/>
      <c r="L78" s="33">
        <f t="shared" si="37"/>
        <v>48422.82</v>
      </c>
      <c r="M78" s="33">
        <f t="shared" si="38"/>
        <v>48422.82</v>
      </c>
      <c r="N78" s="22">
        <f t="shared" si="39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36"/>
        <v>318.77999999999997</v>
      </c>
      <c r="J79" s="5"/>
      <c r="K79" s="5"/>
      <c r="L79" s="33">
        <f t="shared" si="37"/>
        <v>48436.619999999995</v>
      </c>
      <c r="M79" s="33">
        <f t="shared" si="38"/>
        <v>48436.619999999995</v>
      </c>
      <c r="N79" s="22">
        <f t="shared" si="39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36"/>
        <v>1192.32</v>
      </c>
      <c r="J80" s="5"/>
      <c r="K80" s="5"/>
      <c r="L80" s="33">
        <f t="shared" si="37"/>
        <v>181164.33</v>
      </c>
      <c r="M80" s="33">
        <f t="shared" si="38"/>
        <v>181164.33</v>
      </c>
      <c r="N80" s="22">
        <f t="shared" si="39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36"/>
        <v>954.27</v>
      </c>
      <c r="J81" s="5"/>
      <c r="K81" s="5"/>
      <c r="L81" s="33">
        <f t="shared" si="37"/>
        <v>112363.04999999999</v>
      </c>
      <c r="M81" s="33">
        <f t="shared" si="38"/>
        <v>112363.04999999999</v>
      </c>
      <c r="N81" s="22">
        <f t="shared" si="39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 t="shared" ref="I83:I84" si="40">C83*(1-G83)</f>
        <v>57.599999999999994</v>
      </c>
      <c r="J83" s="5"/>
      <c r="K83" s="5"/>
      <c r="L83" s="33">
        <f t="shared" ref="L83:L84" si="41">D83*(1-G83)</f>
        <v>6770.4</v>
      </c>
      <c r="M83" s="33">
        <f t="shared" ref="M83:M84" si="42">IF(J83="",L83,(D83/C83)*J83)</f>
        <v>6770.4</v>
      </c>
      <c r="N83" s="22">
        <f t="shared" ref="N83:N84" si="43"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 t="shared" si="40"/>
        <v>91.8</v>
      </c>
      <c r="J84" s="5"/>
      <c r="K84" s="5"/>
      <c r="L84" s="33">
        <f t="shared" si="41"/>
        <v>11962.199999999999</v>
      </c>
      <c r="M84" s="33">
        <f t="shared" si="42"/>
        <v>11962.199999999999</v>
      </c>
      <c r="N84" s="22">
        <f t="shared" si="43"/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44">C86*(1-G86)</f>
        <v>22.4</v>
      </c>
      <c r="J86" s="5"/>
      <c r="K86" s="5"/>
      <c r="L86" s="33">
        <f t="shared" ref="L86:L100" si="45">D86*(1-G86)</f>
        <v>3397.7999999999997</v>
      </c>
      <c r="M86" s="33">
        <f t="shared" ref="M86:M100" si="46">IF(J86="",L86,(D86/C86)*J86)</f>
        <v>3397.7999999999997</v>
      </c>
      <c r="N86" s="22">
        <f t="shared" ref="N86:N100" si="4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44"/>
        <v>22.4</v>
      </c>
      <c r="J87" s="5"/>
      <c r="K87" s="5"/>
      <c r="L87" s="33">
        <f t="shared" si="45"/>
        <v>3971.1</v>
      </c>
      <c r="M87" s="33">
        <f t="shared" si="46"/>
        <v>3971.1</v>
      </c>
      <c r="N87" s="22">
        <f t="shared" si="4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44"/>
        <v>358.4</v>
      </c>
      <c r="J88" s="5"/>
      <c r="K88" s="5"/>
      <c r="L88" s="33">
        <f t="shared" si="45"/>
        <v>42128.1</v>
      </c>
      <c r="M88" s="33">
        <f t="shared" si="46"/>
        <v>42128.1</v>
      </c>
      <c r="N88" s="22">
        <f t="shared" si="4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44"/>
        <v>22.4</v>
      </c>
      <c r="J89" s="5"/>
      <c r="K89" s="5"/>
      <c r="L89" s="33">
        <f t="shared" si="45"/>
        <v>2885.3999999999996</v>
      </c>
      <c r="M89" s="33">
        <f t="shared" si="46"/>
        <v>2885.3999999999996</v>
      </c>
      <c r="N89" s="22">
        <f t="shared" si="4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44"/>
        <v>40</v>
      </c>
      <c r="J90" s="5"/>
      <c r="K90" s="5"/>
      <c r="L90" s="33">
        <f t="shared" si="45"/>
        <v>5890.5</v>
      </c>
      <c r="M90" s="33">
        <f t="shared" si="46"/>
        <v>5890.5</v>
      </c>
      <c r="N90" s="22">
        <f t="shared" si="4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44"/>
        <v>40</v>
      </c>
      <c r="J91" s="5"/>
      <c r="K91" s="5"/>
      <c r="L91" s="33">
        <f t="shared" si="45"/>
        <v>6884</v>
      </c>
      <c r="M91" s="33">
        <f t="shared" si="46"/>
        <v>6884</v>
      </c>
      <c r="N91" s="22">
        <f t="shared" si="4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44"/>
        <v>31.999999999999993</v>
      </c>
      <c r="J92" s="5"/>
      <c r="K92" s="5"/>
      <c r="L92" s="33">
        <f t="shared" si="45"/>
        <v>4853.8999999999987</v>
      </c>
      <c r="M92" s="33">
        <f t="shared" si="46"/>
        <v>4853.8999999999987</v>
      </c>
      <c r="N92" s="22">
        <f t="shared" si="4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44"/>
        <v>31.999999999999993</v>
      </c>
      <c r="J93" s="5"/>
      <c r="K93" s="5"/>
      <c r="L93" s="33">
        <f t="shared" si="45"/>
        <v>5672.5999999999985</v>
      </c>
      <c r="M93" s="33">
        <f t="shared" si="46"/>
        <v>5672.5999999999985</v>
      </c>
      <c r="N93" s="22">
        <f t="shared" si="4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44"/>
        <v>11.199999999999998</v>
      </c>
      <c r="J94" s="5"/>
      <c r="K94" s="5"/>
      <c r="L94" s="33">
        <f t="shared" si="45"/>
        <v>1698.7999999999997</v>
      </c>
      <c r="M94" s="33">
        <f t="shared" si="46"/>
        <v>1698.7999999999997</v>
      </c>
      <c r="N94" s="22">
        <f t="shared" si="4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44"/>
        <v>17.599999999999994</v>
      </c>
      <c r="J95" s="5"/>
      <c r="K95" s="5"/>
      <c r="L95" s="33">
        <f t="shared" si="45"/>
        <v>3119.9999999999991</v>
      </c>
      <c r="M95" s="33">
        <f t="shared" si="46"/>
        <v>3119.9999999999991</v>
      </c>
      <c r="N95" s="22">
        <f t="shared" si="4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44"/>
        <v>8.7999999999999972</v>
      </c>
      <c r="J96" s="5"/>
      <c r="K96" s="5"/>
      <c r="L96" s="33">
        <f t="shared" si="45"/>
        <v>1034.3999999999999</v>
      </c>
      <c r="M96" s="33">
        <f t="shared" si="46"/>
        <v>1034.3999999999999</v>
      </c>
      <c r="N96" s="22">
        <f t="shared" si="4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44"/>
        <v>80</v>
      </c>
      <c r="J97" s="5"/>
      <c r="K97" s="5"/>
      <c r="L97" s="33">
        <f t="shared" si="45"/>
        <v>12135</v>
      </c>
      <c r="M97" s="33">
        <f t="shared" si="46"/>
        <v>12135</v>
      </c>
      <c r="N97" s="22">
        <f t="shared" si="4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44"/>
        <v>240</v>
      </c>
      <c r="J98" s="5"/>
      <c r="K98" s="5"/>
      <c r="L98" s="33">
        <f t="shared" si="45"/>
        <v>42545</v>
      </c>
      <c r="M98" s="33">
        <f t="shared" si="46"/>
        <v>42545</v>
      </c>
      <c r="N98" s="22">
        <f t="shared" si="4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44"/>
        <v>40</v>
      </c>
      <c r="J99" s="5"/>
      <c r="K99" s="5"/>
      <c r="L99" s="33">
        <f t="shared" si="45"/>
        <v>6884</v>
      </c>
      <c r="M99" s="33">
        <f t="shared" si="46"/>
        <v>6884</v>
      </c>
      <c r="N99" s="22">
        <f t="shared" si="4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44"/>
        <v>33.6</v>
      </c>
      <c r="J100" s="5"/>
      <c r="K100" s="5"/>
      <c r="L100" s="33">
        <f t="shared" si="45"/>
        <v>5956.44</v>
      </c>
      <c r="M100" s="33">
        <f t="shared" si="46"/>
        <v>5956.44</v>
      </c>
      <c r="N100" s="22">
        <f t="shared" si="4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48">C102*(1-G102)</f>
        <v>4</v>
      </c>
      <c r="J102" s="5"/>
      <c r="K102" s="5"/>
      <c r="L102" s="33">
        <f t="shared" ref="L102:L111" si="49">D102*(1-G102)</f>
        <v>506</v>
      </c>
      <c r="M102" s="33">
        <f t="shared" ref="M102:M111" si="50">IF(J102="",L102,(D102/C102)*J102)</f>
        <v>506</v>
      </c>
      <c r="N102" s="22">
        <f t="shared" ref="N102:N111" si="5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48"/>
        <v>4</v>
      </c>
      <c r="J103" s="5"/>
      <c r="K103" s="5"/>
      <c r="L103" s="33">
        <f t="shared" si="49"/>
        <v>688</v>
      </c>
      <c r="M103" s="33">
        <f t="shared" si="50"/>
        <v>688</v>
      </c>
      <c r="N103" s="22">
        <f t="shared" si="5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48"/>
        <v>4</v>
      </c>
      <c r="J104" s="5"/>
      <c r="K104" s="5"/>
      <c r="L104" s="33">
        <f t="shared" si="49"/>
        <v>0</v>
      </c>
      <c r="M104" s="33">
        <f t="shared" si="50"/>
        <v>0</v>
      </c>
      <c r="N104" s="22">
        <f t="shared" si="5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48"/>
        <v>4</v>
      </c>
      <c r="J105" s="5"/>
      <c r="K105" s="5"/>
      <c r="L105" s="33">
        <f t="shared" si="49"/>
        <v>824</v>
      </c>
      <c r="M105" s="33">
        <f t="shared" si="50"/>
        <v>824</v>
      </c>
      <c r="N105" s="22">
        <f t="shared" si="5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48"/>
        <v>8</v>
      </c>
      <c r="J106" s="5"/>
      <c r="K106" s="5"/>
      <c r="L106" s="33">
        <f t="shared" si="49"/>
        <v>1012</v>
      </c>
      <c r="M106" s="33">
        <f t="shared" si="50"/>
        <v>1012</v>
      </c>
      <c r="N106" s="22">
        <f t="shared" si="5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48"/>
        <v>4</v>
      </c>
      <c r="J107" s="5"/>
      <c r="K107" s="5"/>
      <c r="L107" s="33">
        <f t="shared" si="49"/>
        <v>506</v>
      </c>
      <c r="M107" s="33">
        <f t="shared" si="50"/>
        <v>506</v>
      </c>
      <c r="N107" s="22">
        <f t="shared" si="5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48"/>
        <v>8</v>
      </c>
      <c r="J108" s="5"/>
      <c r="K108" s="5"/>
      <c r="L108" s="33">
        <f t="shared" si="49"/>
        <v>1012</v>
      </c>
      <c r="M108" s="33">
        <f t="shared" si="50"/>
        <v>1012</v>
      </c>
      <c r="N108" s="22">
        <f t="shared" si="5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48"/>
        <v>4</v>
      </c>
      <c r="J109" s="5"/>
      <c r="K109" s="5"/>
      <c r="L109" s="33">
        <f t="shared" si="49"/>
        <v>688</v>
      </c>
      <c r="M109" s="33">
        <f t="shared" si="50"/>
        <v>688</v>
      </c>
      <c r="N109" s="22">
        <f t="shared" si="5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48"/>
        <v>4</v>
      </c>
      <c r="J110" s="5"/>
      <c r="K110" s="5"/>
      <c r="L110" s="33">
        <f t="shared" si="49"/>
        <v>0</v>
      </c>
      <c r="M110" s="33">
        <f t="shared" si="50"/>
        <v>0</v>
      </c>
      <c r="N110" s="22">
        <f t="shared" si="5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48"/>
        <v>4</v>
      </c>
      <c r="J111" s="5"/>
      <c r="K111" s="5"/>
      <c r="L111" s="33">
        <f t="shared" si="49"/>
        <v>824</v>
      </c>
      <c r="M111" s="33">
        <f t="shared" si="50"/>
        <v>824</v>
      </c>
      <c r="N111" s="22">
        <f t="shared" si="5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 t="shared" ref="I113:I114" si="52">C113*(1-G113)</f>
        <v>156</v>
      </c>
      <c r="J113" s="5"/>
      <c r="K113" s="5"/>
      <c r="L113" s="33">
        <f t="shared" ref="L113:L114" si="53">D113*(1-G113)</f>
        <v>20328</v>
      </c>
      <c r="M113" s="33">
        <f t="shared" ref="M113:M114" si="54">IF(J113="",L113,(D113/C113)*J113)</f>
        <v>20328</v>
      </c>
      <c r="N113" s="22">
        <f t="shared" ref="N113:N114" si="55"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 t="shared" si="52"/>
        <v>108</v>
      </c>
      <c r="J114" s="5"/>
      <c r="K114" s="5"/>
      <c r="L114" s="33">
        <f t="shared" si="53"/>
        <v>14073</v>
      </c>
      <c r="M114" s="33">
        <f t="shared" si="54"/>
        <v>14073</v>
      </c>
      <c r="N114" s="22">
        <f t="shared" si="55"/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56">C116*(1-G116)</f>
        <v>8</v>
      </c>
      <c r="J116" s="5"/>
      <c r="K116" s="5"/>
      <c r="L116" s="33">
        <f t="shared" ref="L116:L125" si="57">D116*(1-G116)</f>
        <v>1012</v>
      </c>
      <c r="M116" s="33">
        <f t="shared" ref="M116:M125" si="58">IF(J116="",L116,(D116/C116)*J116)</f>
        <v>1012</v>
      </c>
      <c r="N116" s="22">
        <f t="shared" ref="N116:N125" si="59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56"/>
        <v>4</v>
      </c>
      <c r="J117" s="5"/>
      <c r="K117" s="5"/>
      <c r="L117" s="33">
        <f t="shared" si="57"/>
        <v>506</v>
      </c>
      <c r="M117" s="33">
        <f t="shared" si="58"/>
        <v>506</v>
      </c>
      <c r="N117" s="22">
        <f t="shared" si="59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56"/>
        <v>4</v>
      </c>
      <c r="J118" s="5"/>
      <c r="K118" s="5"/>
      <c r="L118" s="33">
        <f t="shared" si="57"/>
        <v>688</v>
      </c>
      <c r="M118" s="33">
        <f t="shared" si="58"/>
        <v>688</v>
      </c>
      <c r="N118" s="22">
        <f t="shared" si="59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56"/>
        <v>4</v>
      </c>
      <c r="J119" s="5"/>
      <c r="K119" s="5"/>
      <c r="L119" s="33">
        <f t="shared" si="57"/>
        <v>0</v>
      </c>
      <c r="M119" s="33">
        <f t="shared" si="58"/>
        <v>0</v>
      </c>
      <c r="N119" s="22">
        <f t="shared" si="59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56"/>
        <v>4</v>
      </c>
      <c r="J120" s="5"/>
      <c r="K120" s="5"/>
      <c r="L120" s="33">
        <f t="shared" si="57"/>
        <v>824</v>
      </c>
      <c r="M120" s="33">
        <f t="shared" si="58"/>
        <v>824</v>
      </c>
      <c r="N120" s="22">
        <f t="shared" si="59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56"/>
        <v>4</v>
      </c>
      <c r="J121" s="5"/>
      <c r="K121" s="5"/>
      <c r="L121" s="33">
        <f t="shared" si="57"/>
        <v>824</v>
      </c>
      <c r="M121" s="33">
        <f t="shared" si="58"/>
        <v>824</v>
      </c>
      <c r="N121" s="22">
        <f t="shared" si="59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56"/>
        <v>4</v>
      </c>
      <c r="J122" s="5"/>
      <c r="K122" s="5"/>
      <c r="L122" s="33">
        <f t="shared" si="57"/>
        <v>688</v>
      </c>
      <c r="M122" s="33">
        <f t="shared" si="58"/>
        <v>688</v>
      </c>
      <c r="N122" s="22">
        <f t="shared" si="59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56"/>
        <v>4</v>
      </c>
      <c r="J123" s="5"/>
      <c r="K123" s="5"/>
      <c r="L123" s="33">
        <f t="shared" si="57"/>
        <v>0</v>
      </c>
      <c r="M123" s="33">
        <f t="shared" si="58"/>
        <v>0</v>
      </c>
      <c r="N123" s="22">
        <f t="shared" si="59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56"/>
        <v>4</v>
      </c>
      <c r="J124" s="5"/>
      <c r="K124" s="5"/>
      <c r="L124" s="33">
        <f t="shared" si="57"/>
        <v>506</v>
      </c>
      <c r="M124" s="33">
        <f t="shared" si="58"/>
        <v>506</v>
      </c>
      <c r="N124" s="22">
        <f t="shared" si="59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56"/>
        <v>8</v>
      </c>
      <c r="J125" s="5"/>
      <c r="K125" s="5"/>
      <c r="L125" s="33">
        <f t="shared" si="57"/>
        <v>1012</v>
      </c>
      <c r="M125" s="33">
        <f t="shared" si="58"/>
        <v>1012</v>
      </c>
      <c r="N125" s="22">
        <f t="shared" si="59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60">C127*(1-G127)</f>
        <v>80</v>
      </c>
      <c r="J127" s="5"/>
      <c r="K127" s="5"/>
      <c r="L127" s="33">
        <f t="shared" ref="L127:L132" si="61">D127*(1-G127)</f>
        <v>10424</v>
      </c>
      <c r="M127" s="33">
        <f t="shared" ref="M127:M132" si="62">IF(J127="",L127,(D127/C127)*J127)</f>
        <v>10424</v>
      </c>
      <c r="N127" s="22">
        <f t="shared" ref="N127:N132" si="63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60"/>
        <v>40</v>
      </c>
      <c r="J128" s="5"/>
      <c r="K128" s="5"/>
      <c r="L128" s="33">
        <f t="shared" si="61"/>
        <v>7091</v>
      </c>
      <c r="M128" s="33">
        <f t="shared" si="62"/>
        <v>7091</v>
      </c>
      <c r="N128" s="22">
        <f t="shared" si="63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60"/>
        <v>320</v>
      </c>
      <c r="J129" s="5"/>
      <c r="K129" s="5"/>
      <c r="L129" s="33">
        <f t="shared" si="61"/>
        <v>37615</v>
      </c>
      <c r="M129" s="33">
        <f t="shared" si="62"/>
        <v>37615</v>
      </c>
      <c r="N129" s="22">
        <f t="shared" si="63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60"/>
        <v>128.80000000000001</v>
      </c>
      <c r="J130" s="5"/>
      <c r="K130" s="5"/>
      <c r="L130" s="33">
        <f t="shared" si="61"/>
        <v>16294.400000000001</v>
      </c>
      <c r="M130" s="33">
        <f t="shared" si="62"/>
        <v>16294.400000000001</v>
      </c>
      <c r="N130" s="22">
        <f t="shared" si="63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60"/>
        <v>160</v>
      </c>
      <c r="J131" s="5"/>
      <c r="K131" s="5"/>
      <c r="L131" s="33">
        <f t="shared" si="61"/>
        <v>20849</v>
      </c>
      <c r="M131" s="33">
        <f t="shared" si="62"/>
        <v>20849</v>
      </c>
      <c r="N131" s="22">
        <f t="shared" si="63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60"/>
        <v>192</v>
      </c>
      <c r="J132" s="5"/>
      <c r="K132" s="5"/>
      <c r="L132" s="33">
        <f t="shared" si="61"/>
        <v>25019</v>
      </c>
      <c r="M132" s="33">
        <f t="shared" si="62"/>
        <v>25019</v>
      </c>
      <c r="N132" s="22">
        <f t="shared" si="63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 t="shared" ref="I134" si="64">C134*(1-G134)</f>
        <v>16</v>
      </c>
      <c r="J134" s="5"/>
      <c r="K134" s="5"/>
      <c r="L134" s="33">
        <f t="shared" ref="L134" si="65">D134*(1-G134)</f>
        <v>2762</v>
      </c>
      <c r="M134" s="33">
        <f t="shared" ref="M134" si="66">IF(J134="",L134,(D134/C134)*J134)</f>
        <v>2762</v>
      </c>
      <c r="N134" s="22">
        <f t="shared" ref="N134" si="67"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 t="shared" ref="I137:I140" si="68">C137*(1-G137)</f>
        <v>225.28</v>
      </c>
      <c r="J137" s="5"/>
      <c r="K137" s="5"/>
      <c r="L137" s="33">
        <f t="shared" ref="L137:L140" si="69">D137*(1-G137)</f>
        <v>39935.232000000004</v>
      </c>
      <c r="M137" s="33">
        <f t="shared" ref="M137:M140" si="70">IF(J137="",L137,(D137/C137)*J137)</f>
        <v>39935.232000000004</v>
      </c>
      <c r="N137" s="22">
        <f t="shared" ref="N137:N140" si="71"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 t="shared" si="68"/>
        <v>880</v>
      </c>
      <c r="J138" s="5"/>
      <c r="K138" s="5"/>
      <c r="L138" s="33">
        <f t="shared" si="69"/>
        <v>160676</v>
      </c>
      <c r="M138" s="33">
        <f t="shared" si="70"/>
        <v>160676</v>
      </c>
      <c r="N138" s="22">
        <f t="shared" si="71"/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 t="shared" si="68"/>
        <v>90.111999999999995</v>
      </c>
      <c r="J139" s="5"/>
      <c r="K139" s="5"/>
      <c r="L139" s="33">
        <f t="shared" si="69"/>
        <v>15784.448</v>
      </c>
      <c r="M139" s="33">
        <f t="shared" si="70"/>
        <v>15784.448</v>
      </c>
      <c r="N139" s="22">
        <f t="shared" si="71"/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 t="shared" si="68"/>
        <v>352</v>
      </c>
      <c r="J140" s="5"/>
      <c r="K140" s="5"/>
      <c r="L140" s="33">
        <f t="shared" si="69"/>
        <v>63508</v>
      </c>
      <c r="M140" s="33">
        <f t="shared" si="70"/>
        <v>63508</v>
      </c>
      <c r="N140" s="22">
        <f t="shared" si="71"/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72">C142*(1-G142)</f>
        <v>227.84</v>
      </c>
      <c r="J142" s="5"/>
      <c r="K142" s="5"/>
      <c r="L142" s="33">
        <f t="shared" ref="L142:L148" si="73">D142*(1-G142)</f>
        <v>37011.712</v>
      </c>
      <c r="M142" s="33">
        <f t="shared" ref="M142:M148" si="74">IF(J142="",L142,(D142/C142)*J142)</f>
        <v>37011.712</v>
      </c>
      <c r="N142" s="22">
        <f t="shared" ref="N142:N148" si="75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72"/>
        <v>220.16</v>
      </c>
      <c r="J143" s="5"/>
      <c r="K143" s="5"/>
      <c r="L143" s="33">
        <f t="shared" si="73"/>
        <v>28687.871999999999</v>
      </c>
      <c r="M143" s="33">
        <f t="shared" si="74"/>
        <v>28687.871999999999</v>
      </c>
      <c r="N143" s="22">
        <f t="shared" si="75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72"/>
        <v>800</v>
      </c>
      <c r="J144" s="5"/>
      <c r="K144" s="5"/>
      <c r="L144" s="33">
        <f t="shared" si="73"/>
        <v>107371</v>
      </c>
      <c r="M144" s="33">
        <f t="shared" si="74"/>
        <v>107371</v>
      </c>
      <c r="N144" s="22">
        <f t="shared" si="75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72"/>
        <v>90.111999999999995</v>
      </c>
      <c r="J145" s="5"/>
      <c r="K145" s="5"/>
      <c r="L145" s="33">
        <f t="shared" si="73"/>
        <v>9301.76</v>
      </c>
      <c r="M145" s="33">
        <f t="shared" si="74"/>
        <v>9301.76</v>
      </c>
      <c r="N145" s="22">
        <f t="shared" si="75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72"/>
        <v>112.64</v>
      </c>
      <c r="J146" s="5"/>
      <c r="K146" s="5"/>
      <c r="L146" s="33">
        <f t="shared" si="73"/>
        <v>17085.696</v>
      </c>
      <c r="M146" s="33">
        <f t="shared" si="74"/>
        <v>17085.696</v>
      </c>
      <c r="N146" s="22">
        <f t="shared" si="75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72"/>
        <v>90.111999999999995</v>
      </c>
      <c r="J147" s="5"/>
      <c r="K147" s="5"/>
      <c r="L147" s="33">
        <f t="shared" si="73"/>
        <v>11741.952000000001</v>
      </c>
      <c r="M147" s="33">
        <f t="shared" si="74"/>
        <v>11741.952000000001</v>
      </c>
      <c r="N147" s="22">
        <f t="shared" si="75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72"/>
        <v>40</v>
      </c>
      <c r="J148" s="5"/>
      <c r="K148" s="5"/>
      <c r="L148" s="33">
        <f t="shared" si="73"/>
        <v>5530</v>
      </c>
      <c r="M148" s="33">
        <f t="shared" si="74"/>
        <v>5530</v>
      </c>
      <c r="N148" s="22">
        <f t="shared" si="75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 t="shared" ref="I150:I154" si="76">C150*(1-G150)</f>
        <v>225.28</v>
      </c>
      <c r="J150" s="5"/>
      <c r="K150" s="5"/>
      <c r="L150" s="33">
        <f t="shared" ref="L150:L154" si="77">D150*(1-G150)</f>
        <v>39461.120000000003</v>
      </c>
      <c r="M150" s="33">
        <f t="shared" ref="M150:M154" si="78">IF(J150="",L150,(D150/C150)*J150)</f>
        <v>39461.120000000003</v>
      </c>
      <c r="N150" s="22">
        <f t="shared" ref="N150:N154" si="79"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 t="shared" si="76"/>
        <v>112.64</v>
      </c>
      <c r="J151" s="5"/>
      <c r="K151" s="5"/>
      <c r="L151" s="33">
        <f t="shared" si="77"/>
        <v>14677.504000000001</v>
      </c>
      <c r="M151" s="33">
        <f t="shared" si="78"/>
        <v>14677.504000000001</v>
      </c>
      <c r="N151" s="22">
        <f t="shared" si="79"/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 t="shared" si="76"/>
        <v>112.64</v>
      </c>
      <c r="J152" s="5"/>
      <c r="K152" s="5"/>
      <c r="L152" s="33">
        <f t="shared" si="77"/>
        <v>19967.488000000001</v>
      </c>
      <c r="M152" s="33">
        <f t="shared" si="78"/>
        <v>19967.488000000001</v>
      </c>
      <c r="N152" s="22">
        <f t="shared" si="79"/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 t="shared" si="76"/>
        <v>880</v>
      </c>
      <c r="J153" s="5"/>
      <c r="K153" s="5"/>
      <c r="L153" s="33">
        <f t="shared" si="77"/>
        <v>158770</v>
      </c>
      <c r="M153" s="33">
        <f t="shared" si="78"/>
        <v>158770</v>
      </c>
      <c r="N153" s="22">
        <f t="shared" si="79"/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 t="shared" si="76"/>
        <v>282</v>
      </c>
      <c r="J154" s="5"/>
      <c r="K154" s="5"/>
      <c r="L154" s="33">
        <f t="shared" si="77"/>
        <v>52405</v>
      </c>
      <c r="M154" s="33">
        <f t="shared" si="78"/>
        <v>52405</v>
      </c>
      <c r="N154" s="22">
        <f t="shared" si="79"/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80">C156*(1-G156)</f>
        <v>8</v>
      </c>
      <c r="J156" s="5"/>
      <c r="K156" s="5"/>
      <c r="L156" s="33">
        <f t="shared" ref="L156:L163" si="81">D156*(1-G156)</f>
        <v>1460.5</v>
      </c>
      <c r="M156" s="33">
        <f t="shared" ref="M156:M163" si="82">IF(J156="",L156,(D156/C156)*J156)</f>
        <v>1460.5</v>
      </c>
      <c r="N156" s="22">
        <f t="shared" ref="N156:N163" si="83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80"/>
        <v>4</v>
      </c>
      <c r="J157" s="5"/>
      <c r="K157" s="5"/>
      <c r="L157" s="33">
        <f t="shared" si="81"/>
        <v>625</v>
      </c>
      <c r="M157" s="33">
        <f t="shared" si="82"/>
        <v>625</v>
      </c>
      <c r="N157" s="22">
        <f t="shared" si="83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80"/>
        <v>8</v>
      </c>
      <c r="J158" s="5"/>
      <c r="K158" s="5"/>
      <c r="L158" s="33">
        <f t="shared" si="81"/>
        <v>1638</v>
      </c>
      <c r="M158" s="33">
        <f t="shared" si="82"/>
        <v>1638</v>
      </c>
      <c r="N158" s="22">
        <f t="shared" si="83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80"/>
        <v>16</v>
      </c>
      <c r="J159" s="5"/>
      <c r="K159" s="5"/>
      <c r="L159" s="33">
        <f t="shared" si="81"/>
        <v>2921</v>
      </c>
      <c r="M159" s="33">
        <f t="shared" si="82"/>
        <v>2921</v>
      </c>
      <c r="N159" s="22">
        <f t="shared" si="83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80"/>
        <v>8</v>
      </c>
      <c r="J160" s="5"/>
      <c r="K160" s="5"/>
      <c r="L160" s="33">
        <f t="shared" si="81"/>
        <v>1250</v>
      </c>
      <c r="M160" s="33">
        <f t="shared" si="82"/>
        <v>1250</v>
      </c>
      <c r="N160" s="22">
        <f t="shared" si="83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80"/>
        <v>16</v>
      </c>
      <c r="J161" s="5"/>
      <c r="K161" s="5"/>
      <c r="L161" s="33">
        <f t="shared" si="81"/>
        <v>3276</v>
      </c>
      <c r="M161" s="33">
        <f t="shared" si="82"/>
        <v>3276</v>
      </c>
      <c r="N161" s="22">
        <f t="shared" si="83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80"/>
        <v>16</v>
      </c>
      <c r="J162" s="5"/>
      <c r="K162" s="5"/>
      <c r="L162" s="33">
        <f t="shared" si="81"/>
        <v>2921</v>
      </c>
      <c r="M162" s="33">
        <f t="shared" si="82"/>
        <v>2921</v>
      </c>
      <c r="N162" s="22">
        <f t="shared" si="83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80"/>
        <v>16</v>
      </c>
      <c r="J163" s="5"/>
      <c r="K163" s="5"/>
      <c r="L163" s="33">
        <f t="shared" si="81"/>
        <v>3276</v>
      </c>
      <c r="M163" s="33">
        <f t="shared" si="82"/>
        <v>3276</v>
      </c>
      <c r="N163" s="22">
        <f t="shared" si="83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84">C165*(1-G165)</f>
        <v>60</v>
      </c>
      <c r="J165" s="5"/>
      <c r="K165" s="5"/>
      <c r="L165" s="33">
        <f t="shared" ref="L165:L178" si="85">D165*(1-G165)</f>
        <v>8053</v>
      </c>
      <c r="M165" s="33">
        <f t="shared" ref="M165:M178" si="86">IF(J165="",L165,(D165/C165)*J165)</f>
        <v>8053</v>
      </c>
      <c r="N165" s="22">
        <f t="shared" ref="N165:N178" si="87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84"/>
        <v>60</v>
      </c>
      <c r="J166" s="5"/>
      <c r="K166" s="5"/>
      <c r="L166" s="33">
        <f t="shared" si="85"/>
        <v>7264</v>
      </c>
      <c r="M166" s="33">
        <f t="shared" si="86"/>
        <v>7264</v>
      </c>
      <c r="N166" s="22">
        <f t="shared" si="87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84"/>
        <v>60</v>
      </c>
      <c r="J167" s="5"/>
      <c r="K167" s="5"/>
      <c r="L167" s="33">
        <f t="shared" si="85"/>
        <v>12285</v>
      </c>
      <c r="M167" s="33">
        <f t="shared" si="86"/>
        <v>12285</v>
      </c>
      <c r="N167" s="22">
        <f t="shared" si="87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84"/>
        <v>8</v>
      </c>
      <c r="J168" s="5"/>
      <c r="K168" s="5"/>
      <c r="L168" s="33">
        <f t="shared" si="85"/>
        <v>1074</v>
      </c>
      <c r="M168" s="33">
        <f t="shared" si="86"/>
        <v>1074</v>
      </c>
      <c r="N168" s="22">
        <f t="shared" si="87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84"/>
        <v>8</v>
      </c>
      <c r="J169" s="5"/>
      <c r="K169" s="5"/>
      <c r="L169" s="33">
        <f t="shared" si="85"/>
        <v>969</v>
      </c>
      <c r="M169" s="33">
        <f t="shared" si="86"/>
        <v>969</v>
      </c>
      <c r="N169" s="22">
        <f t="shared" si="87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84"/>
        <v>8</v>
      </c>
      <c r="J170" s="5"/>
      <c r="K170" s="5"/>
      <c r="L170" s="33">
        <f t="shared" si="85"/>
        <v>1638</v>
      </c>
      <c r="M170" s="33">
        <f t="shared" si="86"/>
        <v>1638</v>
      </c>
      <c r="N170" s="22">
        <f t="shared" si="87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84"/>
        <v>20</v>
      </c>
      <c r="J171" s="5"/>
      <c r="K171" s="5"/>
      <c r="L171" s="33">
        <f t="shared" si="85"/>
        <v>2684</v>
      </c>
      <c r="M171" s="33">
        <f t="shared" si="86"/>
        <v>2684</v>
      </c>
      <c r="N171" s="22">
        <f t="shared" si="87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84"/>
        <v>80</v>
      </c>
      <c r="J172" s="5"/>
      <c r="K172" s="5"/>
      <c r="L172" s="33">
        <f t="shared" si="85"/>
        <v>14607</v>
      </c>
      <c r="M172" s="33">
        <f t="shared" si="86"/>
        <v>14607</v>
      </c>
      <c r="N172" s="22">
        <f t="shared" si="87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84"/>
        <v>80</v>
      </c>
      <c r="J173" s="5"/>
      <c r="K173" s="5"/>
      <c r="L173" s="33">
        <f t="shared" si="85"/>
        <v>9686</v>
      </c>
      <c r="M173" s="33">
        <f t="shared" si="86"/>
        <v>9686</v>
      </c>
      <c r="N173" s="22">
        <f t="shared" si="87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84"/>
        <v>80</v>
      </c>
      <c r="J174" s="5"/>
      <c r="K174" s="5"/>
      <c r="L174" s="33">
        <f t="shared" si="85"/>
        <v>16380</v>
      </c>
      <c r="M174" s="33">
        <f t="shared" si="86"/>
        <v>16380</v>
      </c>
      <c r="N174" s="22">
        <f t="shared" si="87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84"/>
        <v>20</v>
      </c>
      <c r="J175" s="5"/>
      <c r="K175" s="5"/>
      <c r="L175" s="33">
        <f t="shared" si="85"/>
        <v>2684</v>
      </c>
      <c r="M175" s="33">
        <f t="shared" si="86"/>
        <v>2684</v>
      </c>
      <c r="N175" s="22">
        <f t="shared" si="87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84"/>
        <v>80</v>
      </c>
      <c r="J176" s="5"/>
      <c r="K176" s="5"/>
      <c r="L176" s="33">
        <f t="shared" si="85"/>
        <v>14607</v>
      </c>
      <c r="M176" s="33">
        <f t="shared" si="86"/>
        <v>14607</v>
      </c>
      <c r="N176" s="22">
        <f t="shared" si="87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84"/>
        <v>80</v>
      </c>
      <c r="J177" s="5"/>
      <c r="K177" s="5"/>
      <c r="L177" s="33">
        <f t="shared" si="85"/>
        <v>9686</v>
      </c>
      <c r="M177" s="33">
        <f t="shared" si="86"/>
        <v>9686</v>
      </c>
      <c r="N177" s="22">
        <f t="shared" si="87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84"/>
        <v>80</v>
      </c>
      <c r="J178" s="5"/>
      <c r="K178" s="5"/>
      <c r="L178" s="33">
        <f t="shared" si="85"/>
        <v>16380</v>
      </c>
      <c r="M178" s="33">
        <f t="shared" si="86"/>
        <v>16380</v>
      </c>
      <c r="N178" s="22">
        <f t="shared" si="87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 t="shared" ref="I180:I183" si="88">C180*(1-G180)</f>
        <v>400</v>
      </c>
      <c r="J180" s="5"/>
      <c r="K180" s="5"/>
      <c r="L180" s="33">
        <f t="shared" ref="L180:L183" si="89">D180*(1-G180)</f>
        <v>48260</v>
      </c>
      <c r="M180" s="33">
        <f t="shared" ref="M180:M183" si="90">IF(J180="",L180,(D180/C180)*J180)</f>
        <v>48260</v>
      </c>
      <c r="N180" s="22">
        <f t="shared" ref="N180:N183" si="91"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 t="shared" si="88"/>
        <v>40</v>
      </c>
      <c r="J181" s="5"/>
      <c r="K181" s="5"/>
      <c r="L181" s="33">
        <f t="shared" si="89"/>
        <v>6227</v>
      </c>
      <c r="M181" s="33">
        <f t="shared" si="90"/>
        <v>6227</v>
      </c>
      <c r="N181" s="22">
        <f t="shared" si="91"/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 t="shared" si="88"/>
        <v>160</v>
      </c>
      <c r="J182" s="5"/>
      <c r="K182" s="5"/>
      <c r="L182" s="33">
        <f t="shared" si="89"/>
        <v>19372</v>
      </c>
      <c r="M182" s="33">
        <f t="shared" si="90"/>
        <v>19372</v>
      </c>
      <c r="N182" s="22">
        <f t="shared" si="91"/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 t="shared" si="88"/>
        <v>16</v>
      </c>
      <c r="J183" s="5"/>
      <c r="K183" s="5"/>
      <c r="L183" s="33">
        <f t="shared" si="89"/>
        <v>2500</v>
      </c>
      <c r="M183" s="33">
        <f t="shared" si="90"/>
        <v>2500</v>
      </c>
      <c r="N183" s="22">
        <f t="shared" si="91"/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 t="shared" ref="I185:I187" si="92">C185*(1-G185)</f>
        <v>31313</v>
      </c>
      <c r="J185" s="5"/>
      <c r="K185" s="5"/>
      <c r="L185" s="33">
        <f t="shared" ref="L185:L187" si="93">D185*(1-G185)</f>
        <v>34933</v>
      </c>
      <c r="M185" s="33">
        <f t="shared" ref="M185:M187" si="94">IF(J185="",L185,(D185/C185)*J185)</f>
        <v>34933</v>
      </c>
      <c r="N185" s="22">
        <f t="shared" ref="N185:N187" si="95"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 t="shared" si="92"/>
        <v>125253</v>
      </c>
      <c r="J186" s="5"/>
      <c r="K186" s="5"/>
      <c r="L186" s="33">
        <f t="shared" si="93"/>
        <v>139734</v>
      </c>
      <c r="M186" s="33">
        <f t="shared" si="94"/>
        <v>139734</v>
      </c>
      <c r="N186" s="22">
        <f t="shared" si="95"/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 t="shared" si="92"/>
        <v>31313</v>
      </c>
      <c r="J187" s="5"/>
      <c r="K187" s="5"/>
      <c r="L187" s="33">
        <f t="shared" si="93"/>
        <v>34933</v>
      </c>
      <c r="M187" s="33">
        <f t="shared" si="94"/>
        <v>34933</v>
      </c>
      <c r="N187" s="22">
        <f t="shared" si="95"/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 t="shared" ref="I189:I191" si="96">C189*(1-G189)</f>
        <v>23485</v>
      </c>
      <c r="J189" s="5"/>
      <c r="K189" s="5"/>
      <c r="L189" s="33">
        <f t="shared" ref="L189:L191" si="97">D189*(1-G189)</f>
        <v>26200</v>
      </c>
      <c r="M189" s="33">
        <f t="shared" ref="M189:M191" si="98">IF(J189="",L189,(D189/C189)*J189)</f>
        <v>26200</v>
      </c>
      <c r="N189" s="22">
        <f t="shared" ref="N189:N191" si="99"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 t="shared" si="96"/>
        <v>93940</v>
      </c>
      <c r="J190" s="5"/>
      <c r="K190" s="5"/>
      <c r="L190" s="33">
        <f t="shared" si="97"/>
        <v>104800</v>
      </c>
      <c r="M190" s="33">
        <f t="shared" si="98"/>
        <v>104800</v>
      </c>
      <c r="N190" s="22">
        <f t="shared" si="99"/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 t="shared" si="96"/>
        <v>23485</v>
      </c>
      <c r="J191" s="5"/>
      <c r="K191" s="5"/>
      <c r="L191" s="33">
        <f t="shared" si="97"/>
        <v>26200</v>
      </c>
      <c r="M191" s="33">
        <f t="shared" si="98"/>
        <v>26200</v>
      </c>
      <c r="N191" s="22">
        <f t="shared" si="99"/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 t="shared" ref="I193:I197" si="100">C193*(1-G193)</f>
        <v>23485</v>
      </c>
      <c r="J193" s="5"/>
      <c r="K193" s="5"/>
      <c r="L193" s="33">
        <f t="shared" ref="L193:L197" si="101">D193*(1-G193)</f>
        <v>26200</v>
      </c>
      <c r="M193" s="33">
        <f t="shared" ref="M193:M197" si="102">IF(J193="",L193,(D193/C193)*J193)</f>
        <v>26200</v>
      </c>
      <c r="N193" s="22">
        <f t="shared" ref="N193:N197" si="103"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 t="shared" si="100"/>
        <v>93940</v>
      </c>
      <c r="J194" s="5"/>
      <c r="K194" s="5"/>
      <c r="L194" s="33">
        <f t="shared" si="101"/>
        <v>104800</v>
      </c>
      <c r="M194" s="33">
        <f t="shared" si="102"/>
        <v>104800</v>
      </c>
      <c r="N194" s="22">
        <f t="shared" si="103"/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 t="shared" si="100"/>
        <v>23485</v>
      </c>
      <c r="J195" s="5"/>
      <c r="K195" s="5"/>
      <c r="L195" s="33">
        <f t="shared" si="101"/>
        <v>26200</v>
      </c>
      <c r="M195" s="33">
        <f t="shared" si="102"/>
        <v>26200</v>
      </c>
      <c r="N195" s="22">
        <f t="shared" si="103"/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 t="shared" si="100"/>
        <v>203536</v>
      </c>
      <c r="J196" s="5"/>
      <c r="K196" s="5"/>
      <c r="L196" s="33">
        <f t="shared" si="101"/>
        <v>240966</v>
      </c>
      <c r="M196" s="33">
        <f t="shared" si="102"/>
        <v>240966</v>
      </c>
      <c r="N196" s="22">
        <f t="shared" si="103"/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 t="shared" si="100"/>
        <v>78283</v>
      </c>
      <c r="J197" s="5"/>
      <c r="K197" s="5"/>
      <c r="L197" s="33">
        <f t="shared" si="101"/>
        <v>87334</v>
      </c>
      <c r="M197" s="33">
        <f t="shared" si="102"/>
        <v>87334</v>
      </c>
      <c r="N197" s="22">
        <f t="shared" si="103"/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 t="shared" ref="I199:I201" si="104">C199*(1-G199)</f>
        <v>57.599999999999994</v>
      </c>
      <c r="J199" s="5"/>
      <c r="K199" s="5"/>
      <c r="L199" s="33">
        <f t="shared" ref="L199:L201" si="105">D199*(1-G199)</f>
        <v>7366.08</v>
      </c>
      <c r="M199" s="33">
        <f t="shared" ref="M199:M201" si="106">IF(J199="",L199,(D199/C199)*J199)</f>
        <v>7366.08</v>
      </c>
      <c r="N199" s="22">
        <f t="shared" ref="N199:N201" si="107"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 t="shared" si="104"/>
        <v>12.959999999999999</v>
      </c>
      <c r="J200" s="5"/>
      <c r="K200" s="5"/>
      <c r="L200" s="33">
        <f t="shared" si="105"/>
        <v>1495.2</v>
      </c>
      <c r="M200" s="33">
        <f t="shared" si="106"/>
        <v>1495.2</v>
      </c>
      <c r="N200" s="22">
        <f t="shared" si="107"/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 t="shared" si="104"/>
        <v>49.68</v>
      </c>
      <c r="J201" s="5"/>
      <c r="K201" s="5"/>
      <c r="L201" s="33">
        <f t="shared" si="105"/>
        <v>9692.16</v>
      </c>
      <c r="M201" s="33">
        <f t="shared" si="106"/>
        <v>9692.16</v>
      </c>
      <c r="N201" s="22">
        <f t="shared" si="107"/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108">C203*(1-G203)</f>
        <v>20</v>
      </c>
      <c r="J203" s="5"/>
      <c r="K203" s="5"/>
      <c r="L203" s="33">
        <f t="shared" ref="L203:L220" si="109">D203*(1-G203)</f>
        <v>2606</v>
      </c>
      <c r="M203" s="33">
        <f t="shared" ref="M203:M220" si="110">IF(J203="",L203,(D203/C203)*J203)</f>
        <v>2606</v>
      </c>
      <c r="N203" s="22">
        <f t="shared" ref="N203:N220" si="111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108"/>
        <v>20</v>
      </c>
      <c r="J204" s="5"/>
      <c r="K204" s="5"/>
      <c r="L204" s="33">
        <f t="shared" si="109"/>
        <v>2351</v>
      </c>
      <c r="M204" s="33">
        <f t="shared" si="110"/>
        <v>2351</v>
      </c>
      <c r="N204" s="22">
        <f t="shared" si="111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108"/>
        <v>40</v>
      </c>
      <c r="J205" s="5"/>
      <c r="K205" s="5"/>
      <c r="L205" s="33">
        <f t="shared" si="109"/>
        <v>5153</v>
      </c>
      <c r="M205" s="33">
        <f t="shared" si="110"/>
        <v>5153</v>
      </c>
      <c r="N205" s="22">
        <f t="shared" si="111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108"/>
        <v>8</v>
      </c>
      <c r="J206" s="5"/>
      <c r="K206" s="5"/>
      <c r="L206" s="33">
        <f t="shared" si="109"/>
        <v>1590</v>
      </c>
      <c r="M206" s="33">
        <f t="shared" si="110"/>
        <v>1590</v>
      </c>
      <c r="N206" s="22">
        <f t="shared" si="111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108"/>
        <v>24</v>
      </c>
      <c r="J207" s="5"/>
      <c r="K207" s="5"/>
      <c r="L207" s="33">
        <f t="shared" si="109"/>
        <v>3127</v>
      </c>
      <c r="M207" s="33">
        <f t="shared" si="110"/>
        <v>3127</v>
      </c>
      <c r="N207" s="22">
        <f t="shared" si="111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108"/>
        <v>360</v>
      </c>
      <c r="J208" s="5"/>
      <c r="K208" s="5"/>
      <c r="L208" s="33">
        <f t="shared" si="109"/>
        <v>42316</v>
      </c>
      <c r="M208" s="33">
        <f t="shared" si="110"/>
        <v>42316</v>
      </c>
      <c r="N208" s="22">
        <f t="shared" si="111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108"/>
        <v>180</v>
      </c>
      <c r="J209" s="5"/>
      <c r="K209" s="5"/>
      <c r="L209" s="33">
        <f t="shared" si="109"/>
        <v>23188</v>
      </c>
      <c r="M209" s="33">
        <f t="shared" si="110"/>
        <v>23188</v>
      </c>
      <c r="N209" s="22">
        <f t="shared" si="111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108"/>
        <v>40</v>
      </c>
      <c r="J210" s="5"/>
      <c r="K210" s="5"/>
      <c r="L210" s="33">
        <f t="shared" si="109"/>
        <v>4702</v>
      </c>
      <c r="M210" s="33">
        <f t="shared" si="110"/>
        <v>4702</v>
      </c>
      <c r="N210" s="22">
        <f t="shared" si="111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108"/>
        <v>24</v>
      </c>
      <c r="J211" s="5"/>
      <c r="K211" s="5"/>
      <c r="L211" s="33">
        <f t="shared" si="109"/>
        <v>4771</v>
      </c>
      <c r="M211" s="33">
        <f t="shared" si="110"/>
        <v>4771</v>
      </c>
      <c r="N211" s="22">
        <f t="shared" si="111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108"/>
        <v>12</v>
      </c>
      <c r="J212" s="5"/>
      <c r="K212" s="5"/>
      <c r="L212" s="33">
        <f t="shared" si="109"/>
        <v>1611</v>
      </c>
      <c r="M212" s="33">
        <f t="shared" si="110"/>
        <v>1611</v>
      </c>
      <c r="N212" s="22">
        <f t="shared" si="111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108"/>
        <v>40</v>
      </c>
      <c r="J213" s="5"/>
      <c r="K213" s="5"/>
      <c r="L213" s="33">
        <f t="shared" si="109"/>
        <v>4843</v>
      </c>
      <c r="M213" s="33">
        <f t="shared" si="110"/>
        <v>4843</v>
      </c>
      <c r="N213" s="22">
        <f t="shared" si="111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108"/>
        <v>12</v>
      </c>
      <c r="J214" s="5"/>
      <c r="K214" s="5"/>
      <c r="L214" s="33">
        <f t="shared" si="109"/>
        <v>2457</v>
      </c>
      <c r="M214" s="33">
        <f t="shared" si="110"/>
        <v>2457</v>
      </c>
      <c r="N214" s="22">
        <f t="shared" si="111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108"/>
        <v>80</v>
      </c>
      <c r="J215" s="5"/>
      <c r="K215" s="5"/>
      <c r="L215" s="33">
        <f t="shared" si="109"/>
        <v>10737</v>
      </c>
      <c r="M215" s="33">
        <f t="shared" si="110"/>
        <v>10737</v>
      </c>
      <c r="N215" s="22">
        <f t="shared" si="111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108"/>
        <v>120</v>
      </c>
      <c r="J216" s="5"/>
      <c r="K216" s="5"/>
      <c r="L216" s="33">
        <f t="shared" si="109"/>
        <v>14529</v>
      </c>
      <c r="M216" s="33">
        <f t="shared" si="110"/>
        <v>14529</v>
      </c>
      <c r="N216" s="22">
        <f t="shared" si="111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108"/>
        <v>80</v>
      </c>
      <c r="J217" s="5"/>
      <c r="K217" s="5"/>
      <c r="L217" s="33">
        <f t="shared" si="109"/>
        <v>16380</v>
      </c>
      <c r="M217" s="33">
        <f t="shared" si="110"/>
        <v>16380</v>
      </c>
      <c r="N217" s="22">
        <f t="shared" si="111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108"/>
        <v>24</v>
      </c>
      <c r="J218" s="5"/>
      <c r="K218" s="5"/>
      <c r="L218" s="33">
        <f t="shared" si="109"/>
        <v>3221</v>
      </c>
      <c r="M218" s="33">
        <f t="shared" si="110"/>
        <v>3221</v>
      </c>
      <c r="N218" s="22">
        <f t="shared" si="111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108"/>
        <v>120</v>
      </c>
      <c r="J219" s="5"/>
      <c r="K219" s="5"/>
      <c r="L219" s="33">
        <f t="shared" si="109"/>
        <v>14529</v>
      </c>
      <c r="M219" s="33">
        <f t="shared" si="110"/>
        <v>14529</v>
      </c>
      <c r="N219" s="22">
        <f t="shared" si="111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108"/>
        <v>4</v>
      </c>
      <c r="J220" s="5"/>
      <c r="K220" s="5"/>
      <c r="L220" s="33">
        <f t="shared" si="109"/>
        <v>819</v>
      </c>
      <c r="M220" s="33">
        <f t="shared" si="110"/>
        <v>819</v>
      </c>
      <c r="N220" s="22">
        <f t="shared" si="111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 t="shared" ref="I222" si="112">C222*(1-G222)</f>
        <v>4.32</v>
      </c>
      <c r="J222" s="5"/>
      <c r="K222" s="5"/>
      <c r="L222" s="33">
        <f t="shared" ref="L222" si="113">D222*(1-G222)</f>
        <v>833.76</v>
      </c>
      <c r="M222" s="33">
        <f t="shared" ref="M222" si="114">IF(J222="",L222,(D222/C222)*J222)</f>
        <v>833.76</v>
      </c>
      <c r="N222" s="22">
        <f t="shared" ref="N222" si="115"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 t="shared" ref="I224:I227" si="116">C224*(1-G224)</f>
        <v>0</v>
      </c>
      <c r="J224" s="5"/>
      <c r="K224" s="5"/>
      <c r="L224" s="33">
        <f t="shared" ref="L224:L227" si="117">D224*(1-G224)</f>
        <v>0</v>
      </c>
      <c r="M224" s="33">
        <f t="shared" ref="M224:M227" si="118">IF(J224="",L224,(D224/C224)*J224)</f>
        <v>0</v>
      </c>
      <c r="N224" s="22">
        <f t="shared" ref="N224:N227" si="119"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 t="shared" si="116"/>
        <v>0</v>
      </c>
      <c r="J225" s="5"/>
      <c r="K225" s="5"/>
      <c r="L225" s="33">
        <f t="shared" si="117"/>
        <v>0</v>
      </c>
      <c r="M225" s="33">
        <f t="shared" si="118"/>
        <v>0</v>
      </c>
      <c r="N225" s="22">
        <f t="shared" si="119"/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 t="shared" si="116"/>
        <v>0</v>
      </c>
      <c r="J226" s="5"/>
      <c r="K226" s="5"/>
      <c r="L226" s="33">
        <f t="shared" si="117"/>
        <v>0</v>
      </c>
      <c r="M226" s="33">
        <f t="shared" si="118"/>
        <v>0</v>
      </c>
      <c r="N226" s="22">
        <f t="shared" si="119"/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 t="shared" si="116"/>
        <v>107261</v>
      </c>
      <c r="J227" s="5"/>
      <c r="K227" s="5"/>
      <c r="L227" s="33">
        <f t="shared" si="117"/>
        <v>119662</v>
      </c>
      <c r="M227" s="33">
        <f t="shared" si="118"/>
        <v>119662</v>
      </c>
      <c r="N227" s="22">
        <f t="shared" si="119"/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 t="shared" ref="I229:I231" si="120">C229*(1-G229)</f>
        <v>5</v>
      </c>
      <c r="J229" s="5"/>
      <c r="K229" s="5"/>
      <c r="L229" s="33">
        <f t="shared" ref="L229:L231" si="121">D229*(1-G229)</f>
        <v>652</v>
      </c>
      <c r="M229" s="33">
        <f t="shared" ref="M229:M231" si="122">IF(J229="",L229,(D229/C229)*J229)</f>
        <v>652</v>
      </c>
      <c r="N229" s="22">
        <f t="shared" ref="N229:N231" si="123"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 t="shared" si="120"/>
        <v>16</v>
      </c>
      <c r="J230" s="5"/>
      <c r="K230" s="5"/>
      <c r="L230" s="33">
        <f t="shared" si="121"/>
        <v>2061</v>
      </c>
      <c r="M230" s="33">
        <f t="shared" si="122"/>
        <v>2061</v>
      </c>
      <c r="N230" s="22">
        <f t="shared" si="123"/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 t="shared" si="120"/>
        <v>1</v>
      </c>
      <c r="J231" s="5"/>
      <c r="K231" s="5"/>
      <c r="L231" s="33">
        <f t="shared" si="121"/>
        <v>199</v>
      </c>
      <c r="M231" s="33">
        <f t="shared" si="122"/>
        <v>199</v>
      </c>
      <c r="N231" s="22">
        <f t="shared" si="123"/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124">C233*(1-G233)</f>
        <v>46.56</v>
      </c>
      <c r="J233" s="5"/>
      <c r="K233" s="5"/>
      <c r="L233" s="33">
        <f t="shared" ref="L233:L242" si="125">D233*(1-G233)</f>
        <v>5889.84</v>
      </c>
      <c r="M233" s="33">
        <f t="shared" ref="M233:M242" si="126">IF(J233="",L233,(D233/C233)*J233)</f>
        <v>5889.84</v>
      </c>
      <c r="N233" s="22">
        <f t="shared" ref="N233:N242" si="127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124"/>
        <v>38.799999999999997</v>
      </c>
      <c r="J234" s="5"/>
      <c r="K234" s="5"/>
      <c r="L234" s="33">
        <f t="shared" si="125"/>
        <v>4428.05</v>
      </c>
      <c r="M234" s="33">
        <f t="shared" si="126"/>
        <v>4428.05</v>
      </c>
      <c r="N234" s="22">
        <f t="shared" si="127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124"/>
        <v>16</v>
      </c>
      <c r="J235" s="5"/>
      <c r="K235" s="5"/>
      <c r="L235" s="33">
        <f t="shared" si="125"/>
        <v>2085</v>
      </c>
      <c r="M235" s="33">
        <f t="shared" si="126"/>
        <v>2085</v>
      </c>
      <c r="N235" s="22">
        <f t="shared" si="127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124"/>
        <v>240</v>
      </c>
      <c r="J236" s="5"/>
      <c r="K236" s="5"/>
      <c r="L236" s="33">
        <f t="shared" si="125"/>
        <v>28211</v>
      </c>
      <c r="M236" s="33">
        <f t="shared" si="126"/>
        <v>28211</v>
      </c>
      <c r="N236" s="22">
        <f t="shared" si="127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124"/>
        <v>16</v>
      </c>
      <c r="J237" s="5"/>
      <c r="K237" s="5"/>
      <c r="L237" s="33">
        <f t="shared" si="125"/>
        <v>2061</v>
      </c>
      <c r="M237" s="33">
        <f t="shared" si="126"/>
        <v>2061</v>
      </c>
      <c r="N237" s="22">
        <f t="shared" si="127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124"/>
        <v>24</v>
      </c>
      <c r="J238" s="5"/>
      <c r="K238" s="5"/>
      <c r="L238" s="33">
        <f t="shared" si="125"/>
        <v>3127</v>
      </c>
      <c r="M238" s="33">
        <f t="shared" si="126"/>
        <v>3127</v>
      </c>
      <c r="N238" s="22">
        <f t="shared" si="127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124"/>
        <v>96</v>
      </c>
      <c r="J239" s="5"/>
      <c r="K239" s="5"/>
      <c r="L239" s="33">
        <f t="shared" si="125"/>
        <v>11284</v>
      </c>
      <c r="M239" s="33">
        <f t="shared" si="126"/>
        <v>11284</v>
      </c>
      <c r="N239" s="22">
        <f t="shared" si="127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124"/>
        <v>20</v>
      </c>
      <c r="J240" s="5"/>
      <c r="K240" s="5"/>
      <c r="L240" s="33">
        <f t="shared" si="125"/>
        <v>2606</v>
      </c>
      <c r="M240" s="33">
        <f t="shared" si="126"/>
        <v>2606</v>
      </c>
      <c r="N240" s="22">
        <f t="shared" si="127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124"/>
        <v>64</v>
      </c>
      <c r="J241" s="5"/>
      <c r="K241" s="5"/>
      <c r="L241" s="33">
        <f t="shared" si="125"/>
        <v>7523</v>
      </c>
      <c r="M241" s="33">
        <f t="shared" si="126"/>
        <v>7523</v>
      </c>
      <c r="N241" s="22">
        <f t="shared" si="127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124"/>
        <v>80</v>
      </c>
      <c r="J242" s="5"/>
      <c r="K242" s="5"/>
      <c r="L242" s="33">
        <f t="shared" si="125"/>
        <v>10306</v>
      </c>
      <c r="M242" s="33">
        <f t="shared" si="126"/>
        <v>10306</v>
      </c>
      <c r="N242" s="22">
        <f t="shared" si="127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 t="shared" ref="I244:I245" si="128">C244*(1-G244)</f>
        <v>2.8500000000000005</v>
      </c>
      <c r="J244" s="5"/>
      <c r="K244" s="5"/>
      <c r="L244" s="33">
        <f t="shared" ref="L244:L245" si="129">D244*(1-G244)</f>
        <v>360.60000000000008</v>
      </c>
      <c r="M244" s="33">
        <f t="shared" ref="M244:M245" si="130">IF(J244="",L244,(D244/C244)*J244)</f>
        <v>360.60000000000008</v>
      </c>
      <c r="N244" s="22">
        <f t="shared" ref="N244:N245" si="131"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 t="shared" si="128"/>
        <v>5.7000000000000011</v>
      </c>
      <c r="J245" s="5"/>
      <c r="K245" s="5"/>
      <c r="L245" s="33">
        <f t="shared" si="129"/>
        <v>1100.1000000000001</v>
      </c>
      <c r="M245" s="33">
        <f t="shared" si="130"/>
        <v>1100.1000000000001</v>
      </c>
      <c r="N245" s="22">
        <f t="shared" si="131"/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 t="shared" ref="I247:I250" si="132">C247*(1-G247)</f>
        <v>0.60000000000000053</v>
      </c>
      <c r="J247" s="5"/>
      <c r="K247" s="5"/>
      <c r="L247" s="33">
        <f t="shared" ref="L247:L250" si="133">D247*(1-G247)</f>
        <v>75.900000000000063</v>
      </c>
      <c r="M247" s="33">
        <f t="shared" ref="M247:M250" si="134">IF(J247="",L247,(D247/C247)*J247)</f>
        <v>75.900000000000063</v>
      </c>
      <c r="N247" s="22">
        <f t="shared" ref="N247:N250" si="135"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 t="shared" si="132"/>
        <v>2.4000000000000021</v>
      </c>
      <c r="J248" s="5"/>
      <c r="K248" s="5"/>
      <c r="L248" s="33">
        <f t="shared" si="133"/>
        <v>463.17000000000041</v>
      </c>
      <c r="M248" s="33">
        <f t="shared" si="134"/>
        <v>463.17000000000041</v>
      </c>
      <c r="N248" s="22">
        <f t="shared" si="135"/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 t="shared" si="132"/>
        <v>2.8800000000000008</v>
      </c>
      <c r="J249" s="5"/>
      <c r="K249" s="5"/>
      <c r="L249" s="33">
        <f t="shared" si="133"/>
        <v>364.32000000000011</v>
      </c>
      <c r="M249" s="33">
        <f t="shared" si="134"/>
        <v>364.32000000000011</v>
      </c>
      <c r="N249" s="22">
        <f t="shared" si="135"/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 t="shared" si="132"/>
        <v>2.8800000000000008</v>
      </c>
      <c r="J250" s="5"/>
      <c r="K250" s="5"/>
      <c r="L250" s="33">
        <f t="shared" si="133"/>
        <v>555.84000000000015</v>
      </c>
      <c r="M250" s="33">
        <f t="shared" si="134"/>
        <v>555.84000000000015</v>
      </c>
      <c r="N250" s="22">
        <f t="shared" si="135"/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 t="shared" ref="I252:I253" si="136">C252*(1-G252)</f>
        <v>3.9000000000000004</v>
      </c>
      <c r="J252" s="5"/>
      <c r="K252" s="5"/>
      <c r="L252" s="33">
        <f t="shared" ref="L252:L253" si="137">D252*(1-G252)</f>
        <v>493.35000000000008</v>
      </c>
      <c r="M252" s="33">
        <f t="shared" ref="M252:M253" si="138">IF(J252="",L252,(D252/C252)*J252)</f>
        <v>493.35000000000008</v>
      </c>
      <c r="N252" s="22">
        <f t="shared" ref="N252:N253" si="139"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 t="shared" si="136"/>
        <v>19.200000000000003</v>
      </c>
      <c r="J253" s="5"/>
      <c r="K253" s="5"/>
      <c r="L253" s="33">
        <f t="shared" si="137"/>
        <v>3705.4500000000007</v>
      </c>
      <c r="M253" s="33">
        <f t="shared" si="138"/>
        <v>3705.4500000000007</v>
      </c>
      <c r="N253" s="22">
        <f t="shared" si="139"/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 t="shared" ref="I255" si="140">C255*(1-G255)</f>
        <v>16000</v>
      </c>
      <c r="J255" s="5"/>
      <c r="K255" s="5"/>
      <c r="L255" s="33">
        <f t="shared" ref="L255" si="141">D255*(1-G255)</f>
        <v>18571</v>
      </c>
      <c r="M255" s="33">
        <f t="shared" ref="M255" si="142">IF(J255="",L255,(D255/C255)*J255)</f>
        <v>18571</v>
      </c>
      <c r="N255" s="22">
        <f t="shared" ref="N255" si="143"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144">C257*(1-G257)</f>
        <v>144</v>
      </c>
      <c r="J257" s="5"/>
      <c r="K257" s="5"/>
      <c r="L257" s="33">
        <f t="shared" ref="L257:L276" si="145">D257*(1-G257)</f>
        <v>18764</v>
      </c>
      <c r="M257" s="33">
        <f t="shared" ref="M257:M276" si="146">IF(J257="",L257,(D257/C257)*J257)</f>
        <v>18764</v>
      </c>
      <c r="N257" s="22">
        <f t="shared" ref="N257:N276" si="147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144"/>
        <v>360</v>
      </c>
      <c r="J258" s="5"/>
      <c r="K258" s="5"/>
      <c r="L258" s="33">
        <f t="shared" si="145"/>
        <v>42316</v>
      </c>
      <c r="M258" s="33">
        <f t="shared" si="146"/>
        <v>42316</v>
      </c>
      <c r="N258" s="22">
        <f t="shared" si="147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144"/>
        <v>240</v>
      </c>
      <c r="J259" s="5"/>
      <c r="K259" s="5"/>
      <c r="L259" s="33">
        <f t="shared" si="145"/>
        <v>30918</v>
      </c>
      <c r="M259" s="33">
        <f t="shared" si="146"/>
        <v>30918</v>
      </c>
      <c r="N259" s="22">
        <f t="shared" si="147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144"/>
        <v>36</v>
      </c>
      <c r="J260" s="5"/>
      <c r="K260" s="5"/>
      <c r="L260" s="33">
        <f t="shared" si="145"/>
        <v>4691</v>
      </c>
      <c r="M260" s="33">
        <f t="shared" si="146"/>
        <v>4691</v>
      </c>
      <c r="N260" s="22">
        <f t="shared" si="147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144"/>
        <v>180</v>
      </c>
      <c r="J261" s="5"/>
      <c r="K261" s="5"/>
      <c r="L261" s="33">
        <f t="shared" si="145"/>
        <v>21158</v>
      </c>
      <c r="M261" s="33">
        <f t="shared" si="146"/>
        <v>21158</v>
      </c>
      <c r="N261" s="22">
        <f t="shared" si="147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144"/>
        <v>40</v>
      </c>
      <c r="J262" s="5"/>
      <c r="K262" s="5"/>
      <c r="L262" s="33">
        <f t="shared" si="145"/>
        <v>5153</v>
      </c>
      <c r="M262" s="33">
        <f t="shared" si="146"/>
        <v>5153</v>
      </c>
      <c r="N262" s="22">
        <f t="shared" si="147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144"/>
        <v>32</v>
      </c>
      <c r="J263" s="5"/>
      <c r="K263" s="5"/>
      <c r="L263" s="33">
        <f t="shared" si="145"/>
        <v>4295</v>
      </c>
      <c r="M263" s="33">
        <f t="shared" si="146"/>
        <v>4295</v>
      </c>
      <c r="N263" s="22">
        <f t="shared" si="147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144"/>
        <v>32</v>
      </c>
      <c r="J264" s="5"/>
      <c r="K264" s="5"/>
      <c r="L264" s="33">
        <f t="shared" si="145"/>
        <v>3874</v>
      </c>
      <c r="M264" s="33">
        <f t="shared" si="146"/>
        <v>3874</v>
      </c>
      <c r="N264" s="22">
        <f t="shared" si="147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144"/>
        <v>20</v>
      </c>
      <c r="J265" s="5"/>
      <c r="K265" s="5"/>
      <c r="L265" s="33">
        <f t="shared" si="145"/>
        <v>2684</v>
      </c>
      <c r="M265" s="33">
        <f t="shared" si="146"/>
        <v>2684</v>
      </c>
      <c r="N265" s="22">
        <f t="shared" si="147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144"/>
        <v>64</v>
      </c>
      <c r="J266" s="5"/>
      <c r="K266" s="5"/>
      <c r="L266" s="33">
        <f t="shared" si="145"/>
        <v>7749</v>
      </c>
      <c r="M266" s="33">
        <f t="shared" si="146"/>
        <v>7749</v>
      </c>
      <c r="N266" s="22">
        <f t="shared" si="147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144"/>
        <v>32</v>
      </c>
      <c r="J267" s="5"/>
      <c r="K267" s="5"/>
      <c r="L267" s="33">
        <f t="shared" si="145"/>
        <v>4295</v>
      </c>
      <c r="M267" s="33">
        <f t="shared" si="146"/>
        <v>4295</v>
      </c>
      <c r="N267" s="22">
        <f t="shared" si="147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144"/>
        <v>32</v>
      </c>
      <c r="J268" s="5"/>
      <c r="K268" s="5"/>
      <c r="L268" s="33">
        <f t="shared" si="145"/>
        <v>3874</v>
      </c>
      <c r="M268" s="33">
        <f t="shared" si="146"/>
        <v>3874</v>
      </c>
      <c r="N268" s="22">
        <f t="shared" si="147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144"/>
        <v>8</v>
      </c>
      <c r="J269" s="5"/>
      <c r="K269" s="5"/>
      <c r="L269" s="33">
        <f t="shared" si="145"/>
        <v>1074</v>
      </c>
      <c r="M269" s="33">
        <f t="shared" si="146"/>
        <v>1074</v>
      </c>
      <c r="N269" s="22">
        <f t="shared" si="147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144"/>
        <v>38</v>
      </c>
      <c r="J270" s="5"/>
      <c r="K270" s="5"/>
      <c r="L270" s="33">
        <f t="shared" si="145"/>
        <v>4601</v>
      </c>
      <c r="M270" s="33">
        <f t="shared" si="146"/>
        <v>4601</v>
      </c>
      <c r="N270" s="22">
        <f t="shared" si="147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144"/>
        <v>18</v>
      </c>
      <c r="J271" s="5"/>
      <c r="K271" s="5"/>
      <c r="L271" s="33">
        <f t="shared" si="145"/>
        <v>2416</v>
      </c>
      <c r="M271" s="33">
        <f t="shared" si="146"/>
        <v>2416</v>
      </c>
      <c r="N271" s="22">
        <f t="shared" si="147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144"/>
        <v>90</v>
      </c>
      <c r="J272" s="5"/>
      <c r="K272" s="5"/>
      <c r="L272" s="33">
        <f t="shared" si="145"/>
        <v>10896</v>
      </c>
      <c r="M272" s="33">
        <f t="shared" si="146"/>
        <v>10896</v>
      </c>
      <c r="N272" s="22">
        <f t="shared" si="147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144"/>
        <v>20</v>
      </c>
      <c r="J273" s="5"/>
      <c r="K273" s="5"/>
      <c r="L273" s="33">
        <f t="shared" si="145"/>
        <v>2654</v>
      </c>
      <c r="M273" s="33">
        <f t="shared" si="146"/>
        <v>2654</v>
      </c>
      <c r="N273" s="22">
        <f t="shared" si="147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144"/>
        <v>18</v>
      </c>
      <c r="J274" s="5"/>
      <c r="K274" s="5"/>
      <c r="L274" s="33">
        <f t="shared" si="145"/>
        <v>2416</v>
      </c>
      <c r="M274" s="33">
        <f t="shared" si="146"/>
        <v>2416</v>
      </c>
      <c r="N274" s="22">
        <f t="shared" si="147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144"/>
        <v>90</v>
      </c>
      <c r="J275" s="5"/>
      <c r="K275" s="5"/>
      <c r="L275" s="33">
        <f t="shared" si="145"/>
        <v>10896</v>
      </c>
      <c r="M275" s="33">
        <f t="shared" si="146"/>
        <v>10896</v>
      </c>
      <c r="N275" s="22">
        <f t="shared" si="147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144"/>
        <v>20</v>
      </c>
      <c r="J276" s="5"/>
      <c r="K276" s="5"/>
      <c r="L276" s="33">
        <f t="shared" si="145"/>
        <v>2654</v>
      </c>
      <c r="M276" s="33">
        <f t="shared" si="146"/>
        <v>2654</v>
      </c>
      <c r="N276" s="22">
        <f t="shared" si="147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148">C278*(1-G278)</f>
        <v>96</v>
      </c>
      <c r="J278" s="5"/>
      <c r="K278" s="5"/>
      <c r="L278" s="33">
        <f t="shared" ref="L278:L283" si="149">D278*(1-G278)</f>
        <v>10956</v>
      </c>
      <c r="M278" s="33">
        <f t="shared" ref="M278:M283" si="150">IF(J278="",L278,(D278/C278)*J278)</f>
        <v>10956</v>
      </c>
      <c r="N278" s="22">
        <f t="shared" ref="N278:N283" si="151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148"/>
        <v>30</v>
      </c>
      <c r="J279" s="5"/>
      <c r="K279" s="5"/>
      <c r="L279" s="33">
        <f t="shared" si="149"/>
        <v>3423.75</v>
      </c>
      <c r="M279" s="33">
        <f t="shared" si="150"/>
        <v>3423.75</v>
      </c>
      <c r="N279" s="22">
        <f t="shared" si="151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148"/>
        <v>4.7999999999999989</v>
      </c>
      <c r="J280" s="5"/>
      <c r="K280" s="5"/>
      <c r="L280" s="33">
        <f t="shared" si="149"/>
        <v>607.19999999999982</v>
      </c>
      <c r="M280" s="33">
        <f t="shared" si="150"/>
        <v>607.19999999999982</v>
      </c>
      <c r="N280" s="22">
        <f t="shared" si="151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148"/>
        <v>4.7999999999999989</v>
      </c>
      <c r="J281" s="5"/>
      <c r="K281" s="5"/>
      <c r="L281" s="33">
        <f t="shared" si="149"/>
        <v>547.79999999999984</v>
      </c>
      <c r="M281" s="33">
        <f t="shared" si="150"/>
        <v>547.79999999999984</v>
      </c>
      <c r="N281" s="22">
        <f t="shared" si="151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148"/>
        <v>7.5599999999999969</v>
      </c>
      <c r="J282" s="5"/>
      <c r="K282" s="5"/>
      <c r="L282" s="33">
        <f t="shared" si="149"/>
        <v>956.42999999999972</v>
      </c>
      <c r="M282" s="33">
        <f t="shared" si="150"/>
        <v>956.42999999999972</v>
      </c>
      <c r="N282" s="22">
        <f t="shared" si="151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148"/>
        <v>7.5599999999999969</v>
      </c>
      <c r="J283" s="5"/>
      <c r="K283" s="5"/>
      <c r="L283" s="33">
        <f t="shared" si="149"/>
        <v>1113.2999999999997</v>
      </c>
      <c r="M283" s="33">
        <f t="shared" si="150"/>
        <v>1113.2999999999997</v>
      </c>
      <c r="N283" s="22">
        <f t="shared" si="151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 t="shared" ref="I285:I288" si="152">C285*(1-G285)</f>
        <v>6</v>
      </c>
      <c r="J285" s="5"/>
      <c r="K285" s="5"/>
      <c r="L285" s="33">
        <f t="shared" ref="L285:L288" si="153">D285*(1-G285)</f>
        <v>759</v>
      </c>
      <c r="M285" s="33">
        <f t="shared" ref="M285:M288" si="154">IF(J285="",L285,(D285/C285)*J285)</f>
        <v>759</v>
      </c>
      <c r="N285" s="22">
        <f t="shared" ref="N285:N288" si="155"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 t="shared" si="152"/>
        <v>5</v>
      </c>
      <c r="J286" s="5"/>
      <c r="K286" s="5"/>
      <c r="L286" s="33">
        <f t="shared" si="153"/>
        <v>633</v>
      </c>
      <c r="M286" s="33">
        <f t="shared" si="154"/>
        <v>633</v>
      </c>
      <c r="N286" s="22">
        <f t="shared" si="155"/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 t="shared" si="152"/>
        <v>1500</v>
      </c>
      <c r="J287" s="5"/>
      <c r="K287" s="5"/>
      <c r="L287" s="33">
        <f t="shared" si="153"/>
        <v>1707</v>
      </c>
      <c r="M287" s="33">
        <f t="shared" si="154"/>
        <v>1707</v>
      </c>
      <c r="N287" s="22">
        <f t="shared" si="155"/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 t="shared" si="152"/>
        <v>1220</v>
      </c>
      <c r="J288" s="5"/>
      <c r="K288" s="5"/>
      <c r="L288" s="33">
        <f t="shared" si="153"/>
        <v>1388</v>
      </c>
      <c r="M288" s="33">
        <f t="shared" si="154"/>
        <v>1388</v>
      </c>
      <c r="N288" s="22">
        <f t="shared" si="155"/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156">C290*(1-G290)</f>
        <v>48</v>
      </c>
      <c r="J290" s="5"/>
      <c r="K290" s="5"/>
      <c r="L290" s="33">
        <f t="shared" ref="L290:L302" si="157">D290*(1-G290)</f>
        <v>6072</v>
      </c>
      <c r="M290" s="33">
        <f t="shared" ref="M290:M302" si="158">IF(J290="",L290,(D290/C290)*J290)</f>
        <v>6072</v>
      </c>
      <c r="N290" s="22">
        <f t="shared" ref="N290:N302" si="159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156"/>
        <v>280</v>
      </c>
      <c r="J291" s="5"/>
      <c r="K291" s="5"/>
      <c r="L291" s="33">
        <f t="shared" si="157"/>
        <v>31954</v>
      </c>
      <c r="M291" s="33">
        <f t="shared" si="158"/>
        <v>31954</v>
      </c>
      <c r="N291" s="22">
        <f t="shared" si="159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156"/>
        <v>4</v>
      </c>
      <c r="J292" s="5"/>
      <c r="K292" s="5"/>
      <c r="L292" s="33">
        <f t="shared" si="157"/>
        <v>506</v>
      </c>
      <c r="M292" s="33">
        <f t="shared" si="158"/>
        <v>506</v>
      </c>
      <c r="N292" s="22">
        <f t="shared" si="159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156"/>
        <v>13</v>
      </c>
      <c r="J293" s="5"/>
      <c r="K293" s="5"/>
      <c r="L293" s="33">
        <f t="shared" si="157"/>
        <v>1484</v>
      </c>
      <c r="M293" s="33">
        <f t="shared" si="158"/>
        <v>1484</v>
      </c>
      <c r="N293" s="22">
        <f t="shared" si="159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156"/>
        <v>52</v>
      </c>
      <c r="J294" s="5"/>
      <c r="K294" s="5"/>
      <c r="L294" s="33">
        <f t="shared" si="157"/>
        <v>6087</v>
      </c>
      <c r="M294" s="33">
        <f t="shared" si="158"/>
        <v>6087</v>
      </c>
      <c r="N294" s="22">
        <f t="shared" si="159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156"/>
        <v>150</v>
      </c>
      <c r="J295" s="5"/>
      <c r="K295" s="5"/>
      <c r="L295" s="33">
        <f t="shared" si="157"/>
        <v>19245</v>
      </c>
      <c r="M295" s="33">
        <f t="shared" si="158"/>
        <v>19245</v>
      </c>
      <c r="N295" s="22">
        <f t="shared" si="159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156"/>
        <v>160</v>
      </c>
      <c r="J296" s="5"/>
      <c r="K296" s="5"/>
      <c r="L296" s="33">
        <f t="shared" si="157"/>
        <v>19372</v>
      </c>
      <c r="M296" s="33">
        <f t="shared" si="158"/>
        <v>19372</v>
      </c>
      <c r="N296" s="22">
        <f t="shared" si="159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156"/>
        <v>40</v>
      </c>
      <c r="J297" s="5"/>
      <c r="K297" s="5"/>
      <c r="L297" s="33">
        <f t="shared" si="157"/>
        <v>4843</v>
      </c>
      <c r="M297" s="33">
        <f t="shared" si="158"/>
        <v>4843</v>
      </c>
      <c r="N297" s="22">
        <f t="shared" si="159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156"/>
        <v>16</v>
      </c>
      <c r="J298" s="5"/>
      <c r="K298" s="5"/>
      <c r="L298" s="33">
        <f t="shared" si="157"/>
        <v>2061</v>
      </c>
      <c r="M298" s="33">
        <f t="shared" si="158"/>
        <v>2061</v>
      </c>
      <c r="N298" s="22">
        <f t="shared" si="159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156"/>
        <v>480</v>
      </c>
      <c r="J299" s="5"/>
      <c r="K299" s="5"/>
      <c r="L299" s="33">
        <f t="shared" si="157"/>
        <v>63690</v>
      </c>
      <c r="M299" s="33">
        <f t="shared" si="158"/>
        <v>63690</v>
      </c>
      <c r="N299" s="22">
        <f t="shared" si="159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156"/>
        <v>16</v>
      </c>
      <c r="J300" s="5"/>
      <c r="K300" s="5"/>
      <c r="L300" s="33">
        <f t="shared" si="157"/>
        <v>1937</v>
      </c>
      <c r="M300" s="33">
        <f t="shared" si="158"/>
        <v>1937</v>
      </c>
      <c r="N300" s="22">
        <f t="shared" si="159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156"/>
        <v>96</v>
      </c>
      <c r="J301" s="5"/>
      <c r="K301" s="5"/>
      <c r="L301" s="33">
        <f t="shared" si="157"/>
        <v>11623</v>
      </c>
      <c r="M301" s="33">
        <f t="shared" si="158"/>
        <v>11623</v>
      </c>
      <c r="N301" s="22">
        <f t="shared" si="159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156"/>
        <v>4</v>
      </c>
      <c r="J302" s="5"/>
      <c r="K302" s="5"/>
      <c r="L302" s="33">
        <f t="shared" si="157"/>
        <v>531</v>
      </c>
      <c r="M302" s="33">
        <f t="shared" si="158"/>
        <v>531</v>
      </c>
      <c r="N302" s="22">
        <f t="shared" si="159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160">C304*(1-G304)</f>
        <v>3.2</v>
      </c>
      <c r="J304" s="5"/>
      <c r="K304" s="5"/>
      <c r="L304" s="33">
        <f t="shared" ref="L304:L312" si="161">D304*(1-G304)</f>
        <v>404.8</v>
      </c>
      <c r="M304" s="33">
        <f t="shared" ref="M304:M312" si="162">IF(J304="",L304,(D304/C304)*J304)</f>
        <v>404.8</v>
      </c>
      <c r="N304" s="22">
        <f t="shared" ref="N304:N312" si="163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160"/>
        <v>3.2</v>
      </c>
      <c r="J305" s="5"/>
      <c r="K305" s="5"/>
      <c r="L305" s="33">
        <f t="shared" si="161"/>
        <v>471.20000000000005</v>
      </c>
      <c r="M305" s="33">
        <f t="shared" si="162"/>
        <v>471.20000000000005</v>
      </c>
      <c r="N305" s="22">
        <f t="shared" si="163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160"/>
        <v>316.8</v>
      </c>
      <c r="J306" s="5"/>
      <c r="K306" s="5"/>
      <c r="L306" s="33">
        <f t="shared" si="161"/>
        <v>41280.800000000003</v>
      </c>
      <c r="M306" s="33">
        <f t="shared" si="162"/>
        <v>41280.800000000003</v>
      </c>
      <c r="N306" s="22">
        <f t="shared" si="163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160"/>
        <v>39.6</v>
      </c>
      <c r="J307" s="5"/>
      <c r="K307" s="5"/>
      <c r="L307" s="33">
        <f t="shared" si="161"/>
        <v>6006.55</v>
      </c>
      <c r="M307" s="33">
        <f t="shared" si="162"/>
        <v>6006.55</v>
      </c>
      <c r="N307" s="22">
        <f t="shared" si="163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160"/>
        <v>46.079999999999977</v>
      </c>
      <c r="J308" s="5"/>
      <c r="K308" s="5"/>
      <c r="L308" s="33">
        <f t="shared" si="161"/>
        <v>6170.5599999999968</v>
      </c>
      <c r="M308" s="33">
        <f t="shared" si="162"/>
        <v>6170.5599999999968</v>
      </c>
      <c r="N308" s="22">
        <f t="shared" si="163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160"/>
        <v>5.7599999999999971</v>
      </c>
      <c r="J309" s="5"/>
      <c r="K309" s="5"/>
      <c r="L309" s="33">
        <f t="shared" si="161"/>
        <v>897.83999999999958</v>
      </c>
      <c r="M309" s="33">
        <f t="shared" si="162"/>
        <v>897.83999999999958</v>
      </c>
      <c r="N309" s="22">
        <f t="shared" si="163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160"/>
        <v>120</v>
      </c>
      <c r="J310" s="5"/>
      <c r="K310" s="5"/>
      <c r="L310" s="33">
        <f t="shared" si="161"/>
        <v>16106</v>
      </c>
      <c r="M310" s="33">
        <f t="shared" si="162"/>
        <v>16106</v>
      </c>
      <c r="N310" s="22">
        <f t="shared" si="163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160"/>
        <v>120</v>
      </c>
      <c r="J311" s="5"/>
      <c r="K311" s="5"/>
      <c r="L311" s="33">
        <f t="shared" si="161"/>
        <v>14529</v>
      </c>
      <c r="M311" s="33">
        <f t="shared" si="162"/>
        <v>14529</v>
      </c>
      <c r="N311" s="22">
        <f t="shared" si="163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160"/>
        <v>24</v>
      </c>
      <c r="J312" s="5"/>
      <c r="K312" s="5"/>
      <c r="L312" s="33">
        <f t="shared" si="161"/>
        <v>3750</v>
      </c>
      <c r="M312" s="33">
        <f t="shared" si="162"/>
        <v>3750</v>
      </c>
      <c r="N312" s="22">
        <f t="shared" si="163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 t="shared" ref="I314" si="164">C314*(1-G314)</f>
        <v>5</v>
      </c>
      <c r="J314" s="5"/>
      <c r="K314" s="5"/>
      <c r="L314" s="33">
        <f t="shared" ref="L314" si="165">D314*(1-G314)</f>
        <v>736</v>
      </c>
      <c r="M314" s="33">
        <f t="shared" ref="M314" si="166">IF(J314="",L314,(D314/C314)*J314)</f>
        <v>736</v>
      </c>
      <c r="N314" s="22">
        <f t="shared" ref="N314" si="167"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168">C316*(1-G316)</f>
        <v>42</v>
      </c>
      <c r="J316" s="5"/>
      <c r="K316" s="5"/>
      <c r="L316" s="33">
        <f t="shared" ref="L316:L325" si="169">D316*(1-G316)</f>
        <v>6185.2</v>
      </c>
      <c r="M316" s="33">
        <f t="shared" ref="M316:M325" si="170">IF(J316="",L316,(D316/C316)*J316)</f>
        <v>6185.2</v>
      </c>
      <c r="N316" s="22">
        <f t="shared" ref="N316:N325" si="171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168"/>
        <v>168</v>
      </c>
      <c r="J317" s="5"/>
      <c r="K317" s="5"/>
      <c r="L317" s="33">
        <f t="shared" si="169"/>
        <v>21011.899999999998</v>
      </c>
      <c r="M317" s="33">
        <f t="shared" si="170"/>
        <v>21011.899999999998</v>
      </c>
      <c r="N317" s="22">
        <f t="shared" si="171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168"/>
        <v>60</v>
      </c>
      <c r="J318" s="5"/>
      <c r="K318" s="5"/>
      <c r="L318" s="33">
        <f t="shared" si="169"/>
        <v>8836</v>
      </c>
      <c r="M318" s="33">
        <f t="shared" si="170"/>
        <v>8836</v>
      </c>
      <c r="N318" s="22">
        <f t="shared" si="171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168"/>
        <v>240</v>
      </c>
      <c r="J319" s="5"/>
      <c r="K319" s="5"/>
      <c r="L319" s="33">
        <f t="shared" si="169"/>
        <v>27389</v>
      </c>
      <c r="M319" s="33">
        <f t="shared" si="170"/>
        <v>27389</v>
      </c>
      <c r="N319" s="22">
        <f t="shared" si="171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168"/>
        <v>300</v>
      </c>
      <c r="J320" s="5"/>
      <c r="K320" s="5"/>
      <c r="L320" s="33">
        <f t="shared" si="169"/>
        <v>37521</v>
      </c>
      <c r="M320" s="33">
        <f t="shared" si="170"/>
        <v>37521</v>
      </c>
      <c r="N320" s="22">
        <f t="shared" si="171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168"/>
        <v>240</v>
      </c>
      <c r="J321" s="5"/>
      <c r="K321" s="5"/>
      <c r="L321" s="33">
        <f t="shared" si="169"/>
        <v>30017</v>
      </c>
      <c r="M321" s="33">
        <f t="shared" si="170"/>
        <v>30017</v>
      </c>
      <c r="N321" s="22">
        <f t="shared" si="171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168"/>
        <v>60</v>
      </c>
      <c r="J322" s="5"/>
      <c r="K322" s="5"/>
      <c r="L322" s="33">
        <f t="shared" si="169"/>
        <v>8836</v>
      </c>
      <c r="M322" s="33">
        <f t="shared" si="170"/>
        <v>8836</v>
      </c>
      <c r="N322" s="22">
        <f t="shared" si="171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168"/>
        <v>40</v>
      </c>
      <c r="J323" s="5"/>
      <c r="K323" s="5"/>
      <c r="L323" s="33">
        <f t="shared" si="169"/>
        <v>6249</v>
      </c>
      <c r="M323" s="33">
        <f t="shared" si="170"/>
        <v>6249</v>
      </c>
      <c r="N323" s="22">
        <f t="shared" si="171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168"/>
        <v>160</v>
      </c>
      <c r="J324" s="5"/>
      <c r="K324" s="5"/>
      <c r="L324" s="33">
        <f t="shared" si="169"/>
        <v>19372</v>
      </c>
      <c r="M324" s="33">
        <f t="shared" si="170"/>
        <v>19372</v>
      </c>
      <c r="N324" s="22">
        <f t="shared" si="171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168"/>
        <v>220</v>
      </c>
      <c r="J325" s="5"/>
      <c r="K325" s="5"/>
      <c r="L325" s="33">
        <f t="shared" si="169"/>
        <v>29191</v>
      </c>
      <c r="M325" s="33">
        <f t="shared" si="170"/>
        <v>29191</v>
      </c>
      <c r="N325" s="22">
        <f t="shared" si="171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172">C327*(1-G327)</f>
        <v>6.3</v>
      </c>
      <c r="J327" s="5"/>
      <c r="K327" s="5"/>
      <c r="L327" s="33">
        <f t="shared" ref="L327:L332" si="173">D327*(1-G327)</f>
        <v>927.9</v>
      </c>
      <c r="M327" s="33">
        <f t="shared" ref="M327:M332" si="174">IF(J327="",L327,(D327/C327)*J327)</f>
        <v>927.9</v>
      </c>
      <c r="N327" s="22">
        <f t="shared" ref="N327:N332" si="175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172"/>
        <v>28.8</v>
      </c>
      <c r="J328" s="5"/>
      <c r="K328" s="5"/>
      <c r="L328" s="33">
        <f t="shared" si="173"/>
        <v>3286.8</v>
      </c>
      <c r="M328" s="33">
        <f t="shared" si="174"/>
        <v>3286.8</v>
      </c>
      <c r="N328" s="22">
        <f t="shared" si="175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172"/>
        <v>80</v>
      </c>
      <c r="J329" s="5"/>
      <c r="K329" s="5"/>
      <c r="L329" s="33">
        <f t="shared" si="173"/>
        <v>12499</v>
      </c>
      <c r="M329" s="33">
        <f t="shared" si="174"/>
        <v>12499</v>
      </c>
      <c r="N329" s="22">
        <f t="shared" si="175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172"/>
        <v>80</v>
      </c>
      <c r="J330" s="5"/>
      <c r="K330" s="5"/>
      <c r="L330" s="33">
        <f t="shared" si="173"/>
        <v>9686</v>
      </c>
      <c r="M330" s="33">
        <f t="shared" si="174"/>
        <v>9686</v>
      </c>
      <c r="N330" s="22">
        <f t="shared" si="175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172"/>
        <v>70</v>
      </c>
      <c r="J331" s="5"/>
      <c r="K331" s="5"/>
      <c r="L331" s="33">
        <f t="shared" si="173"/>
        <v>8475</v>
      </c>
      <c r="M331" s="33">
        <f t="shared" si="174"/>
        <v>8475</v>
      </c>
      <c r="N331" s="22">
        <f t="shared" si="175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172"/>
        <v>3137</v>
      </c>
      <c r="J332" s="5"/>
      <c r="K332" s="5"/>
      <c r="L332" s="33">
        <f t="shared" si="173"/>
        <v>3500</v>
      </c>
      <c r="M332" s="33">
        <f t="shared" si="174"/>
        <v>3500</v>
      </c>
      <c r="N332" s="22">
        <f t="shared" si="175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 t="shared" ref="I334:I338" si="176">C334*(1-G334)</f>
        <v>56</v>
      </c>
      <c r="J334" s="5"/>
      <c r="K334" s="5"/>
      <c r="L334" s="33">
        <f t="shared" ref="L334:L338" si="177">D334*(1-G334)</f>
        <v>6391</v>
      </c>
      <c r="M334" s="33">
        <f t="shared" ref="M334:M338" si="178">IF(J334="",L334,(D334/C334)*J334)</f>
        <v>6391</v>
      </c>
      <c r="N334" s="22">
        <f t="shared" ref="N334:N338" si="179"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 t="shared" si="176"/>
        <v>80</v>
      </c>
      <c r="J335" s="5"/>
      <c r="K335" s="5"/>
      <c r="L335" s="33">
        <f t="shared" si="177"/>
        <v>9404</v>
      </c>
      <c r="M335" s="33">
        <f t="shared" si="178"/>
        <v>9404</v>
      </c>
      <c r="N335" s="22">
        <f t="shared" si="179"/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 t="shared" si="176"/>
        <v>80</v>
      </c>
      <c r="J336" s="5"/>
      <c r="K336" s="5"/>
      <c r="L336" s="33">
        <f t="shared" si="177"/>
        <v>14013</v>
      </c>
      <c r="M336" s="33">
        <f t="shared" si="178"/>
        <v>14013</v>
      </c>
      <c r="N336" s="22">
        <f t="shared" si="179"/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 t="shared" si="176"/>
        <v>5.3999999999999986</v>
      </c>
      <c r="J337" s="5"/>
      <c r="K337" s="5"/>
      <c r="L337" s="33">
        <f t="shared" si="177"/>
        <v>622.59999999999991</v>
      </c>
      <c r="M337" s="33">
        <f t="shared" si="178"/>
        <v>622.59999999999991</v>
      </c>
      <c r="N337" s="22">
        <f t="shared" si="179"/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 t="shared" si="176"/>
        <v>2.6999999999999993</v>
      </c>
      <c r="J338" s="5"/>
      <c r="K338" s="5"/>
      <c r="L338" s="33">
        <f t="shared" si="177"/>
        <v>463.89999999999992</v>
      </c>
      <c r="M338" s="33">
        <f t="shared" si="178"/>
        <v>463.89999999999992</v>
      </c>
      <c r="N338" s="22">
        <f t="shared" si="179"/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 t="shared" ref="I340:I344" si="180">C340*(1-G340)</f>
        <v>8.9999999999999982</v>
      </c>
      <c r="J340" s="5"/>
      <c r="K340" s="5"/>
      <c r="L340" s="33">
        <f t="shared" ref="L340:L344" si="181">D340*(1-G340)</f>
        <v>1365.0999999999997</v>
      </c>
      <c r="M340" s="33">
        <f t="shared" ref="M340:M344" si="182">IF(J340="",L340,(D340/C340)*J340)</f>
        <v>1365.0999999999997</v>
      </c>
      <c r="N340" s="22">
        <f t="shared" ref="N340:N344" si="183"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 t="shared" si="180"/>
        <v>24</v>
      </c>
      <c r="J341" s="5"/>
      <c r="K341" s="5"/>
      <c r="L341" s="33">
        <f t="shared" si="181"/>
        <v>5090</v>
      </c>
      <c r="M341" s="33">
        <f t="shared" si="182"/>
        <v>5090</v>
      </c>
      <c r="N341" s="22">
        <f t="shared" si="183"/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 t="shared" si="180"/>
        <v>24</v>
      </c>
      <c r="J342" s="5"/>
      <c r="K342" s="5"/>
      <c r="L342" s="33">
        <f t="shared" si="181"/>
        <v>3640</v>
      </c>
      <c r="M342" s="33">
        <f t="shared" si="182"/>
        <v>3640</v>
      </c>
      <c r="N342" s="22">
        <f t="shared" si="183"/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 t="shared" si="180"/>
        <v>24</v>
      </c>
      <c r="J343" s="5"/>
      <c r="K343" s="5"/>
      <c r="L343" s="33">
        <f t="shared" si="181"/>
        <v>2821</v>
      </c>
      <c r="M343" s="33">
        <f t="shared" si="182"/>
        <v>2821</v>
      </c>
      <c r="N343" s="22">
        <f t="shared" si="183"/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 t="shared" si="180"/>
        <v>40</v>
      </c>
      <c r="J344" s="5"/>
      <c r="K344" s="5"/>
      <c r="L344" s="33">
        <f t="shared" si="181"/>
        <v>4843</v>
      </c>
      <c r="M344" s="33">
        <f t="shared" si="182"/>
        <v>4843</v>
      </c>
      <c r="N344" s="22">
        <f t="shared" si="183"/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184">C346*(1-G346)</f>
        <v>80</v>
      </c>
      <c r="J346" s="5"/>
      <c r="K346" s="5"/>
      <c r="L346" s="33">
        <f t="shared" ref="L346:L370" si="185">D346*(1-G346)</f>
        <v>9686</v>
      </c>
      <c r="M346" s="33">
        <f t="shared" ref="M346:M370" si="186">IF(J346="",L346,(D346/C346)*J346)</f>
        <v>9686</v>
      </c>
      <c r="N346" s="22">
        <f t="shared" ref="N346:N370" si="1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184"/>
        <v>160</v>
      </c>
      <c r="J347" s="5"/>
      <c r="K347" s="5"/>
      <c r="L347" s="33">
        <f t="shared" si="185"/>
        <v>19372</v>
      </c>
      <c r="M347" s="33">
        <f t="shared" si="186"/>
        <v>19372</v>
      </c>
      <c r="N347" s="22">
        <f t="shared" si="1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184"/>
        <v>80</v>
      </c>
      <c r="J348" s="5"/>
      <c r="K348" s="5"/>
      <c r="L348" s="33">
        <f t="shared" si="185"/>
        <v>10737</v>
      </c>
      <c r="M348" s="33">
        <f t="shared" si="186"/>
        <v>10737</v>
      </c>
      <c r="N348" s="22">
        <f t="shared" si="1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184"/>
        <v>160</v>
      </c>
      <c r="J349" s="5"/>
      <c r="K349" s="5"/>
      <c r="L349" s="33">
        <f t="shared" si="185"/>
        <v>34952</v>
      </c>
      <c r="M349" s="33">
        <f t="shared" si="186"/>
        <v>34952</v>
      </c>
      <c r="N349" s="22">
        <f t="shared" si="1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184"/>
        <v>80</v>
      </c>
      <c r="J350" s="5"/>
      <c r="K350" s="5"/>
      <c r="L350" s="33">
        <f t="shared" si="185"/>
        <v>9686</v>
      </c>
      <c r="M350" s="33">
        <f t="shared" si="186"/>
        <v>9686</v>
      </c>
      <c r="N350" s="22">
        <f t="shared" si="1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184"/>
        <v>160</v>
      </c>
      <c r="J351" s="5"/>
      <c r="K351" s="5"/>
      <c r="L351" s="33">
        <f t="shared" si="185"/>
        <v>34952</v>
      </c>
      <c r="M351" s="33">
        <f t="shared" si="186"/>
        <v>34952</v>
      </c>
      <c r="N351" s="22">
        <f t="shared" si="1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184"/>
        <v>80</v>
      </c>
      <c r="J352" s="5"/>
      <c r="K352" s="5"/>
      <c r="L352" s="33">
        <f t="shared" si="185"/>
        <v>10737</v>
      </c>
      <c r="M352" s="33">
        <f t="shared" si="186"/>
        <v>10737</v>
      </c>
      <c r="N352" s="22">
        <f t="shared" si="1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184"/>
        <v>160</v>
      </c>
      <c r="J353" s="5"/>
      <c r="K353" s="5"/>
      <c r="L353" s="33">
        <f t="shared" si="185"/>
        <v>19372</v>
      </c>
      <c r="M353" s="33">
        <f t="shared" si="186"/>
        <v>19372</v>
      </c>
      <c r="N353" s="22">
        <f t="shared" si="1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184"/>
        <v>40</v>
      </c>
      <c r="J354" s="5"/>
      <c r="K354" s="5"/>
      <c r="L354" s="33">
        <f t="shared" si="185"/>
        <v>4843</v>
      </c>
      <c r="M354" s="33">
        <f t="shared" si="186"/>
        <v>4843</v>
      </c>
      <c r="N354" s="22">
        <f t="shared" si="1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184"/>
        <v>80</v>
      </c>
      <c r="J355" s="5"/>
      <c r="K355" s="5"/>
      <c r="L355" s="33">
        <f t="shared" si="185"/>
        <v>9686</v>
      </c>
      <c r="M355" s="33">
        <f t="shared" si="186"/>
        <v>9686</v>
      </c>
      <c r="N355" s="22">
        <f t="shared" si="1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184"/>
        <v>80</v>
      </c>
      <c r="J356" s="5"/>
      <c r="K356" s="5"/>
      <c r="L356" s="33">
        <f t="shared" si="185"/>
        <v>9686</v>
      </c>
      <c r="M356" s="33">
        <f t="shared" si="186"/>
        <v>9686</v>
      </c>
      <c r="N356" s="22">
        <f t="shared" si="1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184"/>
        <v>160</v>
      </c>
      <c r="J357" s="5"/>
      <c r="K357" s="5"/>
      <c r="L357" s="33">
        <f t="shared" si="185"/>
        <v>34952</v>
      </c>
      <c r="M357" s="33">
        <f t="shared" si="186"/>
        <v>34952</v>
      </c>
      <c r="N357" s="22">
        <f t="shared" si="1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184"/>
        <v>80</v>
      </c>
      <c r="J358" s="5"/>
      <c r="K358" s="5"/>
      <c r="L358" s="33">
        <f t="shared" si="185"/>
        <v>10737</v>
      </c>
      <c r="M358" s="33">
        <f t="shared" si="186"/>
        <v>10737</v>
      </c>
      <c r="N358" s="22">
        <f t="shared" si="1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184"/>
        <v>160</v>
      </c>
      <c r="J359" s="5"/>
      <c r="K359" s="5"/>
      <c r="L359" s="33">
        <f t="shared" si="185"/>
        <v>19372</v>
      </c>
      <c r="M359" s="33">
        <f t="shared" si="186"/>
        <v>19372</v>
      </c>
      <c r="N359" s="22">
        <f t="shared" si="1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184"/>
        <v>6.4</v>
      </c>
      <c r="J360" s="5"/>
      <c r="K360" s="5"/>
      <c r="L360" s="33">
        <f t="shared" si="185"/>
        <v>1357.6000000000001</v>
      </c>
      <c r="M360" s="33">
        <f t="shared" si="186"/>
        <v>1357.6000000000001</v>
      </c>
      <c r="N360" s="22">
        <f t="shared" si="1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184"/>
        <v>12.8</v>
      </c>
      <c r="J361" s="5"/>
      <c r="K361" s="5"/>
      <c r="L361" s="33">
        <f t="shared" si="185"/>
        <v>2714.8</v>
      </c>
      <c r="M361" s="33">
        <f t="shared" si="186"/>
        <v>2714.8</v>
      </c>
      <c r="N361" s="22">
        <f t="shared" si="1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184"/>
        <v>50</v>
      </c>
      <c r="J362" s="5"/>
      <c r="K362" s="5"/>
      <c r="L362" s="33">
        <f t="shared" si="185"/>
        <v>10604</v>
      </c>
      <c r="M362" s="33">
        <f t="shared" si="186"/>
        <v>10604</v>
      </c>
      <c r="N362" s="22">
        <f t="shared" si="1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184"/>
        <v>63000</v>
      </c>
      <c r="J363" s="5"/>
      <c r="K363" s="5"/>
      <c r="L363" s="33">
        <f t="shared" si="185"/>
        <v>73123</v>
      </c>
      <c r="M363" s="33">
        <f t="shared" si="186"/>
        <v>73123</v>
      </c>
      <c r="N363" s="22">
        <f t="shared" si="1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184"/>
        <v>39</v>
      </c>
      <c r="J364" s="5"/>
      <c r="K364" s="5"/>
      <c r="L364" s="33">
        <f t="shared" si="185"/>
        <v>5915.6500000000005</v>
      </c>
      <c r="M364" s="33">
        <f t="shared" si="186"/>
        <v>5915.6500000000005</v>
      </c>
      <c r="N364" s="22">
        <f t="shared" si="1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184"/>
        <v>19.5</v>
      </c>
      <c r="J365" s="5"/>
      <c r="K365" s="5"/>
      <c r="L365" s="33">
        <f t="shared" si="185"/>
        <v>2291.9</v>
      </c>
      <c r="M365" s="33">
        <f t="shared" si="186"/>
        <v>2291.9</v>
      </c>
      <c r="N365" s="22">
        <f t="shared" si="1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184"/>
        <v>16</v>
      </c>
      <c r="J366" s="5"/>
      <c r="K366" s="5"/>
      <c r="L366" s="33">
        <f t="shared" si="185"/>
        <v>2427</v>
      </c>
      <c r="M366" s="33">
        <f t="shared" si="186"/>
        <v>2427</v>
      </c>
      <c r="N366" s="22">
        <f t="shared" si="1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184"/>
        <v>16</v>
      </c>
      <c r="J367" s="5"/>
      <c r="K367" s="5"/>
      <c r="L367" s="33">
        <f t="shared" si="185"/>
        <v>1881</v>
      </c>
      <c r="M367" s="33">
        <f t="shared" si="186"/>
        <v>1881</v>
      </c>
      <c r="N367" s="22">
        <f t="shared" si="1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184"/>
        <v>10</v>
      </c>
      <c r="J368" s="5"/>
      <c r="K368" s="5"/>
      <c r="L368" s="33">
        <f t="shared" si="185"/>
        <v>2121</v>
      </c>
      <c r="M368" s="33">
        <f t="shared" si="186"/>
        <v>2121</v>
      </c>
      <c r="N368" s="22">
        <f t="shared" si="1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184"/>
        <v>30.4</v>
      </c>
      <c r="J369" s="5"/>
      <c r="K369" s="5"/>
      <c r="L369" s="33">
        <f t="shared" si="185"/>
        <v>3572.95</v>
      </c>
      <c r="M369" s="33">
        <f t="shared" si="186"/>
        <v>3572.95</v>
      </c>
      <c r="N369" s="22">
        <f t="shared" si="1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184"/>
        <v>16</v>
      </c>
      <c r="J370" s="5"/>
      <c r="K370" s="5"/>
      <c r="L370" s="33">
        <f t="shared" si="185"/>
        <v>3495</v>
      </c>
      <c r="M370" s="33">
        <f t="shared" si="186"/>
        <v>3495</v>
      </c>
      <c r="N370" s="22">
        <f t="shared" si="1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188">C372*(1-G372)</f>
        <v>6.0000000000000053</v>
      </c>
      <c r="J372" s="5"/>
      <c r="K372" s="5"/>
      <c r="L372" s="33">
        <f t="shared" ref="L372:L385" si="189">D372*(1-G372)</f>
        <v>684.75000000000057</v>
      </c>
      <c r="M372" s="33">
        <f t="shared" ref="M372:M385" si="190">IF(J372="",L372,(D372/C372)*J372)</f>
        <v>684.75000000000057</v>
      </c>
      <c r="N372" s="22">
        <f t="shared" ref="N372:N385" si="1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188"/>
        <v>20</v>
      </c>
      <c r="J373" s="5"/>
      <c r="K373" s="5"/>
      <c r="L373" s="33">
        <f t="shared" si="189"/>
        <v>2282</v>
      </c>
      <c r="M373" s="33">
        <f t="shared" si="190"/>
        <v>2282</v>
      </c>
      <c r="N373" s="22">
        <f t="shared" si="1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188"/>
        <v>20</v>
      </c>
      <c r="J374" s="5"/>
      <c r="K374" s="5"/>
      <c r="L374" s="33">
        <f t="shared" si="189"/>
        <v>2282</v>
      </c>
      <c r="M374" s="33">
        <f t="shared" si="190"/>
        <v>2282</v>
      </c>
      <c r="N374" s="22">
        <f t="shared" si="1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188"/>
        <v>20</v>
      </c>
      <c r="J375" s="5"/>
      <c r="K375" s="5"/>
      <c r="L375" s="33">
        <f t="shared" si="189"/>
        <v>2282</v>
      </c>
      <c r="M375" s="33">
        <f t="shared" si="190"/>
        <v>2282</v>
      </c>
      <c r="N375" s="22">
        <f t="shared" si="1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188"/>
        <v>20</v>
      </c>
      <c r="J376" s="5"/>
      <c r="K376" s="5"/>
      <c r="L376" s="33">
        <f t="shared" si="189"/>
        <v>2282</v>
      </c>
      <c r="M376" s="33">
        <f t="shared" si="190"/>
        <v>2282</v>
      </c>
      <c r="N376" s="22">
        <f t="shared" si="1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188"/>
        <v>18</v>
      </c>
      <c r="J377" s="5"/>
      <c r="K377" s="5"/>
      <c r="L377" s="33">
        <f t="shared" si="189"/>
        <v>2054</v>
      </c>
      <c r="M377" s="33">
        <f t="shared" si="190"/>
        <v>2054</v>
      </c>
      <c r="N377" s="22">
        <f t="shared" si="1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188"/>
        <v>36</v>
      </c>
      <c r="J378" s="5"/>
      <c r="K378" s="5"/>
      <c r="L378" s="33">
        <f t="shared" si="189"/>
        <v>4108</v>
      </c>
      <c r="M378" s="33">
        <f t="shared" si="190"/>
        <v>4108</v>
      </c>
      <c r="N378" s="22">
        <f t="shared" si="1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188"/>
        <v>10</v>
      </c>
      <c r="J379" s="5"/>
      <c r="K379" s="5"/>
      <c r="L379" s="33">
        <f t="shared" si="189"/>
        <v>1160</v>
      </c>
      <c r="M379" s="33">
        <f t="shared" si="190"/>
        <v>1160</v>
      </c>
      <c r="N379" s="22">
        <f t="shared" si="1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188"/>
        <v>40</v>
      </c>
      <c r="J380" s="5"/>
      <c r="K380" s="5"/>
      <c r="L380" s="33">
        <f t="shared" si="189"/>
        <v>4642</v>
      </c>
      <c r="M380" s="33">
        <f t="shared" si="190"/>
        <v>4642</v>
      </c>
      <c r="N380" s="22">
        <f t="shared" si="1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188"/>
        <v>4</v>
      </c>
      <c r="J381" s="5"/>
      <c r="K381" s="5"/>
      <c r="L381" s="33">
        <f t="shared" si="189"/>
        <v>470</v>
      </c>
      <c r="M381" s="33">
        <f t="shared" si="190"/>
        <v>470</v>
      </c>
      <c r="N381" s="22">
        <f t="shared" si="1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188"/>
        <v>20</v>
      </c>
      <c r="J382" s="5"/>
      <c r="K382" s="5"/>
      <c r="L382" s="33">
        <f t="shared" si="189"/>
        <v>2351</v>
      </c>
      <c r="M382" s="33">
        <f t="shared" si="190"/>
        <v>2351</v>
      </c>
      <c r="N382" s="22">
        <f t="shared" si="1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188"/>
        <v>8</v>
      </c>
      <c r="J383" s="5"/>
      <c r="K383" s="5"/>
      <c r="L383" s="33">
        <f t="shared" si="189"/>
        <v>1361</v>
      </c>
      <c r="M383" s="33">
        <f t="shared" si="190"/>
        <v>1361</v>
      </c>
      <c r="N383" s="22">
        <f t="shared" si="1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188"/>
        <v>18</v>
      </c>
      <c r="J384" s="5"/>
      <c r="K384" s="5"/>
      <c r="L384" s="33">
        <f t="shared" si="189"/>
        <v>2054</v>
      </c>
      <c r="M384" s="33">
        <f t="shared" si="190"/>
        <v>2054</v>
      </c>
      <c r="N384" s="22">
        <f t="shared" si="1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188"/>
        <v>1000.0000000000009</v>
      </c>
      <c r="J385" s="5"/>
      <c r="K385" s="5"/>
      <c r="L385" s="33">
        <f t="shared" si="189"/>
        <v>1160.700000000001</v>
      </c>
      <c r="M385" s="33">
        <f t="shared" si="190"/>
        <v>1160.700000000001</v>
      </c>
      <c r="N385" s="22">
        <f t="shared" si="1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192">C386*(1-G386)</f>
        <v>4.0000000000000036</v>
      </c>
      <c r="J386" s="5"/>
      <c r="K386" s="5"/>
      <c r="L386" s="33">
        <f t="shared" ref="L386:L411" si="193">D386*(1-G386)</f>
        <v>589.05000000000052</v>
      </c>
      <c r="M386" s="33">
        <f t="shared" ref="M386:M411" si="194">IF(J386="",L386,(D386/C386)*J386)</f>
        <v>589.05000000000052</v>
      </c>
      <c r="N386" s="22">
        <f t="shared" ref="N386:N411" si="1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192"/>
        <v>2.0000000000000018</v>
      </c>
      <c r="J387" s="5"/>
      <c r="K387" s="5"/>
      <c r="L387" s="33">
        <f t="shared" si="193"/>
        <v>340.15000000000032</v>
      </c>
      <c r="M387" s="33">
        <f t="shared" si="194"/>
        <v>340.15000000000032</v>
      </c>
      <c r="N387" s="22">
        <f t="shared" si="1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192"/>
        <v>6.0000000000000053</v>
      </c>
      <c r="J388" s="5"/>
      <c r="K388" s="5"/>
      <c r="L388" s="33">
        <f t="shared" si="193"/>
        <v>684.75000000000057</v>
      </c>
      <c r="M388" s="33">
        <f t="shared" si="194"/>
        <v>684.75000000000057</v>
      </c>
      <c r="N388" s="22">
        <f t="shared" si="1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192"/>
        <v>40</v>
      </c>
      <c r="J389" s="5"/>
      <c r="K389" s="5"/>
      <c r="L389" s="33">
        <f t="shared" si="193"/>
        <v>5891</v>
      </c>
      <c r="M389" s="33">
        <f t="shared" si="194"/>
        <v>5891</v>
      </c>
      <c r="N389" s="22">
        <f t="shared" si="1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192"/>
        <v>20</v>
      </c>
      <c r="J390" s="5"/>
      <c r="K390" s="5"/>
      <c r="L390" s="33">
        <f t="shared" si="193"/>
        <v>2282</v>
      </c>
      <c r="M390" s="33">
        <f t="shared" si="194"/>
        <v>2282</v>
      </c>
      <c r="N390" s="22">
        <f t="shared" si="1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192"/>
        <v>40</v>
      </c>
      <c r="J391" s="5"/>
      <c r="K391" s="5"/>
      <c r="L391" s="33">
        <f t="shared" si="193"/>
        <v>5891</v>
      </c>
      <c r="M391" s="33">
        <f t="shared" si="194"/>
        <v>5891</v>
      </c>
      <c r="N391" s="22">
        <f t="shared" si="1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192"/>
        <v>20</v>
      </c>
      <c r="J392" s="5"/>
      <c r="K392" s="5"/>
      <c r="L392" s="33">
        <f t="shared" si="193"/>
        <v>3401</v>
      </c>
      <c r="M392" s="33">
        <f t="shared" si="194"/>
        <v>3401</v>
      </c>
      <c r="N392" s="22">
        <f t="shared" si="1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192"/>
        <v>20</v>
      </c>
      <c r="J393" s="5"/>
      <c r="K393" s="5"/>
      <c r="L393" s="33">
        <f t="shared" si="193"/>
        <v>2282</v>
      </c>
      <c r="M393" s="33">
        <f t="shared" si="194"/>
        <v>2282</v>
      </c>
      <c r="N393" s="22">
        <f t="shared" si="1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192"/>
        <v>20</v>
      </c>
      <c r="J394" s="5"/>
      <c r="K394" s="5"/>
      <c r="L394" s="33">
        <f t="shared" si="193"/>
        <v>2945</v>
      </c>
      <c r="M394" s="33">
        <f t="shared" si="194"/>
        <v>2945</v>
      </c>
      <c r="N394" s="22">
        <f t="shared" si="1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192"/>
        <v>8</v>
      </c>
      <c r="J395" s="5"/>
      <c r="K395" s="5"/>
      <c r="L395" s="33">
        <f t="shared" si="193"/>
        <v>1361</v>
      </c>
      <c r="M395" s="33">
        <f t="shared" si="194"/>
        <v>1361</v>
      </c>
      <c r="N395" s="22">
        <f t="shared" si="1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192"/>
        <v>20</v>
      </c>
      <c r="J396" s="5"/>
      <c r="K396" s="5"/>
      <c r="L396" s="33">
        <f t="shared" si="193"/>
        <v>2282</v>
      </c>
      <c r="M396" s="33">
        <f t="shared" si="194"/>
        <v>2282</v>
      </c>
      <c r="N396" s="22">
        <f t="shared" si="1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192"/>
        <v>20</v>
      </c>
      <c r="J397" s="5"/>
      <c r="K397" s="5"/>
      <c r="L397" s="33">
        <f t="shared" si="193"/>
        <v>2945</v>
      </c>
      <c r="M397" s="33">
        <f t="shared" si="194"/>
        <v>2945</v>
      </c>
      <c r="N397" s="22">
        <f t="shared" si="1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192"/>
        <v>8</v>
      </c>
      <c r="J398" s="5"/>
      <c r="K398" s="5"/>
      <c r="L398" s="33">
        <f t="shared" si="193"/>
        <v>1361</v>
      </c>
      <c r="M398" s="33">
        <f t="shared" si="194"/>
        <v>1361</v>
      </c>
      <c r="N398" s="22">
        <f t="shared" si="1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192"/>
        <v>20</v>
      </c>
      <c r="J399" s="5"/>
      <c r="K399" s="5"/>
      <c r="L399" s="33">
        <f t="shared" si="193"/>
        <v>2282</v>
      </c>
      <c r="M399" s="33">
        <f t="shared" si="194"/>
        <v>2282</v>
      </c>
      <c r="N399" s="22">
        <f t="shared" si="1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192"/>
        <v>18</v>
      </c>
      <c r="J400" s="5"/>
      <c r="K400" s="5"/>
      <c r="L400" s="33">
        <f t="shared" si="193"/>
        <v>2651</v>
      </c>
      <c r="M400" s="33">
        <f t="shared" si="194"/>
        <v>2651</v>
      </c>
      <c r="N400" s="22">
        <f t="shared" si="1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192"/>
        <v>8</v>
      </c>
      <c r="J401" s="5"/>
      <c r="K401" s="5"/>
      <c r="L401" s="33">
        <f t="shared" si="193"/>
        <v>1361</v>
      </c>
      <c r="M401" s="33">
        <f t="shared" si="194"/>
        <v>1361</v>
      </c>
      <c r="N401" s="22">
        <f t="shared" si="1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192"/>
        <v>18</v>
      </c>
      <c r="J402" s="5"/>
      <c r="K402" s="5"/>
      <c r="L402" s="33">
        <f t="shared" si="193"/>
        <v>2054</v>
      </c>
      <c r="M402" s="33">
        <f t="shared" si="194"/>
        <v>2054</v>
      </c>
      <c r="N402" s="22">
        <f t="shared" si="1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192"/>
        <v>24</v>
      </c>
      <c r="J403" s="5"/>
      <c r="K403" s="5"/>
      <c r="L403" s="33">
        <f t="shared" si="193"/>
        <v>3594</v>
      </c>
      <c r="M403" s="33">
        <f t="shared" si="194"/>
        <v>3594</v>
      </c>
      <c r="N403" s="22">
        <f t="shared" si="1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192"/>
        <v>24</v>
      </c>
      <c r="J404" s="5"/>
      <c r="K404" s="5"/>
      <c r="L404" s="33">
        <f t="shared" si="193"/>
        <v>4150</v>
      </c>
      <c r="M404" s="33">
        <f t="shared" si="194"/>
        <v>4150</v>
      </c>
      <c r="N404" s="22">
        <f t="shared" si="1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192"/>
        <v>10</v>
      </c>
      <c r="J405" s="5"/>
      <c r="K405" s="5"/>
      <c r="L405" s="33">
        <f t="shared" si="193"/>
        <v>1160</v>
      </c>
      <c r="M405" s="33">
        <f t="shared" si="194"/>
        <v>1160</v>
      </c>
      <c r="N405" s="22">
        <f t="shared" si="1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192"/>
        <v>2</v>
      </c>
      <c r="J406" s="5"/>
      <c r="K406" s="5"/>
      <c r="L406" s="33">
        <f t="shared" si="193"/>
        <v>303</v>
      </c>
      <c r="M406" s="33">
        <f t="shared" si="194"/>
        <v>303</v>
      </c>
      <c r="N406" s="22">
        <f t="shared" si="1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192"/>
        <v>4</v>
      </c>
      <c r="J407" s="5"/>
      <c r="K407" s="5"/>
      <c r="L407" s="33">
        <f t="shared" si="193"/>
        <v>701</v>
      </c>
      <c r="M407" s="33">
        <f t="shared" si="194"/>
        <v>701</v>
      </c>
      <c r="N407" s="22">
        <f t="shared" si="1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192"/>
        <v>4</v>
      </c>
      <c r="J408" s="5"/>
      <c r="K408" s="5"/>
      <c r="L408" s="33">
        <f t="shared" si="193"/>
        <v>470</v>
      </c>
      <c r="M408" s="33">
        <f t="shared" si="194"/>
        <v>470</v>
      </c>
      <c r="N408" s="22">
        <f t="shared" si="1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192"/>
        <v>18</v>
      </c>
      <c r="J409" s="5"/>
      <c r="K409" s="5"/>
      <c r="L409" s="33">
        <f t="shared" si="193"/>
        <v>2651</v>
      </c>
      <c r="M409" s="33">
        <f t="shared" si="194"/>
        <v>2651</v>
      </c>
      <c r="N409" s="22">
        <f t="shared" si="1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192"/>
        <v>8</v>
      </c>
      <c r="J410" s="5"/>
      <c r="K410" s="5"/>
      <c r="L410" s="33">
        <f t="shared" si="193"/>
        <v>1361</v>
      </c>
      <c r="M410" s="33">
        <f t="shared" si="194"/>
        <v>1361</v>
      </c>
      <c r="N410" s="22">
        <f t="shared" si="1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192"/>
        <v>18</v>
      </c>
      <c r="J411" s="5"/>
      <c r="K411" s="5"/>
      <c r="L411" s="33">
        <f t="shared" si="193"/>
        <v>2054</v>
      </c>
      <c r="M411" s="33">
        <f t="shared" si="194"/>
        <v>2054</v>
      </c>
      <c r="N411" s="22">
        <f t="shared" si="1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 t="shared" ref="I412:I414" si="196">C412*(1-G412)</f>
        <v>126000</v>
      </c>
      <c r="J412" s="5"/>
      <c r="K412" s="5"/>
      <c r="L412" s="33">
        <f t="shared" ref="L412:L414" si="197">D412*(1-G412)</f>
        <v>146246</v>
      </c>
      <c r="M412" s="33">
        <f t="shared" ref="M412:M414" si="198">IF(J412="",L412,(D412/C412)*J412)</f>
        <v>146246</v>
      </c>
      <c r="N412" s="22">
        <f t="shared" ref="N412:N414" si="199"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 t="shared" si="196"/>
        <v>1.2000000000000011</v>
      </c>
      <c r="J413" s="5"/>
      <c r="K413" s="5"/>
      <c r="L413" s="33">
        <f t="shared" si="197"/>
        <v>151.80000000000013</v>
      </c>
      <c r="M413" s="33">
        <f t="shared" si="198"/>
        <v>151.80000000000013</v>
      </c>
      <c r="N413" s="22">
        <f t="shared" si="199"/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 t="shared" si="196"/>
        <v>2.0000000000000018</v>
      </c>
      <c r="J414" s="5"/>
      <c r="K414" s="5"/>
      <c r="L414" s="33">
        <f t="shared" si="197"/>
        <v>250.15000000000023</v>
      </c>
      <c r="M414" s="33">
        <f t="shared" si="198"/>
        <v>250.15000000000023</v>
      </c>
      <c r="N414" s="22">
        <f t="shared" si="199"/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200">C416*(1-G416)</f>
        <v>16</v>
      </c>
      <c r="J416" s="5"/>
      <c r="K416" s="5"/>
      <c r="L416" s="33">
        <f t="shared" ref="L416:L444" si="201">D416*(1-G416)</f>
        <v>1826</v>
      </c>
      <c r="M416" s="33">
        <f t="shared" ref="M416:M444" si="202">IF(J416="",L416,(D416/C416)*J416)</f>
        <v>1826</v>
      </c>
      <c r="N416" s="22">
        <f t="shared" ref="N416:N444" si="203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200"/>
        <v>16</v>
      </c>
      <c r="J417" s="5"/>
      <c r="K417" s="5"/>
      <c r="L417" s="33">
        <f t="shared" si="201"/>
        <v>1826</v>
      </c>
      <c r="M417" s="33">
        <f t="shared" si="202"/>
        <v>1826</v>
      </c>
      <c r="N417" s="22">
        <f t="shared" si="203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200"/>
        <v>20</v>
      </c>
      <c r="J418" s="5"/>
      <c r="K418" s="5"/>
      <c r="L418" s="33">
        <f t="shared" si="201"/>
        <v>2351</v>
      </c>
      <c r="M418" s="33">
        <f t="shared" si="202"/>
        <v>2351</v>
      </c>
      <c r="N418" s="22">
        <f t="shared" si="203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200"/>
        <v>8</v>
      </c>
      <c r="J419" s="5"/>
      <c r="K419" s="5"/>
      <c r="L419" s="33">
        <f t="shared" si="201"/>
        <v>940</v>
      </c>
      <c r="M419" s="33">
        <f t="shared" si="202"/>
        <v>940</v>
      </c>
      <c r="N419" s="22">
        <f t="shared" si="203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200"/>
        <v>32</v>
      </c>
      <c r="J420" s="5"/>
      <c r="K420" s="5"/>
      <c r="L420" s="33">
        <f t="shared" si="201"/>
        <v>4048</v>
      </c>
      <c r="M420" s="33">
        <f t="shared" si="202"/>
        <v>4048</v>
      </c>
      <c r="N420" s="22">
        <f t="shared" si="203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200"/>
        <v>32</v>
      </c>
      <c r="J421" s="5"/>
      <c r="K421" s="5"/>
      <c r="L421" s="33">
        <f t="shared" si="201"/>
        <v>4048</v>
      </c>
      <c r="M421" s="33">
        <f t="shared" si="202"/>
        <v>4048</v>
      </c>
      <c r="N421" s="22">
        <f t="shared" si="203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200"/>
        <v>45850</v>
      </c>
      <c r="J422" s="5"/>
      <c r="K422" s="5"/>
      <c r="L422" s="33">
        <f t="shared" si="201"/>
        <v>53217</v>
      </c>
      <c r="M422" s="33">
        <f t="shared" si="202"/>
        <v>53217</v>
      </c>
      <c r="N422" s="22">
        <f t="shared" si="203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200"/>
        <v>32</v>
      </c>
      <c r="J423" s="5"/>
      <c r="K423" s="5"/>
      <c r="L423" s="33">
        <f t="shared" si="201"/>
        <v>4712</v>
      </c>
      <c r="M423" s="33">
        <f t="shared" si="202"/>
        <v>4712</v>
      </c>
      <c r="N423" s="22">
        <f t="shared" si="203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200"/>
        <v>16</v>
      </c>
      <c r="J424" s="5"/>
      <c r="K424" s="5"/>
      <c r="L424" s="33">
        <f t="shared" si="201"/>
        <v>2427</v>
      </c>
      <c r="M424" s="33">
        <f t="shared" si="202"/>
        <v>2427</v>
      </c>
      <c r="N424" s="22">
        <f t="shared" si="203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200"/>
        <v>4.0000000000000036</v>
      </c>
      <c r="J425" s="5"/>
      <c r="K425" s="5"/>
      <c r="L425" s="33">
        <f t="shared" si="201"/>
        <v>521.2000000000005</v>
      </c>
      <c r="M425" s="33">
        <f t="shared" si="202"/>
        <v>521.2000000000005</v>
      </c>
      <c r="N425" s="22">
        <f t="shared" si="203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200"/>
        <v>8.0000000000000071</v>
      </c>
      <c r="J426" s="5"/>
      <c r="K426" s="5"/>
      <c r="L426" s="33">
        <f t="shared" si="201"/>
        <v>940.35000000000082</v>
      </c>
      <c r="M426" s="33">
        <f t="shared" si="202"/>
        <v>940.35000000000082</v>
      </c>
      <c r="N426" s="22">
        <f t="shared" si="203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200"/>
        <v>8</v>
      </c>
      <c r="J427" s="5"/>
      <c r="K427" s="5"/>
      <c r="L427" s="33">
        <f t="shared" si="201"/>
        <v>1042</v>
      </c>
      <c r="M427" s="33">
        <f t="shared" si="202"/>
        <v>1042</v>
      </c>
      <c r="N427" s="22">
        <f t="shared" si="203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200"/>
        <v>8</v>
      </c>
      <c r="J428" s="5"/>
      <c r="K428" s="5"/>
      <c r="L428" s="33">
        <f t="shared" si="201"/>
        <v>1042</v>
      </c>
      <c r="M428" s="33">
        <f t="shared" si="202"/>
        <v>1042</v>
      </c>
      <c r="N428" s="22">
        <f t="shared" si="203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200"/>
        <v>8</v>
      </c>
      <c r="J429" s="5"/>
      <c r="K429" s="5"/>
      <c r="L429" s="33">
        <f t="shared" si="201"/>
        <v>1042</v>
      </c>
      <c r="M429" s="33">
        <f t="shared" si="202"/>
        <v>1042</v>
      </c>
      <c r="N429" s="22">
        <f t="shared" si="203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200"/>
        <v>8</v>
      </c>
      <c r="J430" s="5"/>
      <c r="K430" s="5"/>
      <c r="L430" s="33">
        <f t="shared" si="201"/>
        <v>1042</v>
      </c>
      <c r="M430" s="33">
        <f t="shared" si="202"/>
        <v>1042</v>
      </c>
      <c r="N430" s="22">
        <f t="shared" si="203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200"/>
        <v>14</v>
      </c>
      <c r="J431" s="5"/>
      <c r="K431" s="5"/>
      <c r="L431" s="33">
        <f t="shared" si="201"/>
        <v>1824.1999999999998</v>
      </c>
      <c r="M431" s="33">
        <f t="shared" si="202"/>
        <v>1824.1999999999998</v>
      </c>
      <c r="N431" s="22">
        <f t="shared" si="203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200"/>
        <v>56</v>
      </c>
      <c r="J432" s="5"/>
      <c r="K432" s="5"/>
      <c r="L432" s="33">
        <f t="shared" si="201"/>
        <v>6582.45</v>
      </c>
      <c r="M432" s="33">
        <f t="shared" si="202"/>
        <v>6582.45</v>
      </c>
      <c r="N432" s="22">
        <f t="shared" si="203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200"/>
        <v>8</v>
      </c>
      <c r="J433" s="5"/>
      <c r="K433" s="5"/>
      <c r="L433" s="33">
        <f t="shared" si="201"/>
        <v>1042</v>
      </c>
      <c r="M433" s="33">
        <f t="shared" si="202"/>
        <v>1042</v>
      </c>
      <c r="N433" s="22">
        <f t="shared" si="203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200"/>
        <v>40</v>
      </c>
      <c r="J434" s="5"/>
      <c r="K434" s="5"/>
      <c r="L434" s="33">
        <f t="shared" si="201"/>
        <v>4702</v>
      </c>
      <c r="M434" s="33">
        <f t="shared" si="202"/>
        <v>4702</v>
      </c>
      <c r="N434" s="22">
        <f t="shared" si="203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200"/>
        <v>8</v>
      </c>
      <c r="J435" s="5"/>
      <c r="K435" s="5"/>
      <c r="L435" s="33">
        <f t="shared" si="201"/>
        <v>1042</v>
      </c>
      <c r="M435" s="33">
        <f t="shared" si="202"/>
        <v>1042</v>
      </c>
      <c r="N435" s="22">
        <f t="shared" si="203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200"/>
        <v>8</v>
      </c>
      <c r="J436" s="5"/>
      <c r="K436" s="5"/>
      <c r="L436" s="33">
        <f t="shared" si="201"/>
        <v>1042</v>
      </c>
      <c r="M436" s="33">
        <f t="shared" si="202"/>
        <v>1042</v>
      </c>
      <c r="N436" s="22">
        <f t="shared" si="203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200"/>
        <v>8</v>
      </c>
      <c r="J437" s="5"/>
      <c r="K437" s="5"/>
      <c r="L437" s="33">
        <f t="shared" si="201"/>
        <v>1042</v>
      </c>
      <c r="M437" s="33">
        <f t="shared" si="202"/>
        <v>1042</v>
      </c>
      <c r="N437" s="22">
        <f t="shared" si="203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200"/>
        <v>8</v>
      </c>
      <c r="J438" s="5"/>
      <c r="K438" s="5"/>
      <c r="L438" s="33">
        <f t="shared" si="201"/>
        <v>1042</v>
      </c>
      <c r="M438" s="33">
        <f t="shared" si="202"/>
        <v>1042</v>
      </c>
      <c r="N438" s="22">
        <f t="shared" si="203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200"/>
        <v>18.000000000000004</v>
      </c>
      <c r="J439" s="5"/>
      <c r="K439" s="5"/>
      <c r="L439" s="33">
        <f t="shared" si="201"/>
        <v>2345.4000000000005</v>
      </c>
      <c r="M439" s="33">
        <f t="shared" si="202"/>
        <v>2345.4000000000005</v>
      </c>
      <c r="N439" s="22">
        <f t="shared" si="203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200"/>
        <v>24.000000000000004</v>
      </c>
      <c r="J440" s="5"/>
      <c r="K440" s="5"/>
      <c r="L440" s="33">
        <f t="shared" si="201"/>
        <v>2821.2000000000003</v>
      </c>
      <c r="M440" s="33">
        <f t="shared" si="202"/>
        <v>2821.2000000000003</v>
      </c>
      <c r="N440" s="22">
        <f t="shared" si="203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200"/>
        <v>4</v>
      </c>
      <c r="J441" s="5"/>
      <c r="K441" s="5"/>
      <c r="L441" s="33">
        <f t="shared" si="201"/>
        <v>521</v>
      </c>
      <c r="M441" s="33">
        <f t="shared" si="202"/>
        <v>521</v>
      </c>
      <c r="N441" s="22">
        <f t="shared" si="203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200"/>
        <v>4</v>
      </c>
      <c r="J442" s="5"/>
      <c r="K442" s="5"/>
      <c r="L442" s="33">
        <f t="shared" si="201"/>
        <v>521</v>
      </c>
      <c r="M442" s="33">
        <f t="shared" si="202"/>
        <v>521</v>
      </c>
      <c r="N442" s="22">
        <f t="shared" si="203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200"/>
        <v>4</v>
      </c>
      <c r="J443" s="5"/>
      <c r="K443" s="5"/>
      <c r="L443" s="33">
        <f t="shared" si="201"/>
        <v>521</v>
      </c>
      <c r="M443" s="33">
        <f t="shared" si="202"/>
        <v>521</v>
      </c>
      <c r="N443" s="22">
        <f t="shared" si="203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200"/>
        <v>4</v>
      </c>
      <c r="J444" s="5"/>
      <c r="K444" s="5"/>
      <c r="L444" s="33">
        <f t="shared" si="201"/>
        <v>521</v>
      </c>
      <c r="M444" s="33">
        <f t="shared" si="202"/>
        <v>521</v>
      </c>
      <c r="N444" s="22">
        <f t="shared" si="203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204">C445*(1-G445)</f>
        <v>23.999999999999993</v>
      </c>
      <c r="J445" s="5"/>
      <c r="K445" s="5"/>
      <c r="L445" s="33">
        <f t="shared" ref="L445:L487" si="205">D445*(1-G445)</f>
        <v>3036.1999999999994</v>
      </c>
      <c r="M445" s="33">
        <f t="shared" ref="M445:M487" si="206">IF(J445="",L445,(D445/C445)*J445)</f>
        <v>3036.1999999999994</v>
      </c>
      <c r="N445" s="22">
        <f t="shared" ref="N445:N487" si="207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204"/>
        <v>29.999999999999993</v>
      </c>
      <c r="J446" s="5"/>
      <c r="K446" s="5"/>
      <c r="L446" s="33">
        <f t="shared" si="205"/>
        <v>3423.6999999999994</v>
      </c>
      <c r="M446" s="33">
        <f t="shared" si="206"/>
        <v>3423.6999999999994</v>
      </c>
      <c r="N446" s="22">
        <f t="shared" si="207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204"/>
        <v>20</v>
      </c>
      <c r="J447" s="5"/>
      <c r="K447" s="5"/>
      <c r="L447" s="33">
        <f t="shared" si="205"/>
        <v>2530</v>
      </c>
      <c r="M447" s="33">
        <f t="shared" si="206"/>
        <v>2530</v>
      </c>
      <c r="N447" s="22">
        <f t="shared" si="207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204"/>
        <v>20</v>
      </c>
      <c r="J448" s="5"/>
      <c r="K448" s="5"/>
      <c r="L448" s="33">
        <f t="shared" si="205"/>
        <v>2282</v>
      </c>
      <c r="M448" s="33">
        <f t="shared" si="206"/>
        <v>2282</v>
      </c>
      <c r="N448" s="22">
        <f t="shared" si="207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204"/>
        <v>4</v>
      </c>
      <c r="J449" s="5"/>
      <c r="K449" s="5"/>
      <c r="L449" s="33">
        <f t="shared" si="205"/>
        <v>521</v>
      </c>
      <c r="M449" s="33">
        <f t="shared" si="206"/>
        <v>521</v>
      </c>
      <c r="N449" s="22">
        <f t="shared" si="207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204"/>
        <v>4</v>
      </c>
      <c r="J450" s="5"/>
      <c r="K450" s="5"/>
      <c r="L450" s="33">
        <f t="shared" si="205"/>
        <v>521</v>
      </c>
      <c r="M450" s="33">
        <f t="shared" si="206"/>
        <v>521</v>
      </c>
      <c r="N450" s="22">
        <f t="shared" si="207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204"/>
        <v>40</v>
      </c>
      <c r="J451" s="5"/>
      <c r="K451" s="5"/>
      <c r="L451" s="33">
        <f t="shared" si="205"/>
        <v>4702</v>
      </c>
      <c r="M451" s="33">
        <f t="shared" si="206"/>
        <v>4702</v>
      </c>
      <c r="N451" s="22">
        <f t="shared" si="207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204"/>
        <v>40</v>
      </c>
      <c r="J452" s="5"/>
      <c r="K452" s="5"/>
      <c r="L452" s="33">
        <f t="shared" si="205"/>
        <v>5212</v>
      </c>
      <c r="M452" s="33">
        <f t="shared" si="206"/>
        <v>5212</v>
      </c>
      <c r="N452" s="22">
        <f t="shared" si="207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204"/>
        <v>40</v>
      </c>
      <c r="J453" s="5"/>
      <c r="K453" s="5"/>
      <c r="L453" s="33">
        <f t="shared" si="205"/>
        <v>5212</v>
      </c>
      <c r="M453" s="33">
        <f t="shared" si="206"/>
        <v>5212</v>
      </c>
      <c r="N453" s="22">
        <f t="shared" si="207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204"/>
        <v>20</v>
      </c>
      <c r="J454" s="5"/>
      <c r="K454" s="5"/>
      <c r="L454" s="33">
        <f t="shared" si="205"/>
        <v>2351</v>
      </c>
      <c r="M454" s="33">
        <f t="shared" si="206"/>
        <v>2351</v>
      </c>
      <c r="N454" s="22">
        <f t="shared" si="207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204"/>
        <v>20</v>
      </c>
      <c r="J455" s="5"/>
      <c r="K455" s="5"/>
      <c r="L455" s="33">
        <f t="shared" si="205"/>
        <v>2606</v>
      </c>
      <c r="M455" s="33">
        <f t="shared" si="206"/>
        <v>2606</v>
      </c>
      <c r="N455" s="22">
        <f t="shared" si="207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204"/>
        <v>20</v>
      </c>
      <c r="J456" s="5"/>
      <c r="K456" s="5"/>
      <c r="L456" s="33">
        <f t="shared" si="205"/>
        <v>2606</v>
      </c>
      <c r="M456" s="33">
        <f t="shared" si="206"/>
        <v>2606</v>
      </c>
      <c r="N456" s="22">
        <f t="shared" si="207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204"/>
        <v>20</v>
      </c>
      <c r="J457" s="5"/>
      <c r="K457" s="5"/>
      <c r="L457" s="33">
        <f t="shared" si="205"/>
        <v>2351</v>
      </c>
      <c r="M457" s="33">
        <f t="shared" si="206"/>
        <v>2351</v>
      </c>
      <c r="N457" s="22">
        <f t="shared" si="207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204"/>
        <v>20</v>
      </c>
      <c r="J458" s="5"/>
      <c r="K458" s="5"/>
      <c r="L458" s="33">
        <f t="shared" si="205"/>
        <v>2606</v>
      </c>
      <c r="M458" s="33">
        <f t="shared" si="206"/>
        <v>2606</v>
      </c>
      <c r="N458" s="22">
        <f t="shared" si="207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204"/>
        <v>20</v>
      </c>
      <c r="J459" s="5"/>
      <c r="K459" s="5"/>
      <c r="L459" s="33">
        <f t="shared" si="205"/>
        <v>2606</v>
      </c>
      <c r="M459" s="33">
        <f t="shared" si="206"/>
        <v>2606</v>
      </c>
      <c r="N459" s="22">
        <f t="shared" si="207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204"/>
        <v>10</v>
      </c>
      <c r="J460" s="5"/>
      <c r="K460" s="5"/>
      <c r="L460" s="33">
        <f t="shared" si="205"/>
        <v>1175</v>
      </c>
      <c r="M460" s="33">
        <f t="shared" si="206"/>
        <v>1175</v>
      </c>
      <c r="N460" s="22">
        <f t="shared" si="207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204"/>
        <v>10</v>
      </c>
      <c r="J461" s="5"/>
      <c r="K461" s="5"/>
      <c r="L461" s="33">
        <f t="shared" si="205"/>
        <v>1303</v>
      </c>
      <c r="M461" s="33">
        <f t="shared" si="206"/>
        <v>1303</v>
      </c>
      <c r="N461" s="22">
        <f t="shared" si="207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204"/>
        <v>10</v>
      </c>
      <c r="J462" s="5"/>
      <c r="K462" s="5"/>
      <c r="L462" s="33">
        <f t="shared" si="205"/>
        <v>1303</v>
      </c>
      <c r="M462" s="33">
        <f t="shared" si="206"/>
        <v>1303</v>
      </c>
      <c r="N462" s="22">
        <f t="shared" si="207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204"/>
        <v>40</v>
      </c>
      <c r="J463" s="5"/>
      <c r="K463" s="5"/>
      <c r="L463" s="33">
        <f t="shared" si="205"/>
        <v>4702</v>
      </c>
      <c r="M463" s="33">
        <f t="shared" si="206"/>
        <v>4702</v>
      </c>
      <c r="N463" s="22">
        <f t="shared" si="207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204"/>
        <v>40</v>
      </c>
      <c r="J464" s="5"/>
      <c r="K464" s="5"/>
      <c r="L464" s="33">
        <f t="shared" si="205"/>
        <v>5212</v>
      </c>
      <c r="M464" s="33">
        <f t="shared" si="206"/>
        <v>5212</v>
      </c>
      <c r="N464" s="22">
        <f t="shared" si="207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204"/>
        <v>40</v>
      </c>
      <c r="J465" s="5"/>
      <c r="K465" s="5"/>
      <c r="L465" s="33">
        <f t="shared" si="205"/>
        <v>5212</v>
      </c>
      <c r="M465" s="33">
        <f t="shared" si="206"/>
        <v>5212</v>
      </c>
      <c r="N465" s="22">
        <f t="shared" si="207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204"/>
        <v>20</v>
      </c>
      <c r="J466" s="5"/>
      <c r="K466" s="5"/>
      <c r="L466" s="33">
        <f t="shared" si="205"/>
        <v>2606</v>
      </c>
      <c r="M466" s="33">
        <f t="shared" si="206"/>
        <v>2606</v>
      </c>
      <c r="N466" s="22">
        <f t="shared" si="207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204"/>
        <v>20</v>
      </c>
      <c r="J467" s="5"/>
      <c r="K467" s="5"/>
      <c r="L467" s="33">
        <f t="shared" si="205"/>
        <v>2606</v>
      </c>
      <c r="M467" s="33">
        <f t="shared" si="206"/>
        <v>2606</v>
      </c>
      <c r="N467" s="22">
        <f t="shared" si="207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204"/>
        <v>20</v>
      </c>
      <c r="J468" s="5"/>
      <c r="K468" s="5"/>
      <c r="L468" s="33">
        <f t="shared" si="205"/>
        <v>2606</v>
      </c>
      <c r="M468" s="33">
        <f t="shared" si="206"/>
        <v>2606</v>
      </c>
      <c r="N468" s="22">
        <f t="shared" si="207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204"/>
        <v>20</v>
      </c>
      <c r="J469" s="5"/>
      <c r="K469" s="5"/>
      <c r="L469" s="33">
        <f t="shared" si="205"/>
        <v>2606</v>
      </c>
      <c r="M469" s="33">
        <f t="shared" si="206"/>
        <v>2606</v>
      </c>
      <c r="N469" s="22">
        <f t="shared" si="207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204"/>
        <v>20</v>
      </c>
      <c r="J470" s="5"/>
      <c r="K470" s="5"/>
      <c r="L470" s="33">
        <f t="shared" si="205"/>
        <v>2606</v>
      </c>
      <c r="M470" s="33">
        <f t="shared" si="206"/>
        <v>2606</v>
      </c>
      <c r="N470" s="22">
        <f t="shared" si="207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204"/>
        <v>20</v>
      </c>
      <c r="J471" s="5"/>
      <c r="K471" s="5"/>
      <c r="L471" s="33">
        <f t="shared" si="205"/>
        <v>2606</v>
      </c>
      <c r="M471" s="33">
        <f t="shared" si="206"/>
        <v>2606</v>
      </c>
      <c r="N471" s="22">
        <f t="shared" si="207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204"/>
        <v>10</v>
      </c>
      <c r="J472" s="5"/>
      <c r="K472" s="5"/>
      <c r="L472" s="33">
        <f t="shared" si="205"/>
        <v>1303</v>
      </c>
      <c r="M472" s="33">
        <f t="shared" si="206"/>
        <v>1303</v>
      </c>
      <c r="N472" s="22">
        <f t="shared" si="207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204"/>
        <v>10</v>
      </c>
      <c r="J473" s="5"/>
      <c r="K473" s="5"/>
      <c r="L473" s="33">
        <f t="shared" si="205"/>
        <v>1303</v>
      </c>
      <c r="M473" s="33">
        <f t="shared" si="206"/>
        <v>1303</v>
      </c>
      <c r="N473" s="22">
        <f t="shared" si="207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204"/>
        <v>20</v>
      </c>
      <c r="J474" s="5"/>
      <c r="K474" s="5"/>
      <c r="L474" s="33">
        <f t="shared" si="205"/>
        <v>2606</v>
      </c>
      <c r="M474" s="33">
        <f t="shared" si="206"/>
        <v>2606</v>
      </c>
      <c r="N474" s="22">
        <f t="shared" si="207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204"/>
        <v>20</v>
      </c>
      <c r="J475" s="5"/>
      <c r="K475" s="5"/>
      <c r="L475" s="33">
        <f t="shared" si="205"/>
        <v>2606</v>
      </c>
      <c r="M475" s="33">
        <f t="shared" si="206"/>
        <v>2606</v>
      </c>
      <c r="N475" s="22">
        <f t="shared" si="207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204"/>
        <v>25000</v>
      </c>
      <c r="J476" s="5"/>
      <c r="K476" s="5"/>
      <c r="L476" s="33">
        <f t="shared" si="205"/>
        <v>29017</v>
      </c>
      <c r="M476" s="33">
        <f t="shared" si="206"/>
        <v>29017</v>
      </c>
      <c r="N476" s="22">
        <f t="shared" si="207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204"/>
        <v>50000</v>
      </c>
      <c r="J477" s="5"/>
      <c r="K477" s="5"/>
      <c r="L477" s="33">
        <f t="shared" si="205"/>
        <v>58034</v>
      </c>
      <c r="M477" s="33">
        <f t="shared" si="206"/>
        <v>58034</v>
      </c>
      <c r="N477" s="22">
        <f t="shared" si="207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204"/>
        <v>50000</v>
      </c>
      <c r="J478" s="5"/>
      <c r="K478" s="5"/>
      <c r="L478" s="33">
        <f t="shared" si="205"/>
        <v>58034</v>
      </c>
      <c r="M478" s="33">
        <f t="shared" si="206"/>
        <v>58034</v>
      </c>
      <c r="N478" s="22">
        <f t="shared" si="207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204"/>
        <v>50000</v>
      </c>
      <c r="J479" s="5"/>
      <c r="K479" s="5"/>
      <c r="L479" s="33">
        <f t="shared" si="205"/>
        <v>58034</v>
      </c>
      <c r="M479" s="33">
        <f t="shared" si="206"/>
        <v>58034</v>
      </c>
      <c r="N479" s="22">
        <f t="shared" si="207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204"/>
        <v>10000</v>
      </c>
      <c r="J480" s="5"/>
      <c r="K480" s="5"/>
      <c r="L480" s="33">
        <f t="shared" si="205"/>
        <v>11607</v>
      </c>
      <c r="M480" s="33">
        <f t="shared" si="206"/>
        <v>11607</v>
      </c>
      <c r="N480" s="22">
        <f t="shared" si="207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204"/>
        <v>225000</v>
      </c>
      <c r="J481" s="5"/>
      <c r="K481" s="5"/>
      <c r="L481" s="33">
        <f t="shared" si="205"/>
        <v>261153.75</v>
      </c>
      <c r="M481" s="33">
        <f t="shared" si="206"/>
        <v>261153.75</v>
      </c>
      <c r="N481" s="22">
        <f t="shared" si="207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204"/>
        <v>25000</v>
      </c>
      <c r="J482" s="5"/>
      <c r="K482" s="5"/>
      <c r="L482" s="33">
        <f t="shared" si="205"/>
        <v>29017</v>
      </c>
      <c r="M482" s="33">
        <f t="shared" si="206"/>
        <v>29017</v>
      </c>
      <c r="N482" s="22">
        <f t="shared" si="207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204"/>
        <v>20</v>
      </c>
      <c r="J483" s="5"/>
      <c r="K483" s="5"/>
      <c r="L483" s="33">
        <f t="shared" si="205"/>
        <v>2351</v>
      </c>
      <c r="M483" s="33">
        <f t="shared" si="206"/>
        <v>2351</v>
      </c>
      <c r="N483" s="22">
        <f t="shared" si="207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204"/>
        <v>20</v>
      </c>
      <c r="J484" s="5"/>
      <c r="K484" s="5"/>
      <c r="L484" s="33">
        <f t="shared" si="205"/>
        <v>2606</v>
      </c>
      <c r="M484" s="33">
        <f t="shared" si="206"/>
        <v>2606</v>
      </c>
      <c r="N484" s="22">
        <f t="shared" si="207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204"/>
        <v>40</v>
      </c>
      <c r="J485" s="5"/>
      <c r="K485" s="5"/>
      <c r="L485" s="33">
        <f t="shared" si="205"/>
        <v>4702</v>
      </c>
      <c r="M485" s="33">
        <f t="shared" si="206"/>
        <v>4702</v>
      </c>
      <c r="N485" s="22">
        <f t="shared" si="207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204"/>
        <v>40</v>
      </c>
      <c r="J486" s="5"/>
      <c r="K486" s="5"/>
      <c r="L486" s="33">
        <f t="shared" si="205"/>
        <v>5212</v>
      </c>
      <c r="M486" s="33">
        <f t="shared" si="206"/>
        <v>5212</v>
      </c>
      <c r="N486" s="22">
        <f t="shared" si="207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204"/>
        <v>20</v>
      </c>
      <c r="J487" s="5"/>
      <c r="K487" s="5"/>
      <c r="L487" s="33">
        <f t="shared" si="205"/>
        <v>2351</v>
      </c>
      <c r="M487" s="33">
        <f t="shared" si="206"/>
        <v>2351</v>
      </c>
      <c r="N487" s="22">
        <f t="shared" si="207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208">C488*(1-G488)</f>
        <v>20</v>
      </c>
      <c r="J488" s="5"/>
      <c r="K488" s="5"/>
      <c r="L488" s="33">
        <f t="shared" ref="L488:L499" si="209">D488*(1-G488)</f>
        <v>2606</v>
      </c>
      <c r="M488" s="33">
        <f t="shared" ref="M488:M499" si="210">IF(J488="",L488,(D488/C488)*J488)</f>
        <v>2606</v>
      </c>
      <c r="N488" s="22">
        <f t="shared" ref="N488:N499" si="211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208"/>
        <v>20</v>
      </c>
      <c r="J489" s="5"/>
      <c r="K489" s="5"/>
      <c r="L489" s="33">
        <f t="shared" si="209"/>
        <v>2351</v>
      </c>
      <c r="M489" s="33">
        <f t="shared" si="210"/>
        <v>2351</v>
      </c>
      <c r="N489" s="22">
        <f t="shared" si="211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208"/>
        <v>20</v>
      </c>
      <c r="J490" s="5"/>
      <c r="K490" s="5"/>
      <c r="L490" s="33">
        <f t="shared" si="209"/>
        <v>2606</v>
      </c>
      <c r="M490" s="33">
        <f t="shared" si="210"/>
        <v>2606</v>
      </c>
      <c r="N490" s="22">
        <f t="shared" si="211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208"/>
        <v>10</v>
      </c>
      <c r="J491" s="5"/>
      <c r="K491" s="5"/>
      <c r="L491" s="33">
        <f t="shared" si="209"/>
        <v>1175</v>
      </c>
      <c r="M491" s="33">
        <f t="shared" si="210"/>
        <v>1175</v>
      </c>
      <c r="N491" s="22">
        <f t="shared" si="211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208"/>
        <v>10</v>
      </c>
      <c r="J492" s="5"/>
      <c r="K492" s="5"/>
      <c r="L492" s="33">
        <f t="shared" si="209"/>
        <v>1303</v>
      </c>
      <c r="M492" s="33">
        <f t="shared" si="210"/>
        <v>1303</v>
      </c>
      <c r="N492" s="22">
        <f t="shared" si="211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208"/>
        <v>80</v>
      </c>
      <c r="J493" s="5"/>
      <c r="K493" s="5"/>
      <c r="L493" s="33">
        <f t="shared" si="209"/>
        <v>9404</v>
      </c>
      <c r="M493" s="33">
        <f t="shared" si="210"/>
        <v>9404</v>
      </c>
      <c r="N493" s="22">
        <f t="shared" si="211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208"/>
        <v>40</v>
      </c>
      <c r="J494" s="5"/>
      <c r="K494" s="5"/>
      <c r="L494" s="33">
        <f t="shared" si="209"/>
        <v>5212</v>
      </c>
      <c r="M494" s="33">
        <f t="shared" si="210"/>
        <v>5212</v>
      </c>
      <c r="N494" s="22">
        <f t="shared" si="211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208"/>
        <v>40</v>
      </c>
      <c r="J495" s="5"/>
      <c r="K495" s="5"/>
      <c r="L495" s="33">
        <f t="shared" si="209"/>
        <v>4702</v>
      </c>
      <c r="M495" s="33">
        <f t="shared" si="210"/>
        <v>4702</v>
      </c>
      <c r="N495" s="22">
        <f t="shared" si="211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208"/>
        <v>40</v>
      </c>
      <c r="J496" s="5"/>
      <c r="K496" s="5"/>
      <c r="L496" s="33">
        <f t="shared" si="209"/>
        <v>5212</v>
      </c>
      <c r="M496" s="33">
        <f t="shared" si="210"/>
        <v>5212</v>
      </c>
      <c r="N496" s="22">
        <f t="shared" si="211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208"/>
        <v>80</v>
      </c>
      <c r="J497" s="5"/>
      <c r="K497" s="5"/>
      <c r="L497" s="33">
        <f t="shared" si="209"/>
        <v>9404</v>
      </c>
      <c r="M497" s="33">
        <f t="shared" si="210"/>
        <v>9404</v>
      </c>
      <c r="N497" s="22">
        <f t="shared" si="211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208"/>
        <v>40</v>
      </c>
      <c r="J498" s="5"/>
      <c r="K498" s="5"/>
      <c r="L498" s="33">
        <f t="shared" si="209"/>
        <v>5212</v>
      </c>
      <c r="M498" s="33">
        <f t="shared" si="210"/>
        <v>5212</v>
      </c>
      <c r="N498" s="22">
        <f t="shared" si="211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208"/>
        <v>40</v>
      </c>
      <c r="J499" s="5"/>
      <c r="K499" s="5"/>
      <c r="L499" s="33">
        <f t="shared" si="209"/>
        <v>6067</v>
      </c>
      <c r="M499" s="33">
        <f t="shared" si="210"/>
        <v>6067</v>
      </c>
      <c r="N499" s="22">
        <f t="shared" si="211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212">C501*(1-G501)</f>
        <v>890262</v>
      </c>
      <c r="J501" s="5"/>
      <c r="K501" s="5"/>
      <c r="L501" s="33">
        <f t="shared" ref="L501:L506" si="213">D501*(1-G501)</f>
        <v>993188</v>
      </c>
      <c r="M501" s="33">
        <f t="shared" ref="M501:M506" si="214">IF(J501="",L501,(D501/C501)*J501)</f>
        <v>993188</v>
      </c>
      <c r="N501" s="22">
        <f t="shared" ref="N501:N506" si="215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212"/>
        <v>40</v>
      </c>
      <c r="J502" s="5"/>
      <c r="K502" s="5"/>
      <c r="L502" s="33">
        <f t="shared" si="213"/>
        <v>4702</v>
      </c>
      <c r="M502" s="33">
        <f t="shared" si="214"/>
        <v>4702</v>
      </c>
      <c r="N502" s="22">
        <f t="shared" si="215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212"/>
        <v>44</v>
      </c>
      <c r="J503" s="5"/>
      <c r="K503" s="5"/>
      <c r="L503" s="33">
        <f t="shared" si="213"/>
        <v>5172</v>
      </c>
      <c r="M503" s="33">
        <f t="shared" si="214"/>
        <v>5172</v>
      </c>
      <c r="N503" s="22">
        <f t="shared" si="215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212"/>
        <v>36</v>
      </c>
      <c r="J504" s="5"/>
      <c r="K504" s="5"/>
      <c r="L504" s="33">
        <f t="shared" si="213"/>
        <v>6306</v>
      </c>
      <c r="M504" s="33">
        <f t="shared" si="214"/>
        <v>6306</v>
      </c>
      <c r="N504" s="22">
        <f t="shared" si="215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212"/>
        <v>44</v>
      </c>
      <c r="J505" s="5"/>
      <c r="K505" s="5"/>
      <c r="L505" s="33">
        <f t="shared" si="213"/>
        <v>5172</v>
      </c>
      <c r="M505" s="33">
        <f t="shared" si="214"/>
        <v>5172</v>
      </c>
      <c r="N505" s="22">
        <f t="shared" si="215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212"/>
        <v>52</v>
      </c>
      <c r="J506" s="5"/>
      <c r="K506" s="5"/>
      <c r="L506" s="33">
        <f t="shared" si="213"/>
        <v>7888</v>
      </c>
      <c r="M506" s="33">
        <f t="shared" si="214"/>
        <v>7888</v>
      </c>
      <c r="N506" s="22">
        <f t="shared" si="215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216">C508*(1-G508)</f>
        <v>36</v>
      </c>
      <c r="J508" s="5"/>
      <c r="K508" s="5"/>
      <c r="L508" s="33">
        <f t="shared" ref="L508:L514" si="217">D508*(1-G508)</f>
        <v>4232</v>
      </c>
      <c r="M508" s="33">
        <f t="shared" ref="M508:M514" si="218">IF(J508="",L508,(D508/C508)*J508)</f>
        <v>4232</v>
      </c>
      <c r="N508" s="22">
        <f t="shared" ref="N508:N514" si="219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216"/>
        <v>72</v>
      </c>
      <c r="J509" s="5"/>
      <c r="K509" s="5"/>
      <c r="L509" s="33">
        <f t="shared" si="217"/>
        <v>8463</v>
      </c>
      <c r="M509" s="33">
        <f t="shared" si="218"/>
        <v>8463</v>
      </c>
      <c r="N509" s="22">
        <f t="shared" si="219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216"/>
        <v>320659</v>
      </c>
      <c r="J510" s="5"/>
      <c r="K510" s="5"/>
      <c r="L510" s="33">
        <f t="shared" si="217"/>
        <v>372184</v>
      </c>
      <c r="M510" s="33">
        <f t="shared" si="218"/>
        <v>372184</v>
      </c>
      <c r="N510" s="22">
        <f t="shared" si="219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216"/>
        <v>60</v>
      </c>
      <c r="J511" s="5"/>
      <c r="K511" s="5"/>
      <c r="L511" s="33">
        <f t="shared" si="217"/>
        <v>9101</v>
      </c>
      <c r="M511" s="33">
        <f t="shared" si="218"/>
        <v>9101</v>
      </c>
      <c r="N511" s="22">
        <f t="shared" si="219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216"/>
        <v>30</v>
      </c>
      <c r="J512" s="5"/>
      <c r="K512" s="5"/>
      <c r="L512" s="33">
        <f t="shared" si="217"/>
        <v>5255</v>
      </c>
      <c r="M512" s="33">
        <f t="shared" si="218"/>
        <v>5255</v>
      </c>
      <c r="N512" s="22">
        <f t="shared" si="219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216"/>
        <v>36</v>
      </c>
      <c r="J513" s="5"/>
      <c r="K513" s="5"/>
      <c r="L513" s="33">
        <f t="shared" si="217"/>
        <v>4232</v>
      </c>
      <c r="M513" s="33">
        <f t="shared" si="218"/>
        <v>4232</v>
      </c>
      <c r="N513" s="22">
        <f t="shared" si="219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216"/>
        <v>45000</v>
      </c>
      <c r="J514" s="5"/>
      <c r="K514" s="5"/>
      <c r="L514" s="33">
        <f t="shared" si="217"/>
        <v>50203</v>
      </c>
      <c r="M514" s="33">
        <f t="shared" si="218"/>
        <v>50203</v>
      </c>
      <c r="N514" s="22">
        <f t="shared" si="219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220">C516*(1-G516)</f>
        <v>40</v>
      </c>
      <c r="J516" s="5"/>
      <c r="K516" s="5"/>
      <c r="L516" s="33">
        <f t="shared" ref="L516:L521" si="221">D516*(1-G516)</f>
        <v>5212</v>
      </c>
      <c r="M516" s="33">
        <f t="shared" ref="M516:M521" si="222">IF(J516="",L516,(D516/C516)*J516)</f>
        <v>5212</v>
      </c>
      <c r="N516" s="22">
        <f t="shared" ref="N516:N521" si="223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220"/>
        <v>80</v>
      </c>
      <c r="J517" s="5"/>
      <c r="K517" s="5"/>
      <c r="L517" s="33">
        <f t="shared" si="221"/>
        <v>9404</v>
      </c>
      <c r="M517" s="33">
        <f t="shared" si="222"/>
        <v>9404</v>
      </c>
      <c r="N517" s="22">
        <f t="shared" si="223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220"/>
        <v>40</v>
      </c>
      <c r="J518" s="5"/>
      <c r="K518" s="5"/>
      <c r="L518" s="33">
        <f t="shared" si="221"/>
        <v>5212</v>
      </c>
      <c r="M518" s="33">
        <f t="shared" si="222"/>
        <v>5212</v>
      </c>
      <c r="N518" s="22">
        <f t="shared" si="223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220"/>
        <v>50000</v>
      </c>
      <c r="J519" s="5"/>
      <c r="K519" s="5"/>
      <c r="L519" s="33">
        <f t="shared" si="221"/>
        <v>58034</v>
      </c>
      <c r="M519" s="33">
        <f t="shared" si="222"/>
        <v>58034</v>
      </c>
      <c r="N519" s="22">
        <f t="shared" si="223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220"/>
        <v>352</v>
      </c>
      <c r="J520" s="5"/>
      <c r="K520" s="5"/>
      <c r="L520" s="33">
        <f t="shared" si="221"/>
        <v>47243</v>
      </c>
      <c r="M520" s="33">
        <f t="shared" si="222"/>
        <v>47243</v>
      </c>
      <c r="N520" s="22">
        <f t="shared" si="223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220"/>
        <v>113</v>
      </c>
      <c r="J521" s="5"/>
      <c r="K521" s="5"/>
      <c r="L521" s="33">
        <f t="shared" si="221"/>
        <v>15621</v>
      </c>
      <c r="M521" s="33">
        <f t="shared" si="222"/>
        <v>15621</v>
      </c>
      <c r="N521" s="22">
        <f t="shared" si="223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224">C523*(1-G523)</f>
        <v>20</v>
      </c>
      <c r="J523" s="5"/>
      <c r="K523" s="5"/>
      <c r="L523" s="33">
        <f t="shared" ref="L523:L551" si="225">D523*(1-G523)</f>
        <v>3034</v>
      </c>
      <c r="M523" s="33">
        <f t="shared" ref="M523:M551" si="226">IF(J523="",L523,(D523/C523)*J523)</f>
        <v>3034</v>
      </c>
      <c r="N523" s="22">
        <f t="shared" ref="N523:N551" si="227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224"/>
        <v>80</v>
      </c>
      <c r="J524" s="5"/>
      <c r="K524" s="5"/>
      <c r="L524" s="33">
        <f t="shared" si="225"/>
        <v>9404</v>
      </c>
      <c r="M524" s="33">
        <f t="shared" si="226"/>
        <v>9404</v>
      </c>
      <c r="N524" s="22">
        <f t="shared" si="227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224"/>
        <v>40</v>
      </c>
      <c r="J525" s="5"/>
      <c r="K525" s="5"/>
      <c r="L525" s="33">
        <f t="shared" si="225"/>
        <v>5212</v>
      </c>
      <c r="M525" s="33">
        <f t="shared" si="226"/>
        <v>5212</v>
      </c>
      <c r="N525" s="22">
        <f t="shared" si="227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224"/>
        <v>20</v>
      </c>
      <c r="J526" s="5"/>
      <c r="K526" s="5"/>
      <c r="L526" s="33">
        <f t="shared" si="225"/>
        <v>3034</v>
      </c>
      <c r="M526" s="33">
        <f t="shared" si="226"/>
        <v>3034</v>
      </c>
      <c r="N526" s="22">
        <f t="shared" si="227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224"/>
        <v>10</v>
      </c>
      <c r="J527" s="5"/>
      <c r="K527" s="5"/>
      <c r="L527" s="33">
        <f t="shared" si="225"/>
        <v>1517</v>
      </c>
      <c r="M527" s="33">
        <f t="shared" si="226"/>
        <v>1517</v>
      </c>
      <c r="N527" s="22">
        <f t="shared" si="227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224"/>
        <v>2</v>
      </c>
      <c r="J528" s="5"/>
      <c r="K528" s="5"/>
      <c r="L528" s="33">
        <f t="shared" si="225"/>
        <v>308</v>
      </c>
      <c r="M528" s="33">
        <f t="shared" si="226"/>
        <v>308</v>
      </c>
      <c r="N528" s="22">
        <f t="shared" si="227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224"/>
        <v>4</v>
      </c>
      <c r="J529" s="5"/>
      <c r="K529" s="5"/>
      <c r="L529" s="33">
        <f t="shared" si="225"/>
        <v>625</v>
      </c>
      <c r="M529" s="33">
        <f t="shared" si="226"/>
        <v>625</v>
      </c>
      <c r="N529" s="22">
        <f t="shared" si="227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224"/>
        <v>32000</v>
      </c>
      <c r="J530" s="5"/>
      <c r="K530" s="5"/>
      <c r="L530" s="33">
        <f t="shared" si="225"/>
        <v>37528</v>
      </c>
      <c r="M530" s="33">
        <f t="shared" si="226"/>
        <v>37528</v>
      </c>
      <c r="N530" s="22">
        <f t="shared" si="227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224"/>
        <v>4</v>
      </c>
      <c r="J531" s="5"/>
      <c r="K531" s="5"/>
      <c r="L531" s="33">
        <f t="shared" si="225"/>
        <v>625</v>
      </c>
      <c r="M531" s="33">
        <f t="shared" si="226"/>
        <v>625</v>
      </c>
      <c r="N531" s="22">
        <f t="shared" si="227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224"/>
        <v>22000</v>
      </c>
      <c r="J532" s="5"/>
      <c r="K532" s="5"/>
      <c r="L532" s="33">
        <f t="shared" si="225"/>
        <v>26046</v>
      </c>
      <c r="M532" s="33">
        <f t="shared" si="226"/>
        <v>26046</v>
      </c>
      <c r="N532" s="22">
        <f t="shared" si="227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224"/>
        <v>8</v>
      </c>
      <c r="J533" s="5"/>
      <c r="K533" s="5"/>
      <c r="L533" s="33">
        <f t="shared" si="225"/>
        <v>940</v>
      </c>
      <c r="M533" s="33">
        <f t="shared" si="226"/>
        <v>940</v>
      </c>
      <c r="N533" s="22">
        <f t="shared" si="227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224"/>
        <v>8</v>
      </c>
      <c r="J534" s="5"/>
      <c r="K534" s="5"/>
      <c r="L534" s="33">
        <f t="shared" si="225"/>
        <v>1042</v>
      </c>
      <c r="M534" s="33">
        <f t="shared" si="226"/>
        <v>1042</v>
      </c>
      <c r="N534" s="22">
        <f t="shared" si="227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224"/>
        <v>80</v>
      </c>
      <c r="J535" s="5"/>
      <c r="K535" s="5"/>
      <c r="L535" s="33">
        <f t="shared" si="225"/>
        <v>9404</v>
      </c>
      <c r="M535" s="33">
        <f t="shared" si="226"/>
        <v>9404</v>
      </c>
      <c r="N535" s="22">
        <f t="shared" si="227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224"/>
        <v>80</v>
      </c>
      <c r="J536" s="5"/>
      <c r="K536" s="5"/>
      <c r="L536" s="33">
        <f t="shared" si="225"/>
        <v>10424</v>
      </c>
      <c r="M536" s="33">
        <f t="shared" si="226"/>
        <v>10424</v>
      </c>
      <c r="N536" s="22">
        <f t="shared" si="227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224"/>
        <v>16</v>
      </c>
      <c r="J537" s="5"/>
      <c r="K537" s="5"/>
      <c r="L537" s="33">
        <f t="shared" si="225"/>
        <v>1881</v>
      </c>
      <c r="M537" s="33">
        <f t="shared" si="226"/>
        <v>1881</v>
      </c>
      <c r="N537" s="22">
        <f t="shared" si="227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224"/>
        <v>16</v>
      </c>
      <c r="J538" s="5"/>
      <c r="K538" s="5"/>
      <c r="L538" s="33">
        <f t="shared" si="225"/>
        <v>2085</v>
      </c>
      <c r="M538" s="33">
        <f t="shared" si="226"/>
        <v>2085</v>
      </c>
      <c r="N538" s="22">
        <f t="shared" si="227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224"/>
        <v>40</v>
      </c>
      <c r="J539" s="5"/>
      <c r="K539" s="5"/>
      <c r="L539" s="33">
        <f t="shared" si="225"/>
        <v>4775</v>
      </c>
      <c r="M539" s="33">
        <f t="shared" si="226"/>
        <v>4775</v>
      </c>
      <c r="N539" s="22">
        <f t="shared" si="227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224"/>
        <v>40</v>
      </c>
      <c r="J540" s="5"/>
      <c r="K540" s="5"/>
      <c r="L540" s="33">
        <f t="shared" si="225"/>
        <v>5294</v>
      </c>
      <c r="M540" s="33">
        <f t="shared" si="226"/>
        <v>5294</v>
      </c>
      <c r="N540" s="22">
        <f t="shared" si="227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224"/>
        <v>20</v>
      </c>
      <c r="J541" s="5"/>
      <c r="K541" s="5"/>
      <c r="L541" s="33">
        <f t="shared" si="225"/>
        <v>2421</v>
      </c>
      <c r="M541" s="33">
        <f t="shared" si="226"/>
        <v>2421</v>
      </c>
      <c r="N541" s="22">
        <f t="shared" si="227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224"/>
        <v>4</v>
      </c>
      <c r="J542" s="5"/>
      <c r="K542" s="5"/>
      <c r="L542" s="33">
        <f t="shared" si="225"/>
        <v>484</v>
      </c>
      <c r="M542" s="33">
        <f t="shared" si="226"/>
        <v>484</v>
      </c>
      <c r="N542" s="22">
        <f t="shared" si="227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224"/>
        <v>4</v>
      </c>
      <c r="J543" s="5"/>
      <c r="K543" s="5"/>
      <c r="L543" s="33">
        <f t="shared" si="225"/>
        <v>537</v>
      </c>
      <c r="M543" s="33">
        <f t="shared" si="226"/>
        <v>537</v>
      </c>
      <c r="N543" s="22">
        <f t="shared" si="227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224"/>
        <v>80</v>
      </c>
      <c r="J544" s="5"/>
      <c r="K544" s="5"/>
      <c r="L544" s="33">
        <f t="shared" si="225"/>
        <v>14607</v>
      </c>
      <c r="M544" s="33">
        <f t="shared" si="226"/>
        <v>14607</v>
      </c>
      <c r="N544" s="22">
        <f t="shared" si="227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224"/>
        <v>80</v>
      </c>
      <c r="J545" s="5"/>
      <c r="K545" s="5"/>
      <c r="L545" s="33">
        <f t="shared" si="225"/>
        <v>10737</v>
      </c>
      <c r="M545" s="33">
        <f t="shared" si="226"/>
        <v>10737</v>
      </c>
      <c r="N545" s="22">
        <f t="shared" si="227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224"/>
        <v>72.8</v>
      </c>
      <c r="J546" s="5"/>
      <c r="K546" s="5"/>
      <c r="L546" s="33">
        <f t="shared" si="225"/>
        <v>9486.4</v>
      </c>
      <c r="M546" s="33">
        <f t="shared" si="226"/>
        <v>9486.4</v>
      </c>
      <c r="N546" s="22">
        <f t="shared" si="227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224"/>
        <v>72.8</v>
      </c>
      <c r="J547" s="5"/>
      <c r="K547" s="5"/>
      <c r="L547" s="33">
        <f t="shared" si="225"/>
        <v>8557.5</v>
      </c>
      <c r="M547" s="33">
        <f t="shared" si="226"/>
        <v>8557.5</v>
      </c>
      <c r="N547" s="22">
        <f t="shared" si="227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224"/>
        <v>65</v>
      </c>
      <c r="J548" s="5"/>
      <c r="K548" s="5"/>
      <c r="L548" s="33">
        <f t="shared" si="225"/>
        <v>8469.5</v>
      </c>
      <c r="M548" s="33">
        <f t="shared" si="226"/>
        <v>8469.5</v>
      </c>
      <c r="N548" s="22">
        <f t="shared" si="227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224"/>
        <v>130</v>
      </c>
      <c r="J549" s="5"/>
      <c r="K549" s="5"/>
      <c r="L549" s="33">
        <f t="shared" si="225"/>
        <v>15280.85</v>
      </c>
      <c r="M549" s="33">
        <f t="shared" si="226"/>
        <v>15280.85</v>
      </c>
      <c r="N549" s="22">
        <f t="shared" si="227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224"/>
        <v>120</v>
      </c>
      <c r="J550" s="5"/>
      <c r="K550" s="5"/>
      <c r="L550" s="33">
        <f t="shared" si="225"/>
        <v>15637</v>
      </c>
      <c r="M550" s="33">
        <f t="shared" si="226"/>
        <v>15637</v>
      </c>
      <c r="N550" s="22">
        <f t="shared" si="227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224"/>
        <v>240</v>
      </c>
      <c r="J551" s="5"/>
      <c r="K551" s="5"/>
      <c r="L551" s="33">
        <f t="shared" si="225"/>
        <v>28211</v>
      </c>
      <c r="M551" s="33">
        <f t="shared" si="226"/>
        <v>28211</v>
      </c>
      <c r="N551" s="22">
        <f t="shared" si="227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228">C553*(1-G553)</f>
        <v>14.399999999999999</v>
      </c>
      <c r="J553" s="5"/>
      <c r="K553" s="5"/>
      <c r="L553" s="33">
        <f t="shared" ref="L553:L576" si="229">D553*(1-G553)</f>
        <v>2184</v>
      </c>
      <c r="M553" s="33">
        <f t="shared" ref="M553:M576" si="230">IF(J553="",L553,(D553/C553)*J553)</f>
        <v>2184</v>
      </c>
      <c r="N553" s="22">
        <f t="shared" ref="N553:N576" si="231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228"/>
        <v>57.599999999999994</v>
      </c>
      <c r="J554" s="5"/>
      <c r="K554" s="5"/>
      <c r="L554" s="33">
        <f t="shared" si="229"/>
        <v>6770.4</v>
      </c>
      <c r="M554" s="33">
        <f t="shared" si="230"/>
        <v>6770.4</v>
      </c>
      <c r="N554" s="22">
        <f t="shared" si="231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228"/>
        <v>14.399999999999999</v>
      </c>
      <c r="J555" s="5"/>
      <c r="K555" s="5"/>
      <c r="L555" s="33">
        <f t="shared" si="229"/>
        <v>1876.1999999999998</v>
      </c>
      <c r="M555" s="33">
        <f t="shared" si="230"/>
        <v>1876.1999999999998</v>
      </c>
      <c r="N555" s="22">
        <f t="shared" si="231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228"/>
        <v>3.2</v>
      </c>
      <c r="J556" s="5"/>
      <c r="K556" s="5"/>
      <c r="L556" s="33">
        <f t="shared" si="229"/>
        <v>485.20000000000005</v>
      </c>
      <c r="M556" s="33">
        <f t="shared" si="230"/>
        <v>485.20000000000005</v>
      </c>
      <c r="N556" s="22">
        <f t="shared" si="231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228"/>
        <v>6</v>
      </c>
      <c r="J557" s="5"/>
      <c r="K557" s="5"/>
      <c r="L557" s="33">
        <f t="shared" si="229"/>
        <v>909.75</v>
      </c>
      <c r="M557" s="33">
        <f t="shared" si="230"/>
        <v>909.75</v>
      </c>
      <c r="N557" s="22">
        <f t="shared" si="231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228"/>
        <v>24</v>
      </c>
      <c r="J558" s="5"/>
      <c r="K558" s="5"/>
      <c r="L558" s="33">
        <f t="shared" si="229"/>
        <v>2820.75</v>
      </c>
      <c r="M558" s="33">
        <f t="shared" si="230"/>
        <v>2820.75</v>
      </c>
      <c r="N558" s="22">
        <f t="shared" si="231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228"/>
        <v>6</v>
      </c>
      <c r="J559" s="5"/>
      <c r="K559" s="5"/>
      <c r="L559" s="33">
        <f t="shared" si="229"/>
        <v>781.5</v>
      </c>
      <c r="M559" s="33">
        <f t="shared" si="230"/>
        <v>781.5</v>
      </c>
      <c r="N559" s="22">
        <f t="shared" si="231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228"/>
        <v>16</v>
      </c>
      <c r="J560" s="5"/>
      <c r="K560" s="5"/>
      <c r="L560" s="33">
        <f t="shared" si="229"/>
        <v>2427</v>
      </c>
      <c r="M560" s="33">
        <f t="shared" si="230"/>
        <v>2427</v>
      </c>
      <c r="N560" s="22">
        <f t="shared" si="231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228"/>
        <v>72</v>
      </c>
      <c r="J561" s="5"/>
      <c r="K561" s="5"/>
      <c r="L561" s="33">
        <f t="shared" si="229"/>
        <v>8463</v>
      </c>
      <c r="M561" s="33">
        <f t="shared" si="230"/>
        <v>8463</v>
      </c>
      <c r="N561" s="22">
        <f t="shared" si="231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228"/>
        <v>16</v>
      </c>
      <c r="J562" s="5"/>
      <c r="K562" s="5"/>
      <c r="L562" s="33">
        <f t="shared" si="229"/>
        <v>2085</v>
      </c>
      <c r="M562" s="33">
        <f t="shared" si="230"/>
        <v>2085</v>
      </c>
      <c r="N562" s="22">
        <f t="shared" si="231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228"/>
        <v>48</v>
      </c>
      <c r="J563" s="5"/>
      <c r="K563" s="5"/>
      <c r="L563" s="33">
        <f t="shared" si="229"/>
        <v>7281</v>
      </c>
      <c r="M563" s="33">
        <f t="shared" si="230"/>
        <v>7281</v>
      </c>
      <c r="N563" s="22">
        <f t="shared" si="231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228"/>
        <v>144</v>
      </c>
      <c r="J564" s="5"/>
      <c r="K564" s="5"/>
      <c r="L564" s="33">
        <f t="shared" si="229"/>
        <v>16927</v>
      </c>
      <c r="M564" s="33">
        <f t="shared" si="230"/>
        <v>16927</v>
      </c>
      <c r="N564" s="22">
        <f t="shared" si="231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228"/>
        <v>48</v>
      </c>
      <c r="J565" s="5"/>
      <c r="K565" s="5"/>
      <c r="L565" s="33">
        <f t="shared" si="229"/>
        <v>6255</v>
      </c>
      <c r="M565" s="33">
        <f t="shared" si="230"/>
        <v>6255</v>
      </c>
      <c r="N565" s="22">
        <f t="shared" si="231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228"/>
        <v>48</v>
      </c>
      <c r="J566" s="5"/>
      <c r="K566" s="5"/>
      <c r="L566" s="33">
        <f t="shared" si="229"/>
        <v>7496</v>
      </c>
      <c r="M566" s="33">
        <f t="shared" si="230"/>
        <v>7496</v>
      </c>
      <c r="N566" s="22">
        <f t="shared" si="231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228"/>
        <v>144</v>
      </c>
      <c r="J567" s="5"/>
      <c r="K567" s="5"/>
      <c r="L567" s="33">
        <f t="shared" si="229"/>
        <v>17426</v>
      </c>
      <c r="M567" s="33">
        <f t="shared" si="230"/>
        <v>17426</v>
      </c>
      <c r="N567" s="22">
        <f t="shared" si="231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228"/>
        <v>48</v>
      </c>
      <c r="J568" s="5"/>
      <c r="K568" s="5"/>
      <c r="L568" s="33">
        <f t="shared" si="229"/>
        <v>6439</v>
      </c>
      <c r="M568" s="33">
        <f t="shared" si="230"/>
        <v>6439</v>
      </c>
      <c r="N568" s="22">
        <f t="shared" si="231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228"/>
        <v>8</v>
      </c>
      <c r="J569" s="5"/>
      <c r="K569" s="5"/>
      <c r="L569" s="33">
        <f t="shared" si="229"/>
        <v>1250</v>
      </c>
      <c r="M569" s="33">
        <f t="shared" si="230"/>
        <v>1250</v>
      </c>
      <c r="N569" s="22">
        <f t="shared" si="231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228"/>
        <v>40</v>
      </c>
      <c r="J570" s="5"/>
      <c r="K570" s="5"/>
      <c r="L570" s="33">
        <f t="shared" si="229"/>
        <v>4843</v>
      </c>
      <c r="M570" s="33">
        <f t="shared" si="230"/>
        <v>4843</v>
      </c>
      <c r="N570" s="22">
        <f t="shared" si="231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228"/>
        <v>16</v>
      </c>
      <c r="J571" s="5"/>
      <c r="K571" s="5"/>
      <c r="L571" s="33">
        <f t="shared" si="229"/>
        <v>1937</v>
      </c>
      <c r="M571" s="33">
        <f t="shared" si="230"/>
        <v>1937</v>
      </c>
      <c r="N571" s="22">
        <f t="shared" si="231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228"/>
        <v>8</v>
      </c>
      <c r="J572" s="5"/>
      <c r="K572" s="5"/>
      <c r="L572" s="33">
        <f t="shared" si="229"/>
        <v>1074</v>
      </c>
      <c r="M572" s="33">
        <f t="shared" si="230"/>
        <v>1074</v>
      </c>
      <c r="N572" s="22">
        <f t="shared" si="231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228"/>
        <v>92000</v>
      </c>
      <c r="J573" s="5"/>
      <c r="K573" s="5"/>
      <c r="L573" s="33">
        <f t="shared" si="229"/>
        <v>108883</v>
      </c>
      <c r="M573" s="33">
        <f t="shared" si="230"/>
        <v>108883</v>
      </c>
      <c r="N573" s="22">
        <f t="shared" si="231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228"/>
        <v>1.2000000000000002</v>
      </c>
      <c r="J574" s="5"/>
      <c r="K574" s="5"/>
      <c r="L574" s="33">
        <f t="shared" si="229"/>
        <v>181.95000000000002</v>
      </c>
      <c r="M574" s="33">
        <f t="shared" si="230"/>
        <v>181.95000000000002</v>
      </c>
      <c r="N574" s="22">
        <f t="shared" si="231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228"/>
        <v>4.8000000000000007</v>
      </c>
      <c r="J575" s="5"/>
      <c r="K575" s="5"/>
      <c r="L575" s="33">
        <f t="shared" si="229"/>
        <v>564.15000000000009</v>
      </c>
      <c r="M575" s="33">
        <f t="shared" si="230"/>
        <v>564.15000000000009</v>
      </c>
      <c r="N575" s="22">
        <f t="shared" si="231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228"/>
        <v>1.2000000000000002</v>
      </c>
      <c r="J576" s="5"/>
      <c r="K576" s="5"/>
      <c r="L576" s="33">
        <f t="shared" si="229"/>
        <v>156.30000000000001</v>
      </c>
      <c r="M576" s="33">
        <f t="shared" si="230"/>
        <v>156.30000000000001</v>
      </c>
      <c r="N576" s="22">
        <f t="shared" si="231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232">C578*(1-G578)</f>
        <v>64.319999999999993</v>
      </c>
      <c r="J578" s="5"/>
      <c r="K578" s="5"/>
      <c r="L578" s="33">
        <f t="shared" ref="L578:L630" si="233">D578*(1-G578)</f>
        <v>9471.7899999999991</v>
      </c>
      <c r="M578" s="33">
        <f t="shared" ref="M578:M630" si="234">IF(J578="",L578,(D578/C578)*J578)</f>
        <v>9471.7899999999991</v>
      </c>
      <c r="N578" s="22">
        <f t="shared" ref="N578:N630" si="235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232"/>
        <v>32.159999999999997</v>
      </c>
      <c r="J579" s="5"/>
      <c r="K579" s="5"/>
      <c r="L579" s="33">
        <f t="shared" si="233"/>
        <v>3670.2599999999998</v>
      </c>
      <c r="M579" s="33">
        <f t="shared" si="234"/>
        <v>3670.2599999999998</v>
      </c>
      <c r="N579" s="22">
        <f t="shared" si="235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232"/>
        <v>32.159999999999997</v>
      </c>
      <c r="J580" s="5"/>
      <c r="K580" s="5"/>
      <c r="L580" s="33">
        <f t="shared" si="233"/>
        <v>3670.2599999999998</v>
      </c>
      <c r="M580" s="33">
        <f t="shared" si="234"/>
        <v>3670.2599999999998</v>
      </c>
      <c r="N580" s="22">
        <f t="shared" si="235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232"/>
        <v>8</v>
      </c>
      <c r="J581" s="5"/>
      <c r="K581" s="5"/>
      <c r="L581" s="33">
        <f t="shared" si="233"/>
        <v>1178</v>
      </c>
      <c r="M581" s="33">
        <f t="shared" si="234"/>
        <v>1178</v>
      </c>
      <c r="N581" s="22">
        <f t="shared" si="235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232"/>
        <v>20</v>
      </c>
      <c r="J582" s="5"/>
      <c r="K582" s="5"/>
      <c r="L582" s="33">
        <f t="shared" si="233"/>
        <v>3034</v>
      </c>
      <c r="M582" s="33">
        <f t="shared" si="234"/>
        <v>3034</v>
      </c>
      <c r="N582" s="22">
        <f t="shared" si="235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232"/>
        <v>16</v>
      </c>
      <c r="J583" s="5"/>
      <c r="K583" s="5"/>
      <c r="L583" s="33">
        <f t="shared" si="233"/>
        <v>1881</v>
      </c>
      <c r="M583" s="33">
        <f t="shared" si="234"/>
        <v>1881</v>
      </c>
      <c r="N583" s="22">
        <f t="shared" si="235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232"/>
        <v>16</v>
      </c>
      <c r="J584" s="5"/>
      <c r="K584" s="5"/>
      <c r="L584" s="33">
        <f t="shared" si="233"/>
        <v>1881</v>
      </c>
      <c r="M584" s="33">
        <f t="shared" si="234"/>
        <v>1881</v>
      </c>
      <c r="N584" s="22">
        <f t="shared" si="235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232"/>
        <v>32</v>
      </c>
      <c r="J585" s="5"/>
      <c r="K585" s="5"/>
      <c r="L585" s="33">
        <f t="shared" si="233"/>
        <v>4854</v>
      </c>
      <c r="M585" s="33">
        <f t="shared" si="234"/>
        <v>4854</v>
      </c>
      <c r="N585" s="22">
        <f t="shared" si="235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232"/>
        <v>72</v>
      </c>
      <c r="J586" s="5"/>
      <c r="K586" s="5"/>
      <c r="L586" s="33">
        <f t="shared" si="233"/>
        <v>8463</v>
      </c>
      <c r="M586" s="33">
        <f t="shared" si="234"/>
        <v>8463</v>
      </c>
      <c r="N586" s="22">
        <f t="shared" si="235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232"/>
        <v>24</v>
      </c>
      <c r="J587" s="5"/>
      <c r="K587" s="5"/>
      <c r="L587" s="33">
        <f t="shared" si="233"/>
        <v>3640</v>
      </c>
      <c r="M587" s="33">
        <f t="shared" si="234"/>
        <v>3640</v>
      </c>
      <c r="N587" s="22">
        <f t="shared" si="235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232"/>
        <v>24</v>
      </c>
      <c r="J588" s="5"/>
      <c r="K588" s="5"/>
      <c r="L588" s="33">
        <f t="shared" si="233"/>
        <v>2821</v>
      </c>
      <c r="M588" s="33">
        <f t="shared" si="234"/>
        <v>2821</v>
      </c>
      <c r="N588" s="22">
        <f t="shared" si="235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232"/>
        <v>96</v>
      </c>
      <c r="J589" s="5"/>
      <c r="K589" s="5"/>
      <c r="L589" s="33">
        <f t="shared" si="233"/>
        <v>14882</v>
      </c>
      <c r="M589" s="33">
        <f t="shared" si="234"/>
        <v>14882</v>
      </c>
      <c r="N589" s="22">
        <f t="shared" si="235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232"/>
        <v>96</v>
      </c>
      <c r="J590" s="5"/>
      <c r="K590" s="5"/>
      <c r="L590" s="33">
        <f t="shared" si="233"/>
        <v>11533</v>
      </c>
      <c r="M590" s="33">
        <f t="shared" si="234"/>
        <v>11533</v>
      </c>
      <c r="N590" s="22">
        <f t="shared" si="235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232"/>
        <v>16</v>
      </c>
      <c r="J591" s="5"/>
      <c r="K591" s="5"/>
      <c r="L591" s="33">
        <f t="shared" si="233"/>
        <v>2500</v>
      </c>
      <c r="M591" s="33">
        <f t="shared" si="234"/>
        <v>2500</v>
      </c>
      <c r="N591" s="22">
        <f t="shared" si="235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232"/>
        <v>16</v>
      </c>
      <c r="J592" s="5"/>
      <c r="K592" s="5"/>
      <c r="L592" s="33">
        <f t="shared" si="233"/>
        <v>1937</v>
      </c>
      <c r="M592" s="33">
        <f t="shared" si="234"/>
        <v>1937</v>
      </c>
      <c r="N592" s="22">
        <f t="shared" si="235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232"/>
        <v>8</v>
      </c>
      <c r="J593" s="5"/>
      <c r="K593" s="5"/>
      <c r="L593" s="33">
        <f t="shared" si="233"/>
        <v>969</v>
      </c>
      <c r="M593" s="33">
        <f t="shared" si="234"/>
        <v>969</v>
      </c>
      <c r="N593" s="22">
        <f t="shared" si="235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232"/>
        <v>53000</v>
      </c>
      <c r="J594" s="5"/>
      <c r="K594" s="5"/>
      <c r="L594" s="33">
        <f t="shared" si="233"/>
        <v>62419</v>
      </c>
      <c r="M594" s="33">
        <f t="shared" si="234"/>
        <v>62419</v>
      </c>
      <c r="N594" s="22">
        <f t="shared" si="235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232"/>
        <v>8</v>
      </c>
      <c r="J595" s="5"/>
      <c r="K595" s="5"/>
      <c r="L595" s="33">
        <f t="shared" si="233"/>
        <v>1178</v>
      </c>
      <c r="M595" s="33">
        <f t="shared" si="234"/>
        <v>1178</v>
      </c>
      <c r="N595" s="22">
        <f t="shared" si="235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232"/>
        <v>10</v>
      </c>
      <c r="J596" s="5"/>
      <c r="K596" s="5"/>
      <c r="L596" s="33">
        <f t="shared" si="233"/>
        <v>1141</v>
      </c>
      <c r="M596" s="33">
        <f t="shared" si="234"/>
        <v>1141</v>
      </c>
      <c r="N596" s="22">
        <f t="shared" si="235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232"/>
        <v>4</v>
      </c>
      <c r="J597" s="5"/>
      <c r="K597" s="5"/>
      <c r="L597" s="33">
        <f t="shared" si="233"/>
        <v>456.5</v>
      </c>
      <c r="M597" s="33">
        <f t="shared" si="234"/>
        <v>456.5</v>
      </c>
      <c r="N597" s="22">
        <f t="shared" si="235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232"/>
        <v>4.8</v>
      </c>
      <c r="J598" s="5"/>
      <c r="K598" s="5"/>
      <c r="L598" s="33">
        <f t="shared" si="233"/>
        <v>706.8</v>
      </c>
      <c r="M598" s="33">
        <f t="shared" si="234"/>
        <v>706.8</v>
      </c>
      <c r="N598" s="22">
        <f t="shared" si="235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232"/>
        <v>14.399999999999999</v>
      </c>
      <c r="J599" s="5"/>
      <c r="K599" s="5"/>
      <c r="L599" s="33">
        <f t="shared" si="233"/>
        <v>1643.3999999999999</v>
      </c>
      <c r="M599" s="33">
        <f t="shared" si="234"/>
        <v>1643.3999999999999</v>
      </c>
      <c r="N599" s="22">
        <f t="shared" si="235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232"/>
        <v>2</v>
      </c>
      <c r="J600" s="5"/>
      <c r="K600" s="5"/>
      <c r="L600" s="33">
        <f t="shared" si="233"/>
        <v>294.5</v>
      </c>
      <c r="M600" s="33">
        <f t="shared" si="234"/>
        <v>294.5</v>
      </c>
      <c r="N600" s="22">
        <f t="shared" si="235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232"/>
        <v>6</v>
      </c>
      <c r="J601" s="5"/>
      <c r="K601" s="5"/>
      <c r="L601" s="33">
        <f t="shared" si="233"/>
        <v>684.75</v>
      </c>
      <c r="M601" s="33">
        <f t="shared" si="234"/>
        <v>684.75</v>
      </c>
      <c r="N601" s="22">
        <f t="shared" si="235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232"/>
        <v>4</v>
      </c>
      <c r="J602" s="5"/>
      <c r="K602" s="5"/>
      <c r="L602" s="33">
        <f t="shared" si="233"/>
        <v>589</v>
      </c>
      <c r="M602" s="33">
        <f t="shared" si="234"/>
        <v>589</v>
      </c>
      <c r="N602" s="22">
        <f t="shared" si="235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232"/>
        <v>12</v>
      </c>
      <c r="J603" s="5"/>
      <c r="K603" s="5"/>
      <c r="L603" s="33">
        <f t="shared" si="233"/>
        <v>1369.5</v>
      </c>
      <c r="M603" s="33">
        <f t="shared" si="234"/>
        <v>1369.5</v>
      </c>
      <c r="N603" s="22">
        <f t="shared" si="235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232"/>
        <v>8</v>
      </c>
      <c r="J604" s="5"/>
      <c r="K604" s="5"/>
      <c r="L604" s="33">
        <f t="shared" si="233"/>
        <v>1178</v>
      </c>
      <c r="M604" s="33">
        <f t="shared" si="234"/>
        <v>1178</v>
      </c>
      <c r="N604" s="22">
        <f t="shared" si="235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232"/>
        <v>24</v>
      </c>
      <c r="J605" s="5"/>
      <c r="K605" s="5"/>
      <c r="L605" s="33">
        <f t="shared" si="233"/>
        <v>2739</v>
      </c>
      <c r="M605" s="33">
        <f t="shared" si="234"/>
        <v>2739</v>
      </c>
      <c r="N605" s="22">
        <f t="shared" si="235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232"/>
        <v>6.4</v>
      </c>
      <c r="J606" s="5"/>
      <c r="K606" s="5"/>
      <c r="L606" s="33">
        <f t="shared" si="233"/>
        <v>959.2</v>
      </c>
      <c r="M606" s="33">
        <f t="shared" si="234"/>
        <v>959.2</v>
      </c>
      <c r="N606" s="22">
        <f t="shared" si="235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232"/>
        <v>19.200000000000003</v>
      </c>
      <c r="J607" s="5"/>
      <c r="K607" s="5"/>
      <c r="L607" s="33">
        <f t="shared" si="233"/>
        <v>2230.4</v>
      </c>
      <c r="M607" s="33">
        <f t="shared" si="234"/>
        <v>2230.4</v>
      </c>
      <c r="N607" s="22">
        <f t="shared" si="235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232"/>
        <v>3.2</v>
      </c>
      <c r="J608" s="5"/>
      <c r="K608" s="5"/>
      <c r="L608" s="33">
        <f t="shared" si="233"/>
        <v>485.20000000000005</v>
      </c>
      <c r="M608" s="33">
        <f t="shared" si="234"/>
        <v>485.20000000000005</v>
      </c>
      <c r="N608" s="22">
        <f t="shared" si="235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232"/>
        <v>9.6000000000000014</v>
      </c>
      <c r="J609" s="5"/>
      <c r="K609" s="5"/>
      <c r="L609" s="33">
        <f t="shared" si="233"/>
        <v>1128.4000000000001</v>
      </c>
      <c r="M609" s="33">
        <f t="shared" si="234"/>
        <v>1128.4000000000001</v>
      </c>
      <c r="N609" s="22">
        <f t="shared" si="235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232"/>
        <v>15.2</v>
      </c>
      <c r="J610" s="5"/>
      <c r="K610" s="5"/>
      <c r="L610" s="33">
        <f t="shared" si="233"/>
        <v>2305.65</v>
      </c>
      <c r="M610" s="33">
        <f t="shared" si="234"/>
        <v>2305.65</v>
      </c>
      <c r="N610" s="22">
        <f t="shared" si="235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232"/>
        <v>45.599999999999994</v>
      </c>
      <c r="J611" s="5"/>
      <c r="K611" s="5"/>
      <c r="L611" s="33">
        <f t="shared" si="233"/>
        <v>5359.9</v>
      </c>
      <c r="M611" s="33">
        <f t="shared" si="234"/>
        <v>5359.9</v>
      </c>
      <c r="N611" s="22">
        <f t="shared" si="235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232"/>
        <v>1.5999999999999996</v>
      </c>
      <c r="J612" s="5"/>
      <c r="K612" s="5"/>
      <c r="L612" s="33">
        <f t="shared" si="233"/>
        <v>242.59999999999994</v>
      </c>
      <c r="M612" s="33">
        <f t="shared" si="234"/>
        <v>242.59999999999994</v>
      </c>
      <c r="N612" s="22">
        <f t="shared" si="235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232"/>
        <v>3.1999999999999993</v>
      </c>
      <c r="J613" s="5"/>
      <c r="K613" s="5"/>
      <c r="L613" s="33">
        <f t="shared" si="233"/>
        <v>376.19999999999993</v>
      </c>
      <c r="M613" s="33">
        <f t="shared" si="234"/>
        <v>376.19999999999993</v>
      </c>
      <c r="N613" s="22">
        <f t="shared" si="235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232"/>
        <v>3.2</v>
      </c>
      <c r="J614" s="5"/>
      <c r="K614" s="5"/>
      <c r="L614" s="33">
        <f t="shared" si="233"/>
        <v>485.20000000000005</v>
      </c>
      <c r="M614" s="33">
        <f t="shared" si="234"/>
        <v>485.20000000000005</v>
      </c>
      <c r="N614" s="22">
        <f t="shared" si="235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232"/>
        <v>6.4</v>
      </c>
      <c r="J615" s="5"/>
      <c r="K615" s="5"/>
      <c r="L615" s="33">
        <f t="shared" si="233"/>
        <v>752.40000000000009</v>
      </c>
      <c r="M615" s="33">
        <f t="shared" si="234"/>
        <v>752.40000000000009</v>
      </c>
      <c r="N615" s="22">
        <f t="shared" si="235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232"/>
        <v>5.6</v>
      </c>
      <c r="J616" s="5"/>
      <c r="K616" s="5"/>
      <c r="L616" s="33">
        <f t="shared" si="233"/>
        <v>849.09999999999991</v>
      </c>
      <c r="M616" s="33">
        <f t="shared" si="234"/>
        <v>849.09999999999991</v>
      </c>
      <c r="N616" s="22">
        <f t="shared" si="235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232"/>
        <v>11.2</v>
      </c>
      <c r="J617" s="5"/>
      <c r="K617" s="5"/>
      <c r="L617" s="33">
        <f t="shared" si="233"/>
        <v>1316.6999999999998</v>
      </c>
      <c r="M617" s="33">
        <f t="shared" si="234"/>
        <v>1316.6999999999998</v>
      </c>
      <c r="N617" s="22">
        <f t="shared" si="235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232"/>
        <v>5.6</v>
      </c>
      <c r="J618" s="5"/>
      <c r="K618" s="5"/>
      <c r="L618" s="33">
        <f t="shared" si="233"/>
        <v>849.09999999999991</v>
      </c>
      <c r="M618" s="33">
        <f t="shared" si="234"/>
        <v>849.09999999999991</v>
      </c>
      <c r="N618" s="22">
        <f t="shared" si="235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232"/>
        <v>11.2</v>
      </c>
      <c r="J619" s="5"/>
      <c r="K619" s="5"/>
      <c r="L619" s="33">
        <f t="shared" si="233"/>
        <v>1316.6999999999998</v>
      </c>
      <c r="M619" s="33">
        <f t="shared" si="234"/>
        <v>1316.6999999999998</v>
      </c>
      <c r="N619" s="22">
        <f t="shared" si="235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232"/>
        <v>4</v>
      </c>
      <c r="J620" s="5"/>
      <c r="K620" s="5"/>
      <c r="L620" s="33">
        <f t="shared" si="233"/>
        <v>606.5</v>
      </c>
      <c r="M620" s="33">
        <f t="shared" si="234"/>
        <v>606.5</v>
      </c>
      <c r="N620" s="22">
        <f t="shared" si="235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232"/>
        <v>8</v>
      </c>
      <c r="J621" s="5"/>
      <c r="K621" s="5"/>
      <c r="L621" s="33">
        <f t="shared" si="233"/>
        <v>940.5</v>
      </c>
      <c r="M621" s="33">
        <f t="shared" si="234"/>
        <v>940.5</v>
      </c>
      <c r="N621" s="22">
        <f t="shared" si="235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232"/>
        <v>67.199999999999989</v>
      </c>
      <c r="J622" s="5"/>
      <c r="K622" s="5"/>
      <c r="L622" s="33">
        <f t="shared" si="233"/>
        <v>10193.4</v>
      </c>
      <c r="M622" s="33">
        <f t="shared" si="234"/>
        <v>10193.4</v>
      </c>
      <c r="N622" s="22">
        <f t="shared" si="235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232"/>
        <v>33.599999999999994</v>
      </c>
      <c r="J623" s="5"/>
      <c r="K623" s="5"/>
      <c r="L623" s="33">
        <f t="shared" si="233"/>
        <v>3949.3999999999996</v>
      </c>
      <c r="M623" s="33">
        <f t="shared" si="234"/>
        <v>3949.3999999999996</v>
      </c>
      <c r="N623" s="22">
        <f t="shared" si="235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232"/>
        <v>33.599999999999994</v>
      </c>
      <c r="J624" s="5"/>
      <c r="K624" s="5"/>
      <c r="L624" s="33">
        <f t="shared" si="233"/>
        <v>3949.3999999999996</v>
      </c>
      <c r="M624" s="33">
        <f t="shared" si="234"/>
        <v>3949.3999999999996</v>
      </c>
      <c r="N624" s="22">
        <f t="shared" si="235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232"/>
        <v>8</v>
      </c>
      <c r="J625" s="5"/>
      <c r="K625" s="5"/>
      <c r="L625" s="33">
        <f t="shared" si="233"/>
        <v>1213</v>
      </c>
      <c r="M625" s="33">
        <f t="shared" si="234"/>
        <v>1213</v>
      </c>
      <c r="N625" s="22">
        <f t="shared" si="235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232"/>
        <v>16</v>
      </c>
      <c r="J626" s="5"/>
      <c r="K626" s="5"/>
      <c r="L626" s="33">
        <f t="shared" si="233"/>
        <v>1881</v>
      </c>
      <c r="M626" s="33">
        <f t="shared" si="234"/>
        <v>1881</v>
      </c>
      <c r="N626" s="22">
        <f t="shared" si="235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232"/>
        <v>20</v>
      </c>
      <c r="J627" s="5"/>
      <c r="K627" s="5"/>
      <c r="L627" s="33">
        <f t="shared" si="233"/>
        <v>3034</v>
      </c>
      <c r="M627" s="33">
        <f t="shared" si="234"/>
        <v>3034</v>
      </c>
      <c r="N627" s="22">
        <f t="shared" si="235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232"/>
        <v>8</v>
      </c>
      <c r="J628" s="5"/>
      <c r="K628" s="5"/>
      <c r="L628" s="33">
        <f t="shared" si="233"/>
        <v>940</v>
      </c>
      <c r="M628" s="33">
        <f t="shared" si="234"/>
        <v>940</v>
      </c>
      <c r="N628" s="22">
        <f t="shared" si="235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232"/>
        <v>8</v>
      </c>
      <c r="J629" s="5"/>
      <c r="K629" s="5"/>
      <c r="L629" s="33">
        <f t="shared" si="233"/>
        <v>940</v>
      </c>
      <c r="M629" s="33">
        <f t="shared" si="234"/>
        <v>940</v>
      </c>
      <c r="N629" s="22">
        <f t="shared" si="235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232"/>
        <v>32</v>
      </c>
      <c r="J630" s="5"/>
      <c r="K630" s="5"/>
      <c r="L630" s="33">
        <f t="shared" si="233"/>
        <v>4854</v>
      </c>
      <c r="M630" s="33">
        <f t="shared" si="234"/>
        <v>4854</v>
      </c>
      <c r="N630" s="22">
        <f t="shared" si="235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236">C631*(1-G631)</f>
        <v>72</v>
      </c>
      <c r="J631" s="5"/>
      <c r="K631" s="5"/>
      <c r="L631" s="33">
        <f t="shared" ref="L631:L642" si="237">D631*(1-G631)</f>
        <v>8463</v>
      </c>
      <c r="M631" s="33">
        <f t="shared" ref="M631:M642" si="238">IF(J631="",L631,(D631/C631)*J631)</f>
        <v>8463</v>
      </c>
      <c r="N631" s="22">
        <f t="shared" ref="N631:N642" si="239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236"/>
        <v>24</v>
      </c>
      <c r="J632" s="5"/>
      <c r="K632" s="5"/>
      <c r="L632" s="33">
        <f t="shared" si="237"/>
        <v>3648</v>
      </c>
      <c r="M632" s="33">
        <f t="shared" si="238"/>
        <v>3648</v>
      </c>
      <c r="N632" s="22">
        <f t="shared" si="239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236"/>
        <v>24</v>
      </c>
      <c r="J633" s="5"/>
      <c r="K633" s="5"/>
      <c r="L633" s="33">
        <f t="shared" si="237"/>
        <v>2827</v>
      </c>
      <c r="M633" s="33">
        <f t="shared" si="238"/>
        <v>2827</v>
      </c>
      <c r="N633" s="22">
        <f t="shared" si="239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236"/>
        <v>96</v>
      </c>
      <c r="J634" s="5"/>
      <c r="K634" s="5"/>
      <c r="L634" s="33">
        <f t="shared" si="237"/>
        <v>14998</v>
      </c>
      <c r="M634" s="33">
        <f t="shared" si="238"/>
        <v>14998</v>
      </c>
      <c r="N634" s="22">
        <f t="shared" si="239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236"/>
        <v>96</v>
      </c>
      <c r="J635" s="5"/>
      <c r="K635" s="5"/>
      <c r="L635" s="33">
        <f t="shared" si="237"/>
        <v>11623</v>
      </c>
      <c r="M635" s="33">
        <f t="shared" si="238"/>
        <v>11623</v>
      </c>
      <c r="N635" s="22">
        <f t="shared" si="239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236"/>
        <v>54000</v>
      </c>
      <c r="J636" s="5"/>
      <c r="K636" s="5"/>
      <c r="L636" s="33">
        <f t="shared" si="237"/>
        <v>63930</v>
      </c>
      <c r="M636" s="33">
        <f t="shared" si="238"/>
        <v>63930</v>
      </c>
      <c r="N636" s="22">
        <f t="shared" si="239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236"/>
        <v>16</v>
      </c>
      <c r="J637" s="5"/>
      <c r="K637" s="5"/>
      <c r="L637" s="33">
        <f t="shared" si="237"/>
        <v>2500</v>
      </c>
      <c r="M637" s="33">
        <f t="shared" si="238"/>
        <v>2500</v>
      </c>
      <c r="N637" s="22">
        <f t="shared" si="239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236"/>
        <v>16</v>
      </c>
      <c r="J638" s="5"/>
      <c r="K638" s="5"/>
      <c r="L638" s="33">
        <f t="shared" si="237"/>
        <v>1937</v>
      </c>
      <c r="M638" s="33">
        <f t="shared" si="238"/>
        <v>1937</v>
      </c>
      <c r="N638" s="22">
        <f t="shared" si="239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236"/>
        <v>8</v>
      </c>
      <c r="J639" s="5"/>
      <c r="K639" s="5"/>
      <c r="L639" s="33">
        <f t="shared" si="237"/>
        <v>969</v>
      </c>
      <c r="M639" s="33">
        <f t="shared" si="238"/>
        <v>969</v>
      </c>
      <c r="N639" s="22">
        <f t="shared" si="239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236"/>
        <v>5.6</v>
      </c>
      <c r="J640" s="5"/>
      <c r="K640" s="5"/>
      <c r="L640" s="33">
        <f t="shared" si="237"/>
        <v>849.09999999999991</v>
      </c>
      <c r="M640" s="33">
        <f t="shared" si="238"/>
        <v>849.09999999999991</v>
      </c>
      <c r="N640" s="22">
        <f t="shared" si="239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236"/>
        <v>11.2</v>
      </c>
      <c r="J641" s="5"/>
      <c r="K641" s="5"/>
      <c r="L641" s="33">
        <f t="shared" si="237"/>
        <v>1316.6999999999998</v>
      </c>
      <c r="M641" s="33">
        <f t="shared" si="238"/>
        <v>1316.6999999999998</v>
      </c>
      <c r="N641" s="22">
        <f t="shared" si="239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236"/>
        <v>16</v>
      </c>
      <c r="J642" s="5"/>
      <c r="K642" s="5"/>
      <c r="L642" s="33">
        <f t="shared" si="237"/>
        <v>2427</v>
      </c>
      <c r="M642" s="33">
        <f t="shared" si="238"/>
        <v>2427</v>
      </c>
      <c r="N642" s="22">
        <f t="shared" si="239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240">C644*(1-G644)</f>
        <v>12</v>
      </c>
      <c r="J644" s="5"/>
      <c r="K644" s="5"/>
      <c r="L644" s="33">
        <f t="shared" ref="L644:L662" si="241">D644*(1-G644)</f>
        <v>1820</v>
      </c>
      <c r="M644" s="33">
        <f t="shared" ref="M644:M662" si="242">IF(J644="",L644,(D644/C644)*J644)</f>
        <v>1820</v>
      </c>
      <c r="N644" s="22">
        <f t="shared" ref="N644:N662" si="243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240"/>
        <v>8</v>
      </c>
      <c r="J645" s="5"/>
      <c r="K645" s="5"/>
      <c r="L645" s="33">
        <f t="shared" si="241"/>
        <v>1213</v>
      </c>
      <c r="M645" s="33">
        <f t="shared" si="242"/>
        <v>1213</v>
      </c>
      <c r="N645" s="22">
        <f t="shared" si="243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240"/>
        <v>8</v>
      </c>
      <c r="J646" s="5"/>
      <c r="K646" s="5"/>
      <c r="L646" s="33">
        <f t="shared" si="241"/>
        <v>940</v>
      </c>
      <c r="M646" s="33">
        <f t="shared" si="242"/>
        <v>940</v>
      </c>
      <c r="N646" s="22">
        <f t="shared" si="243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240"/>
        <v>16</v>
      </c>
      <c r="J647" s="5"/>
      <c r="K647" s="5"/>
      <c r="L647" s="33">
        <f t="shared" si="241"/>
        <v>2427</v>
      </c>
      <c r="M647" s="33">
        <f t="shared" si="242"/>
        <v>2427</v>
      </c>
      <c r="N647" s="22">
        <f t="shared" si="243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240"/>
        <v>8</v>
      </c>
      <c r="J648" s="5"/>
      <c r="K648" s="5"/>
      <c r="L648" s="33">
        <f t="shared" si="241"/>
        <v>940</v>
      </c>
      <c r="M648" s="33">
        <f t="shared" si="242"/>
        <v>940</v>
      </c>
      <c r="N648" s="22">
        <f t="shared" si="243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240"/>
        <v>8</v>
      </c>
      <c r="J649" s="5"/>
      <c r="K649" s="5"/>
      <c r="L649" s="33">
        <f t="shared" si="241"/>
        <v>1213</v>
      </c>
      <c r="M649" s="33">
        <f t="shared" si="242"/>
        <v>1213</v>
      </c>
      <c r="N649" s="22">
        <f t="shared" si="243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240"/>
        <v>24</v>
      </c>
      <c r="J650" s="5"/>
      <c r="K650" s="5"/>
      <c r="L650" s="33">
        <f t="shared" si="241"/>
        <v>2821</v>
      </c>
      <c r="M650" s="33">
        <f t="shared" si="242"/>
        <v>2821</v>
      </c>
      <c r="N650" s="22">
        <f t="shared" si="243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240"/>
        <v>24</v>
      </c>
      <c r="J651" s="5"/>
      <c r="K651" s="5"/>
      <c r="L651" s="33">
        <f t="shared" si="241"/>
        <v>3640</v>
      </c>
      <c r="M651" s="33">
        <f t="shared" si="242"/>
        <v>3640</v>
      </c>
      <c r="N651" s="22">
        <f t="shared" si="243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240"/>
        <v>48</v>
      </c>
      <c r="J652" s="5"/>
      <c r="K652" s="5"/>
      <c r="L652" s="33">
        <f t="shared" si="241"/>
        <v>5780</v>
      </c>
      <c r="M652" s="33">
        <f t="shared" si="242"/>
        <v>5780</v>
      </c>
      <c r="N652" s="22">
        <f t="shared" si="243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240"/>
        <v>48</v>
      </c>
      <c r="J653" s="5"/>
      <c r="K653" s="5"/>
      <c r="L653" s="33">
        <f t="shared" si="241"/>
        <v>7459</v>
      </c>
      <c r="M653" s="33">
        <f t="shared" si="242"/>
        <v>7459</v>
      </c>
      <c r="N653" s="22">
        <f t="shared" si="243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240"/>
        <v>4</v>
      </c>
      <c r="J654" s="5"/>
      <c r="K654" s="5"/>
      <c r="L654" s="33">
        <f t="shared" si="241"/>
        <v>484</v>
      </c>
      <c r="M654" s="33">
        <f t="shared" si="242"/>
        <v>484</v>
      </c>
      <c r="N654" s="22">
        <f t="shared" si="243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240"/>
        <v>4</v>
      </c>
      <c r="J655" s="5"/>
      <c r="K655" s="5"/>
      <c r="L655" s="33">
        <f t="shared" si="241"/>
        <v>484</v>
      </c>
      <c r="M655" s="33">
        <f t="shared" si="242"/>
        <v>484</v>
      </c>
      <c r="N655" s="22">
        <f t="shared" si="243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240"/>
        <v>8</v>
      </c>
      <c r="J656" s="5"/>
      <c r="K656" s="5"/>
      <c r="L656" s="33">
        <f t="shared" si="241"/>
        <v>1250</v>
      </c>
      <c r="M656" s="33">
        <f t="shared" si="242"/>
        <v>1250</v>
      </c>
      <c r="N656" s="22">
        <f t="shared" si="243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240"/>
        <v>4</v>
      </c>
      <c r="J657" s="5"/>
      <c r="K657" s="5"/>
      <c r="L657" s="33">
        <f t="shared" si="241"/>
        <v>484</v>
      </c>
      <c r="M657" s="33">
        <f t="shared" si="242"/>
        <v>484</v>
      </c>
      <c r="N657" s="22">
        <f t="shared" si="243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240"/>
        <v>12000</v>
      </c>
      <c r="J658" s="5"/>
      <c r="K658" s="5"/>
      <c r="L658" s="33">
        <f t="shared" si="241"/>
        <v>14156</v>
      </c>
      <c r="M658" s="33">
        <f t="shared" si="242"/>
        <v>14156</v>
      </c>
      <c r="N658" s="22">
        <f t="shared" si="243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240"/>
        <v>24</v>
      </c>
      <c r="J659" s="5"/>
      <c r="K659" s="5"/>
      <c r="L659" s="33">
        <f t="shared" si="241"/>
        <v>2821</v>
      </c>
      <c r="M659" s="33">
        <f t="shared" si="242"/>
        <v>2821</v>
      </c>
      <c r="N659" s="22">
        <f t="shared" si="243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240"/>
        <v>48</v>
      </c>
      <c r="J660" s="5"/>
      <c r="K660" s="5"/>
      <c r="L660" s="33">
        <f t="shared" si="241"/>
        <v>7281</v>
      </c>
      <c r="M660" s="33">
        <f t="shared" si="242"/>
        <v>7281</v>
      </c>
      <c r="N660" s="22">
        <f t="shared" si="243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240"/>
        <v>8</v>
      </c>
      <c r="J661" s="5"/>
      <c r="K661" s="5"/>
      <c r="L661" s="33">
        <f t="shared" si="241"/>
        <v>940</v>
      </c>
      <c r="M661" s="33">
        <f t="shared" si="242"/>
        <v>940</v>
      </c>
      <c r="N661" s="22">
        <f t="shared" si="243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240"/>
        <v>16</v>
      </c>
      <c r="J662" s="5"/>
      <c r="K662" s="5"/>
      <c r="L662" s="33">
        <f t="shared" si="241"/>
        <v>2427</v>
      </c>
      <c r="M662" s="33">
        <f t="shared" si="242"/>
        <v>2427</v>
      </c>
      <c r="N662" s="22">
        <f t="shared" si="243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244">C664*(1-G664)</f>
        <v>3.2</v>
      </c>
      <c r="J664" s="5"/>
      <c r="K664" s="5"/>
      <c r="L664" s="33">
        <f t="shared" ref="L664:L693" si="245">D664*(1-G664)</f>
        <v>485.20000000000005</v>
      </c>
      <c r="M664" s="33">
        <f t="shared" ref="M664:M693" si="246">IF(J664="",L664,(D664/C664)*J664)</f>
        <v>485.20000000000005</v>
      </c>
      <c r="N664" s="22">
        <f t="shared" ref="N664:N693" si="247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244"/>
        <v>8</v>
      </c>
      <c r="J665" s="5"/>
      <c r="K665" s="5"/>
      <c r="L665" s="33">
        <f t="shared" si="245"/>
        <v>1213</v>
      </c>
      <c r="M665" s="33">
        <f t="shared" si="246"/>
        <v>1213</v>
      </c>
      <c r="N665" s="22">
        <f t="shared" si="247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244"/>
        <v>8</v>
      </c>
      <c r="J666" s="5"/>
      <c r="K666" s="5"/>
      <c r="L666" s="33">
        <f t="shared" si="245"/>
        <v>1213</v>
      </c>
      <c r="M666" s="33">
        <f t="shared" si="246"/>
        <v>1213</v>
      </c>
      <c r="N666" s="22">
        <f t="shared" si="247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244"/>
        <v>8</v>
      </c>
      <c r="J667" s="5"/>
      <c r="K667" s="5"/>
      <c r="L667" s="33">
        <f t="shared" si="245"/>
        <v>940</v>
      </c>
      <c r="M667" s="33">
        <f t="shared" si="246"/>
        <v>940</v>
      </c>
      <c r="N667" s="22">
        <f t="shared" si="247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244"/>
        <v>2</v>
      </c>
      <c r="J668" s="5"/>
      <c r="K668" s="5"/>
      <c r="L668" s="33">
        <f t="shared" si="245"/>
        <v>303</v>
      </c>
      <c r="M668" s="33">
        <f t="shared" si="246"/>
        <v>303</v>
      </c>
      <c r="N668" s="22">
        <f t="shared" si="247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244"/>
        <v>2</v>
      </c>
      <c r="J669" s="5"/>
      <c r="K669" s="5"/>
      <c r="L669" s="33">
        <f t="shared" si="245"/>
        <v>303</v>
      </c>
      <c r="M669" s="33">
        <f t="shared" si="246"/>
        <v>303</v>
      </c>
      <c r="N669" s="22">
        <f t="shared" si="247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244"/>
        <v>72</v>
      </c>
      <c r="J670" s="5"/>
      <c r="K670" s="5"/>
      <c r="L670" s="33">
        <f t="shared" si="245"/>
        <v>11205</v>
      </c>
      <c r="M670" s="33">
        <f t="shared" si="246"/>
        <v>11205</v>
      </c>
      <c r="N670" s="22">
        <f t="shared" si="247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244"/>
        <v>72</v>
      </c>
      <c r="J671" s="5"/>
      <c r="K671" s="5"/>
      <c r="L671" s="33">
        <f t="shared" si="245"/>
        <v>8683</v>
      </c>
      <c r="M671" s="33">
        <f t="shared" si="246"/>
        <v>8683</v>
      </c>
      <c r="N671" s="22">
        <f t="shared" si="247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244"/>
        <v>72</v>
      </c>
      <c r="J672" s="5"/>
      <c r="K672" s="5"/>
      <c r="L672" s="33">
        <f t="shared" si="245"/>
        <v>8683</v>
      </c>
      <c r="M672" s="33">
        <f t="shared" si="246"/>
        <v>8683</v>
      </c>
      <c r="N672" s="22">
        <f t="shared" si="247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244"/>
        <v>72</v>
      </c>
      <c r="J673" s="5"/>
      <c r="K673" s="5"/>
      <c r="L673" s="33">
        <f t="shared" si="245"/>
        <v>8683</v>
      </c>
      <c r="M673" s="33">
        <f t="shared" si="246"/>
        <v>8683</v>
      </c>
      <c r="N673" s="22">
        <f t="shared" si="247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244"/>
        <v>2</v>
      </c>
      <c r="J674" s="5"/>
      <c r="K674" s="5"/>
      <c r="L674" s="33">
        <f t="shared" si="245"/>
        <v>312</v>
      </c>
      <c r="M674" s="33">
        <f t="shared" si="246"/>
        <v>312</v>
      </c>
      <c r="N674" s="22">
        <f t="shared" si="247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244"/>
        <v>10000</v>
      </c>
      <c r="J675" s="5"/>
      <c r="K675" s="5"/>
      <c r="L675" s="33">
        <f t="shared" si="245"/>
        <v>11808</v>
      </c>
      <c r="M675" s="33">
        <f t="shared" si="246"/>
        <v>11808</v>
      </c>
      <c r="N675" s="22">
        <f t="shared" si="247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244"/>
        <v>9.6000000000000014</v>
      </c>
      <c r="J676" s="5"/>
      <c r="K676" s="5"/>
      <c r="L676" s="33">
        <f t="shared" si="245"/>
        <v>1456</v>
      </c>
      <c r="M676" s="33">
        <f t="shared" si="246"/>
        <v>1456</v>
      </c>
      <c r="N676" s="22">
        <f t="shared" si="247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244"/>
        <v>24</v>
      </c>
      <c r="J677" s="5"/>
      <c r="K677" s="5"/>
      <c r="L677" s="33">
        <f t="shared" si="245"/>
        <v>2821.2000000000003</v>
      </c>
      <c r="M677" s="33">
        <f t="shared" si="246"/>
        <v>2821.2000000000003</v>
      </c>
      <c r="N677" s="22">
        <f t="shared" si="247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244"/>
        <v>9.6000000000000014</v>
      </c>
      <c r="J678" s="5"/>
      <c r="K678" s="5"/>
      <c r="L678" s="33">
        <f t="shared" si="245"/>
        <v>1128.4000000000001</v>
      </c>
      <c r="M678" s="33">
        <f t="shared" si="246"/>
        <v>1128.4000000000001</v>
      </c>
      <c r="N678" s="22">
        <f t="shared" si="247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244"/>
        <v>9.6000000000000014</v>
      </c>
      <c r="J679" s="5"/>
      <c r="K679" s="5"/>
      <c r="L679" s="33">
        <f t="shared" si="245"/>
        <v>1128.4000000000001</v>
      </c>
      <c r="M679" s="33">
        <f t="shared" si="246"/>
        <v>1128.4000000000001</v>
      </c>
      <c r="N679" s="22">
        <f t="shared" si="247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244"/>
        <v>8</v>
      </c>
      <c r="J680" s="5"/>
      <c r="K680" s="5"/>
      <c r="L680" s="33">
        <f t="shared" si="245"/>
        <v>1213</v>
      </c>
      <c r="M680" s="33">
        <f t="shared" si="246"/>
        <v>1213</v>
      </c>
      <c r="N680" s="22">
        <f t="shared" si="247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244"/>
        <v>8</v>
      </c>
      <c r="J681" s="5"/>
      <c r="K681" s="5"/>
      <c r="L681" s="33">
        <f t="shared" si="245"/>
        <v>940</v>
      </c>
      <c r="M681" s="33">
        <f t="shared" si="246"/>
        <v>940</v>
      </c>
      <c r="N681" s="22">
        <f t="shared" si="247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244"/>
        <v>24</v>
      </c>
      <c r="J682" s="5"/>
      <c r="K682" s="5"/>
      <c r="L682" s="33">
        <f t="shared" si="245"/>
        <v>3640</v>
      </c>
      <c r="M682" s="33">
        <f t="shared" si="246"/>
        <v>3640</v>
      </c>
      <c r="N682" s="22">
        <f t="shared" si="247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244"/>
        <v>24</v>
      </c>
      <c r="J683" s="5"/>
      <c r="K683" s="5"/>
      <c r="L683" s="33">
        <f t="shared" si="245"/>
        <v>2821</v>
      </c>
      <c r="M683" s="33">
        <f t="shared" si="246"/>
        <v>2821</v>
      </c>
      <c r="N683" s="22">
        <f t="shared" si="247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244"/>
        <v>24</v>
      </c>
      <c r="J684" s="5"/>
      <c r="K684" s="5"/>
      <c r="L684" s="33">
        <f t="shared" si="245"/>
        <v>2821</v>
      </c>
      <c r="M684" s="33">
        <f t="shared" si="246"/>
        <v>2821</v>
      </c>
      <c r="N684" s="22">
        <f t="shared" si="247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244"/>
        <v>24</v>
      </c>
      <c r="J685" s="5"/>
      <c r="K685" s="5"/>
      <c r="L685" s="33">
        <f t="shared" si="245"/>
        <v>2821</v>
      </c>
      <c r="M685" s="33">
        <f t="shared" si="246"/>
        <v>2821</v>
      </c>
      <c r="N685" s="22">
        <f t="shared" si="247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244"/>
        <v>24</v>
      </c>
      <c r="J686" s="5"/>
      <c r="K686" s="5"/>
      <c r="L686" s="33">
        <f t="shared" si="245"/>
        <v>3640</v>
      </c>
      <c r="M686" s="33">
        <f t="shared" si="246"/>
        <v>3640</v>
      </c>
      <c r="N686" s="22">
        <f t="shared" si="247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244"/>
        <v>24</v>
      </c>
      <c r="J687" s="5"/>
      <c r="K687" s="5"/>
      <c r="L687" s="33">
        <f t="shared" si="245"/>
        <v>2821</v>
      </c>
      <c r="M687" s="33">
        <f t="shared" si="246"/>
        <v>2821</v>
      </c>
      <c r="N687" s="22">
        <f t="shared" si="247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244"/>
        <v>24</v>
      </c>
      <c r="J688" s="5"/>
      <c r="K688" s="5"/>
      <c r="L688" s="33">
        <f t="shared" si="245"/>
        <v>2821</v>
      </c>
      <c r="M688" s="33">
        <f t="shared" si="246"/>
        <v>2821</v>
      </c>
      <c r="N688" s="22">
        <f t="shared" si="247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244"/>
        <v>24</v>
      </c>
      <c r="J689" s="5"/>
      <c r="K689" s="5"/>
      <c r="L689" s="33">
        <f t="shared" si="245"/>
        <v>2821</v>
      </c>
      <c r="M689" s="33">
        <f t="shared" si="246"/>
        <v>2821</v>
      </c>
      <c r="N689" s="22">
        <f t="shared" si="247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244"/>
        <v>8</v>
      </c>
      <c r="J690" s="5"/>
      <c r="K690" s="5"/>
      <c r="L690" s="33">
        <f t="shared" si="245"/>
        <v>1250</v>
      </c>
      <c r="M690" s="33">
        <f t="shared" si="246"/>
        <v>1250</v>
      </c>
      <c r="N690" s="22">
        <f t="shared" si="247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244"/>
        <v>8</v>
      </c>
      <c r="J691" s="5"/>
      <c r="K691" s="5"/>
      <c r="L691" s="33">
        <f t="shared" si="245"/>
        <v>969</v>
      </c>
      <c r="M691" s="33">
        <f t="shared" si="246"/>
        <v>969</v>
      </c>
      <c r="N691" s="22">
        <f t="shared" si="247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244"/>
        <v>8</v>
      </c>
      <c r="J692" s="5"/>
      <c r="K692" s="5"/>
      <c r="L692" s="33">
        <f t="shared" si="245"/>
        <v>969</v>
      </c>
      <c r="M692" s="33">
        <f t="shared" si="246"/>
        <v>969</v>
      </c>
      <c r="N692" s="22">
        <f t="shared" si="247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244"/>
        <v>8</v>
      </c>
      <c r="J693" s="5"/>
      <c r="K693" s="5"/>
      <c r="L693" s="33">
        <f t="shared" si="245"/>
        <v>969</v>
      </c>
      <c r="M693" s="33">
        <f t="shared" si="246"/>
        <v>969</v>
      </c>
      <c r="N693" s="22">
        <f t="shared" si="247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248">C695*(1-G695)</f>
        <v>8</v>
      </c>
      <c r="J695" s="5"/>
      <c r="K695" s="5"/>
      <c r="L695" s="33">
        <f t="shared" ref="L695:L721" si="249">D695*(1-G695)</f>
        <v>961</v>
      </c>
      <c r="M695" s="33">
        <f t="shared" ref="M695:M721" si="250">IF(J695="",L695,(D695/C695)*J695)</f>
        <v>961</v>
      </c>
      <c r="N695" s="22">
        <f t="shared" ref="N695:N721" si="251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248"/>
        <v>32</v>
      </c>
      <c r="J696" s="5"/>
      <c r="K696" s="5"/>
      <c r="L696" s="33">
        <f t="shared" si="249"/>
        <v>4959</v>
      </c>
      <c r="M696" s="33">
        <f t="shared" si="250"/>
        <v>4959</v>
      </c>
      <c r="N696" s="22">
        <f t="shared" si="251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248"/>
        <v>8</v>
      </c>
      <c r="J697" s="5"/>
      <c r="K697" s="5"/>
      <c r="L697" s="33">
        <f t="shared" si="249"/>
        <v>1461</v>
      </c>
      <c r="M697" s="33">
        <f t="shared" si="250"/>
        <v>1461</v>
      </c>
      <c r="N697" s="22">
        <f t="shared" si="251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248"/>
        <v>8</v>
      </c>
      <c r="J698" s="5"/>
      <c r="K698" s="5"/>
      <c r="L698" s="33">
        <f t="shared" si="249"/>
        <v>1250</v>
      </c>
      <c r="M698" s="33">
        <f t="shared" si="250"/>
        <v>1250</v>
      </c>
      <c r="N698" s="22">
        <f t="shared" si="251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248"/>
        <v>8</v>
      </c>
      <c r="J699" s="5"/>
      <c r="K699" s="5"/>
      <c r="L699" s="33">
        <f t="shared" si="249"/>
        <v>1461</v>
      </c>
      <c r="M699" s="33">
        <f t="shared" si="250"/>
        <v>1461</v>
      </c>
      <c r="N699" s="22">
        <f t="shared" si="251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248"/>
        <v>16</v>
      </c>
      <c r="J700" s="5"/>
      <c r="K700" s="5"/>
      <c r="L700" s="33">
        <f t="shared" si="249"/>
        <v>1937</v>
      </c>
      <c r="M700" s="33">
        <f t="shared" si="250"/>
        <v>1937</v>
      </c>
      <c r="N700" s="22">
        <f t="shared" si="251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248"/>
        <v>8</v>
      </c>
      <c r="J701" s="5"/>
      <c r="K701" s="5"/>
      <c r="L701" s="33">
        <f t="shared" si="249"/>
        <v>969</v>
      </c>
      <c r="M701" s="33">
        <f t="shared" si="250"/>
        <v>969</v>
      </c>
      <c r="N701" s="22">
        <f t="shared" si="251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248"/>
        <v>8</v>
      </c>
      <c r="J702" s="5"/>
      <c r="K702" s="5"/>
      <c r="L702" s="33">
        <f t="shared" si="249"/>
        <v>1250</v>
      </c>
      <c r="M702" s="33">
        <f t="shared" si="250"/>
        <v>1250</v>
      </c>
      <c r="N702" s="22">
        <f t="shared" si="251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248"/>
        <v>8</v>
      </c>
      <c r="J703" s="5"/>
      <c r="K703" s="5"/>
      <c r="L703" s="33">
        <f t="shared" si="249"/>
        <v>969</v>
      </c>
      <c r="M703" s="33">
        <f t="shared" si="250"/>
        <v>969</v>
      </c>
      <c r="N703" s="22">
        <f t="shared" si="251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248"/>
        <v>2</v>
      </c>
      <c r="J704" s="5"/>
      <c r="K704" s="5"/>
      <c r="L704" s="33">
        <f t="shared" si="249"/>
        <v>312</v>
      </c>
      <c r="M704" s="33">
        <f t="shared" si="250"/>
        <v>312</v>
      </c>
      <c r="N704" s="22">
        <f t="shared" si="251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248"/>
        <v>8</v>
      </c>
      <c r="J705" s="5"/>
      <c r="K705" s="5"/>
      <c r="L705" s="33">
        <f t="shared" si="249"/>
        <v>969</v>
      </c>
      <c r="M705" s="33">
        <f t="shared" si="250"/>
        <v>969</v>
      </c>
      <c r="N705" s="22">
        <f t="shared" si="251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248"/>
        <v>16</v>
      </c>
      <c r="J706" s="5"/>
      <c r="K706" s="5"/>
      <c r="L706" s="33">
        <f t="shared" si="249"/>
        <v>1937</v>
      </c>
      <c r="M706" s="33">
        <f t="shared" si="250"/>
        <v>1937</v>
      </c>
      <c r="N706" s="22">
        <f t="shared" si="251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248"/>
        <v>16</v>
      </c>
      <c r="J707" s="5"/>
      <c r="K707" s="5"/>
      <c r="L707" s="33">
        <f t="shared" si="249"/>
        <v>2500</v>
      </c>
      <c r="M707" s="33">
        <f t="shared" si="250"/>
        <v>2500</v>
      </c>
      <c r="N707" s="22">
        <f t="shared" si="251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248"/>
        <v>16</v>
      </c>
      <c r="J708" s="5"/>
      <c r="K708" s="5"/>
      <c r="L708" s="33">
        <f t="shared" si="249"/>
        <v>1937</v>
      </c>
      <c r="M708" s="33">
        <f t="shared" si="250"/>
        <v>1937</v>
      </c>
      <c r="N708" s="22">
        <f t="shared" si="251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248"/>
        <v>24</v>
      </c>
      <c r="J709" s="5"/>
      <c r="K709" s="5"/>
      <c r="L709" s="33">
        <f t="shared" si="249"/>
        <v>2906</v>
      </c>
      <c r="M709" s="33">
        <f t="shared" si="250"/>
        <v>2906</v>
      </c>
      <c r="N709" s="22">
        <f t="shared" si="251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248"/>
        <v>48</v>
      </c>
      <c r="J710" s="5"/>
      <c r="K710" s="5"/>
      <c r="L710" s="33">
        <f t="shared" si="249"/>
        <v>5811</v>
      </c>
      <c r="M710" s="33">
        <f t="shared" si="250"/>
        <v>5811</v>
      </c>
      <c r="N710" s="22">
        <f t="shared" si="251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248"/>
        <v>48</v>
      </c>
      <c r="J711" s="5"/>
      <c r="K711" s="5"/>
      <c r="L711" s="33">
        <f t="shared" si="249"/>
        <v>7499</v>
      </c>
      <c r="M711" s="33">
        <f t="shared" si="250"/>
        <v>7499</v>
      </c>
      <c r="N711" s="22">
        <f t="shared" si="251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248"/>
        <v>48</v>
      </c>
      <c r="J712" s="5"/>
      <c r="K712" s="5"/>
      <c r="L712" s="33">
        <f t="shared" si="249"/>
        <v>5811</v>
      </c>
      <c r="M712" s="33">
        <f t="shared" si="250"/>
        <v>5811</v>
      </c>
      <c r="N712" s="22">
        <f t="shared" si="251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248"/>
        <v>8</v>
      </c>
      <c r="J713" s="5"/>
      <c r="K713" s="5"/>
      <c r="L713" s="33">
        <f t="shared" si="249"/>
        <v>1461</v>
      </c>
      <c r="M713" s="33">
        <f t="shared" si="250"/>
        <v>1461</v>
      </c>
      <c r="N713" s="22">
        <f t="shared" si="251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248"/>
        <v>4</v>
      </c>
      <c r="J714" s="5"/>
      <c r="K714" s="5"/>
      <c r="L714" s="33">
        <f t="shared" si="249"/>
        <v>484</v>
      </c>
      <c r="M714" s="33">
        <f t="shared" si="250"/>
        <v>484</v>
      </c>
      <c r="N714" s="22">
        <f t="shared" si="251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248"/>
        <v>8</v>
      </c>
      <c r="J715" s="5"/>
      <c r="K715" s="5"/>
      <c r="L715" s="33">
        <f t="shared" si="249"/>
        <v>969</v>
      </c>
      <c r="M715" s="33">
        <f t="shared" si="250"/>
        <v>969</v>
      </c>
      <c r="N715" s="22">
        <f t="shared" si="251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248"/>
        <v>8</v>
      </c>
      <c r="J716" s="5"/>
      <c r="K716" s="5"/>
      <c r="L716" s="33">
        <f t="shared" si="249"/>
        <v>1250</v>
      </c>
      <c r="M716" s="33">
        <f t="shared" si="250"/>
        <v>1250</v>
      </c>
      <c r="N716" s="22">
        <f t="shared" si="251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248"/>
        <v>8</v>
      </c>
      <c r="J717" s="5"/>
      <c r="K717" s="5"/>
      <c r="L717" s="33">
        <f t="shared" si="249"/>
        <v>969</v>
      </c>
      <c r="M717" s="33">
        <f t="shared" si="250"/>
        <v>969</v>
      </c>
      <c r="N717" s="22">
        <f t="shared" si="251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248"/>
        <v>20000</v>
      </c>
      <c r="J718" s="5"/>
      <c r="K718" s="5"/>
      <c r="L718" s="33">
        <f t="shared" si="249"/>
        <v>23678</v>
      </c>
      <c r="M718" s="33">
        <f t="shared" si="250"/>
        <v>23678</v>
      </c>
      <c r="N718" s="22">
        <f t="shared" si="251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248"/>
        <v>24</v>
      </c>
      <c r="J719" s="5"/>
      <c r="K719" s="5"/>
      <c r="L719" s="33">
        <f t="shared" si="249"/>
        <v>2906</v>
      </c>
      <c r="M719" s="33">
        <f t="shared" si="250"/>
        <v>2906</v>
      </c>
      <c r="N719" s="22">
        <f t="shared" si="251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248"/>
        <v>24</v>
      </c>
      <c r="J720" s="5"/>
      <c r="K720" s="5"/>
      <c r="L720" s="33">
        <f t="shared" si="249"/>
        <v>3750</v>
      </c>
      <c r="M720" s="33">
        <f t="shared" si="250"/>
        <v>3750</v>
      </c>
      <c r="N720" s="22">
        <f t="shared" si="251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248"/>
        <v>24</v>
      </c>
      <c r="J721" s="5"/>
      <c r="K721" s="5"/>
      <c r="L721" s="33">
        <f t="shared" si="249"/>
        <v>2906</v>
      </c>
      <c r="M721" s="33">
        <f t="shared" si="250"/>
        <v>2906</v>
      </c>
      <c r="N721" s="22">
        <f t="shared" si="251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252">C723*(1-G723)</f>
        <v>4</v>
      </c>
      <c r="J723" s="5"/>
      <c r="K723" s="5"/>
      <c r="L723" s="33">
        <f t="shared" ref="L723:L757" si="253">D723*(1-G723)</f>
        <v>625</v>
      </c>
      <c r="M723" s="33">
        <f t="shared" ref="M723:M757" si="254">IF(J723="",L723,(D723/C723)*J723)</f>
        <v>625</v>
      </c>
      <c r="N723" s="22">
        <f t="shared" ref="N723:N757" si="255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252"/>
        <v>2</v>
      </c>
      <c r="J724" s="5"/>
      <c r="K724" s="5"/>
      <c r="L724" s="33">
        <f t="shared" si="253"/>
        <v>312</v>
      </c>
      <c r="M724" s="33">
        <f t="shared" si="254"/>
        <v>312</v>
      </c>
      <c r="N724" s="22">
        <f t="shared" si="255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252"/>
        <v>4</v>
      </c>
      <c r="J725" s="5"/>
      <c r="K725" s="5"/>
      <c r="L725" s="33">
        <f t="shared" si="253"/>
        <v>730</v>
      </c>
      <c r="M725" s="33">
        <f t="shared" si="254"/>
        <v>730</v>
      </c>
      <c r="N725" s="22">
        <f t="shared" si="255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252"/>
        <v>4</v>
      </c>
      <c r="J726" s="5"/>
      <c r="K726" s="5"/>
      <c r="L726" s="33">
        <f t="shared" si="253"/>
        <v>625</v>
      </c>
      <c r="M726" s="33">
        <f t="shared" si="254"/>
        <v>625</v>
      </c>
      <c r="N726" s="22">
        <f t="shared" si="255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252"/>
        <v>8</v>
      </c>
      <c r="J727" s="5"/>
      <c r="K727" s="5"/>
      <c r="L727" s="33">
        <f t="shared" si="253"/>
        <v>1461</v>
      </c>
      <c r="M727" s="33">
        <f t="shared" si="254"/>
        <v>1461</v>
      </c>
      <c r="N727" s="22">
        <f t="shared" si="255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252"/>
        <v>8</v>
      </c>
      <c r="J728" s="5"/>
      <c r="K728" s="5"/>
      <c r="L728" s="33">
        <f t="shared" si="253"/>
        <v>969</v>
      </c>
      <c r="M728" s="33">
        <f t="shared" si="254"/>
        <v>969</v>
      </c>
      <c r="N728" s="22">
        <f t="shared" si="255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252"/>
        <v>8</v>
      </c>
      <c r="J729" s="5"/>
      <c r="K729" s="5"/>
      <c r="L729" s="33">
        <f t="shared" si="253"/>
        <v>969</v>
      </c>
      <c r="M729" s="33">
        <f t="shared" si="254"/>
        <v>969</v>
      </c>
      <c r="N729" s="22">
        <f t="shared" si="255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252"/>
        <v>8</v>
      </c>
      <c r="J730" s="5"/>
      <c r="K730" s="5"/>
      <c r="L730" s="33">
        <f t="shared" si="253"/>
        <v>1250</v>
      </c>
      <c r="M730" s="33">
        <f t="shared" si="254"/>
        <v>1250</v>
      </c>
      <c r="N730" s="22">
        <f t="shared" si="255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252"/>
        <v>8</v>
      </c>
      <c r="J731" s="5"/>
      <c r="K731" s="5"/>
      <c r="L731" s="33">
        <f t="shared" si="253"/>
        <v>969</v>
      </c>
      <c r="M731" s="33">
        <f t="shared" si="254"/>
        <v>969</v>
      </c>
      <c r="N731" s="22">
        <f t="shared" si="255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252"/>
        <v>2</v>
      </c>
      <c r="J732" s="5"/>
      <c r="K732" s="5"/>
      <c r="L732" s="33">
        <f t="shared" si="253"/>
        <v>312</v>
      </c>
      <c r="M732" s="33">
        <f t="shared" si="254"/>
        <v>312</v>
      </c>
      <c r="N732" s="22">
        <f t="shared" si="255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252"/>
        <v>8</v>
      </c>
      <c r="J733" s="5"/>
      <c r="K733" s="5"/>
      <c r="L733" s="33">
        <f t="shared" si="253"/>
        <v>969</v>
      </c>
      <c r="M733" s="33">
        <f t="shared" si="254"/>
        <v>969</v>
      </c>
      <c r="N733" s="22">
        <f t="shared" si="255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252"/>
        <v>8</v>
      </c>
      <c r="J734" s="5"/>
      <c r="K734" s="5"/>
      <c r="L734" s="33">
        <f t="shared" si="253"/>
        <v>969</v>
      </c>
      <c r="M734" s="33">
        <f t="shared" si="254"/>
        <v>969</v>
      </c>
      <c r="N734" s="22">
        <f t="shared" si="255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252"/>
        <v>8</v>
      </c>
      <c r="J735" s="5"/>
      <c r="K735" s="5"/>
      <c r="L735" s="33">
        <f t="shared" si="253"/>
        <v>1250</v>
      </c>
      <c r="M735" s="33">
        <f t="shared" si="254"/>
        <v>1250</v>
      </c>
      <c r="N735" s="22">
        <f t="shared" si="255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252"/>
        <v>8</v>
      </c>
      <c r="J736" s="5"/>
      <c r="K736" s="5"/>
      <c r="L736" s="33">
        <f t="shared" si="253"/>
        <v>969</v>
      </c>
      <c r="M736" s="33">
        <f t="shared" si="254"/>
        <v>969</v>
      </c>
      <c r="N736" s="22">
        <f t="shared" si="255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252"/>
        <v>48</v>
      </c>
      <c r="J737" s="5"/>
      <c r="K737" s="5"/>
      <c r="L737" s="33">
        <f t="shared" si="253"/>
        <v>5811</v>
      </c>
      <c r="M737" s="33">
        <f t="shared" si="254"/>
        <v>5811</v>
      </c>
      <c r="N737" s="22">
        <f t="shared" si="255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252"/>
        <v>24</v>
      </c>
      <c r="J738" s="5"/>
      <c r="K738" s="5"/>
      <c r="L738" s="33">
        <f t="shared" si="253"/>
        <v>2906</v>
      </c>
      <c r="M738" s="33">
        <f t="shared" si="254"/>
        <v>2906</v>
      </c>
      <c r="N738" s="22">
        <f t="shared" si="255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252"/>
        <v>24</v>
      </c>
      <c r="J739" s="5"/>
      <c r="K739" s="5"/>
      <c r="L739" s="33">
        <f t="shared" si="253"/>
        <v>3750</v>
      </c>
      <c r="M739" s="33">
        <f t="shared" si="254"/>
        <v>3750</v>
      </c>
      <c r="N739" s="22">
        <f t="shared" si="255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252"/>
        <v>24</v>
      </c>
      <c r="J740" s="5"/>
      <c r="K740" s="5"/>
      <c r="L740" s="33">
        <f t="shared" si="253"/>
        <v>2906</v>
      </c>
      <c r="M740" s="33">
        <f t="shared" si="254"/>
        <v>2906</v>
      </c>
      <c r="N740" s="22">
        <f t="shared" si="255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252"/>
        <v>2</v>
      </c>
      <c r="J741" s="5"/>
      <c r="K741" s="5"/>
      <c r="L741" s="33">
        <f t="shared" si="253"/>
        <v>312</v>
      </c>
      <c r="M741" s="33">
        <f t="shared" si="254"/>
        <v>312</v>
      </c>
      <c r="N741" s="22">
        <f t="shared" si="255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252"/>
        <v>50000</v>
      </c>
      <c r="J742" s="5"/>
      <c r="K742" s="5"/>
      <c r="L742" s="33">
        <f t="shared" si="253"/>
        <v>59195</v>
      </c>
      <c r="M742" s="33">
        <f t="shared" si="254"/>
        <v>59195</v>
      </c>
      <c r="N742" s="22">
        <f t="shared" si="255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252"/>
        <v>8</v>
      </c>
      <c r="J743" s="5"/>
      <c r="K743" s="5"/>
      <c r="L743" s="33">
        <f t="shared" si="253"/>
        <v>1461</v>
      </c>
      <c r="M743" s="33">
        <f t="shared" si="254"/>
        <v>1461</v>
      </c>
      <c r="N743" s="22">
        <f t="shared" si="255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252"/>
        <v>8</v>
      </c>
      <c r="J744" s="5"/>
      <c r="K744" s="5"/>
      <c r="L744" s="33">
        <f t="shared" si="253"/>
        <v>969</v>
      </c>
      <c r="M744" s="33">
        <f t="shared" si="254"/>
        <v>969</v>
      </c>
      <c r="N744" s="22">
        <f t="shared" si="255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252"/>
        <v>8</v>
      </c>
      <c r="J745" s="5"/>
      <c r="K745" s="5"/>
      <c r="L745" s="33">
        <f t="shared" si="253"/>
        <v>969</v>
      </c>
      <c r="M745" s="33">
        <f t="shared" si="254"/>
        <v>969</v>
      </c>
      <c r="N745" s="22">
        <f t="shared" si="255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252"/>
        <v>8</v>
      </c>
      <c r="J746" s="5"/>
      <c r="K746" s="5"/>
      <c r="L746" s="33">
        <f t="shared" si="253"/>
        <v>969</v>
      </c>
      <c r="M746" s="33">
        <f t="shared" si="254"/>
        <v>969</v>
      </c>
      <c r="N746" s="22">
        <f t="shared" si="255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252"/>
        <v>8</v>
      </c>
      <c r="J747" s="5"/>
      <c r="K747" s="5"/>
      <c r="L747" s="33">
        <f t="shared" si="253"/>
        <v>1250</v>
      </c>
      <c r="M747" s="33">
        <f t="shared" si="254"/>
        <v>1250</v>
      </c>
      <c r="N747" s="22">
        <f t="shared" si="255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252"/>
        <v>8</v>
      </c>
      <c r="J748" s="5"/>
      <c r="K748" s="5"/>
      <c r="L748" s="33">
        <f t="shared" si="253"/>
        <v>969</v>
      </c>
      <c r="M748" s="33">
        <f t="shared" si="254"/>
        <v>969</v>
      </c>
      <c r="N748" s="22">
        <f t="shared" si="255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252"/>
        <v>4</v>
      </c>
      <c r="J749" s="5"/>
      <c r="K749" s="5"/>
      <c r="L749" s="33">
        <f t="shared" si="253"/>
        <v>625</v>
      </c>
      <c r="M749" s="33">
        <f t="shared" si="254"/>
        <v>625</v>
      </c>
      <c r="N749" s="22">
        <f t="shared" si="255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252"/>
        <v>24</v>
      </c>
      <c r="J750" s="5"/>
      <c r="K750" s="5"/>
      <c r="L750" s="33">
        <f t="shared" si="253"/>
        <v>2906</v>
      </c>
      <c r="M750" s="33">
        <f t="shared" si="254"/>
        <v>2906</v>
      </c>
      <c r="N750" s="22">
        <f t="shared" si="255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252"/>
        <v>24</v>
      </c>
      <c r="J751" s="5"/>
      <c r="K751" s="5"/>
      <c r="L751" s="33">
        <f t="shared" si="253"/>
        <v>3750</v>
      </c>
      <c r="M751" s="33">
        <f t="shared" si="254"/>
        <v>3750</v>
      </c>
      <c r="N751" s="22">
        <f t="shared" si="255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252"/>
        <v>24</v>
      </c>
      <c r="J752" s="5"/>
      <c r="K752" s="5"/>
      <c r="L752" s="33">
        <f t="shared" si="253"/>
        <v>2906</v>
      </c>
      <c r="M752" s="33">
        <f t="shared" si="254"/>
        <v>2906</v>
      </c>
      <c r="N752" s="22">
        <f t="shared" si="255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252"/>
        <v>8</v>
      </c>
      <c r="J753" s="5"/>
      <c r="K753" s="5"/>
      <c r="L753" s="33">
        <f t="shared" si="253"/>
        <v>1461</v>
      </c>
      <c r="M753" s="33">
        <f t="shared" si="254"/>
        <v>1461</v>
      </c>
      <c r="N753" s="22">
        <f t="shared" si="255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252"/>
        <v>4</v>
      </c>
      <c r="J754" s="5"/>
      <c r="K754" s="5"/>
      <c r="L754" s="33">
        <f t="shared" si="253"/>
        <v>484</v>
      </c>
      <c r="M754" s="33">
        <f t="shared" si="254"/>
        <v>484</v>
      </c>
      <c r="N754" s="22">
        <f t="shared" si="255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252"/>
        <v>8</v>
      </c>
      <c r="J755" s="5"/>
      <c r="K755" s="5"/>
      <c r="L755" s="33">
        <f t="shared" si="253"/>
        <v>969</v>
      </c>
      <c r="M755" s="33">
        <f t="shared" si="254"/>
        <v>969</v>
      </c>
      <c r="N755" s="22">
        <f t="shared" si="255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252"/>
        <v>8</v>
      </c>
      <c r="J756" s="5"/>
      <c r="K756" s="5"/>
      <c r="L756" s="33">
        <f t="shared" si="253"/>
        <v>1250</v>
      </c>
      <c r="M756" s="33">
        <f t="shared" si="254"/>
        <v>1250</v>
      </c>
      <c r="N756" s="22">
        <f t="shared" si="255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252"/>
        <v>8</v>
      </c>
      <c r="J757" s="5"/>
      <c r="K757" s="5"/>
      <c r="L757" s="33">
        <f t="shared" si="253"/>
        <v>969</v>
      </c>
      <c r="M757" s="33">
        <f t="shared" si="254"/>
        <v>969</v>
      </c>
      <c r="N757" s="22">
        <f t="shared" si="255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 t="shared" ref="I759:I760" si="256">C759*(1-G759)</f>
        <v>352</v>
      </c>
      <c r="J759" s="5"/>
      <c r="K759" s="5"/>
      <c r="L759" s="33">
        <f t="shared" ref="L759:L760" si="257">D759*(1-G759)</f>
        <v>37426</v>
      </c>
      <c r="M759" s="33">
        <f t="shared" ref="M759:M760" si="258">IF(J759="",L759,(D759/C759)*J759)</f>
        <v>37426</v>
      </c>
      <c r="N759" s="22">
        <f t="shared" ref="N759:N760" si="259"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 t="shared" si="256"/>
        <v>113</v>
      </c>
      <c r="J760" s="5"/>
      <c r="K760" s="5"/>
      <c r="L760" s="33">
        <f t="shared" si="257"/>
        <v>12375</v>
      </c>
      <c r="M760" s="33">
        <f t="shared" si="258"/>
        <v>12375</v>
      </c>
      <c r="N760" s="22">
        <f t="shared" si="259"/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 t="shared" ref="I762:I765" si="260">C762*(1-G762)</f>
        <v>8</v>
      </c>
      <c r="J762" s="5"/>
      <c r="K762" s="5"/>
      <c r="L762" s="33">
        <f t="shared" ref="L762:L765" si="261">D762*(1-G762)</f>
        <v>965</v>
      </c>
      <c r="M762" s="33">
        <f t="shared" ref="M762:M765" si="262">IF(J762="",L762,(D762/C762)*J762)</f>
        <v>965</v>
      </c>
      <c r="N762" s="22">
        <f t="shared" ref="N762:N765" si="263"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 t="shared" si="260"/>
        <v>40</v>
      </c>
      <c r="J763" s="5"/>
      <c r="K763" s="5"/>
      <c r="L763" s="33">
        <f t="shared" si="261"/>
        <v>4824</v>
      </c>
      <c r="M763" s="33">
        <f t="shared" si="262"/>
        <v>4824</v>
      </c>
      <c r="N763" s="22">
        <f t="shared" si="263"/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 t="shared" si="260"/>
        <v>16</v>
      </c>
      <c r="J764" s="5"/>
      <c r="K764" s="5"/>
      <c r="L764" s="33">
        <f t="shared" si="261"/>
        <v>2490</v>
      </c>
      <c r="M764" s="33">
        <f t="shared" si="262"/>
        <v>2490</v>
      </c>
      <c r="N764" s="22">
        <f t="shared" si="263"/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 t="shared" si="260"/>
        <v>100000</v>
      </c>
      <c r="J765" s="5"/>
      <c r="K765" s="5"/>
      <c r="L765" s="33">
        <f t="shared" si="261"/>
        <v>111561</v>
      </c>
      <c r="M765" s="33">
        <f t="shared" si="262"/>
        <v>111561</v>
      </c>
      <c r="N765" s="22">
        <f t="shared" si="263"/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264">C767*(1-G767)</f>
        <v>4</v>
      </c>
      <c r="J767" s="5"/>
      <c r="K767" s="5"/>
      <c r="L767" s="33">
        <f t="shared" ref="L767:L788" si="265">D767*(1-G767)</f>
        <v>538</v>
      </c>
      <c r="M767" s="33">
        <f t="shared" ref="M767:M788" si="266">IF(J767="",L767,(D767/C767)*J767)</f>
        <v>538</v>
      </c>
      <c r="N767" s="22">
        <f t="shared" ref="N767:N788" si="267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264"/>
        <v>16</v>
      </c>
      <c r="J768" s="5"/>
      <c r="K768" s="5"/>
      <c r="L768" s="33">
        <f t="shared" si="265"/>
        <v>1651.5</v>
      </c>
      <c r="M768" s="33">
        <f t="shared" si="266"/>
        <v>1651.5</v>
      </c>
      <c r="N768" s="22">
        <f t="shared" si="267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264"/>
        <v>4</v>
      </c>
      <c r="J769" s="5"/>
      <c r="K769" s="5"/>
      <c r="L769" s="33">
        <f t="shared" si="265"/>
        <v>606.5</v>
      </c>
      <c r="M769" s="33">
        <f t="shared" si="266"/>
        <v>606.5</v>
      </c>
      <c r="N769" s="22">
        <f t="shared" si="267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264"/>
        <v>4</v>
      </c>
      <c r="J770" s="5"/>
      <c r="K770" s="5"/>
      <c r="L770" s="33">
        <f t="shared" si="265"/>
        <v>538</v>
      </c>
      <c r="M770" s="33">
        <f t="shared" si="266"/>
        <v>538</v>
      </c>
      <c r="N770" s="22">
        <f t="shared" si="267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264"/>
        <v>8</v>
      </c>
      <c r="J771" s="5"/>
      <c r="K771" s="5"/>
      <c r="L771" s="33">
        <f t="shared" si="265"/>
        <v>826</v>
      </c>
      <c r="M771" s="33">
        <f t="shared" si="266"/>
        <v>826</v>
      </c>
      <c r="N771" s="22">
        <f t="shared" si="267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264"/>
        <v>4</v>
      </c>
      <c r="J772" s="5"/>
      <c r="K772" s="5"/>
      <c r="L772" s="33">
        <f t="shared" si="265"/>
        <v>607</v>
      </c>
      <c r="M772" s="33">
        <f t="shared" si="266"/>
        <v>607</v>
      </c>
      <c r="N772" s="22">
        <f t="shared" si="267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264"/>
        <v>8</v>
      </c>
      <c r="J773" s="5"/>
      <c r="K773" s="5"/>
      <c r="L773" s="33">
        <f t="shared" si="265"/>
        <v>1076</v>
      </c>
      <c r="M773" s="33">
        <f t="shared" si="266"/>
        <v>1076</v>
      </c>
      <c r="N773" s="22">
        <f t="shared" si="267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264"/>
        <v>16</v>
      </c>
      <c r="J774" s="5"/>
      <c r="K774" s="5"/>
      <c r="L774" s="33">
        <f t="shared" si="265"/>
        <v>1652</v>
      </c>
      <c r="M774" s="33">
        <f t="shared" si="266"/>
        <v>1652</v>
      </c>
      <c r="N774" s="22">
        <f t="shared" si="267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264"/>
        <v>8</v>
      </c>
      <c r="J775" s="5"/>
      <c r="K775" s="5"/>
      <c r="L775" s="33">
        <f t="shared" si="265"/>
        <v>1213</v>
      </c>
      <c r="M775" s="33">
        <f t="shared" si="266"/>
        <v>1213</v>
      </c>
      <c r="N775" s="22">
        <f t="shared" si="267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264"/>
        <v>16</v>
      </c>
      <c r="J776" s="5"/>
      <c r="K776" s="5"/>
      <c r="L776" s="33">
        <f t="shared" si="265"/>
        <v>2152</v>
      </c>
      <c r="M776" s="33">
        <f t="shared" si="266"/>
        <v>2152</v>
      </c>
      <c r="N776" s="22">
        <f t="shared" si="267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264"/>
        <v>32</v>
      </c>
      <c r="J777" s="5"/>
      <c r="K777" s="5"/>
      <c r="L777" s="33">
        <f t="shared" si="265"/>
        <v>3303</v>
      </c>
      <c r="M777" s="33">
        <f t="shared" si="266"/>
        <v>3303</v>
      </c>
      <c r="N777" s="22">
        <f t="shared" si="267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264"/>
        <v>4</v>
      </c>
      <c r="J778" s="5"/>
      <c r="K778" s="5"/>
      <c r="L778" s="33">
        <f t="shared" si="265"/>
        <v>607</v>
      </c>
      <c r="M778" s="33">
        <f t="shared" si="266"/>
        <v>607</v>
      </c>
      <c r="N778" s="22">
        <f t="shared" si="267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264"/>
        <v>16</v>
      </c>
      <c r="J779" s="5"/>
      <c r="K779" s="5"/>
      <c r="L779" s="33">
        <f t="shared" si="265"/>
        <v>2152</v>
      </c>
      <c r="M779" s="33">
        <f t="shared" si="266"/>
        <v>2152</v>
      </c>
      <c r="N779" s="22">
        <f t="shared" si="267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264"/>
        <v>32</v>
      </c>
      <c r="J780" s="5"/>
      <c r="K780" s="5"/>
      <c r="L780" s="33">
        <f t="shared" si="265"/>
        <v>3303</v>
      </c>
      <c r="M780" s="33">
        <f t="shared" si="266"/>
        <v>3303</v>
      </c>
      <c r="N780" s="22">
        <f t="shared" si="267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264"/>
        <v>4</v>
      </c>
      <c r="J781" s="5"/>
      <c r="K781" s="5"/>
      <c r="L781" s="33">
        <f t="shared" si="265"/>
        <v>607</v>
      </c>
      <c r="M781" s="33">
        <f t="shared" si="266"/>
        <v>607</v>
      </c>
      <c r="N781" s="22">
        <f t="shared" si="267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264"/>
        <v>48</v>
      </c>
      <c r="J782" s="5"/>
      <c r="K782" s="5"/>
      <c r="L782" s="33">
        <f t="shared" si="265"/>
        <v>6457</v>
      </c>
      <c r="M782" s="33">
        <f t="shared" si="266"/>
        <v>6457</v>
      </c>
      <c r="N782" s="22">
        <f t="shared" si="267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264"/>
        <v>96</v>
      </c>
      <c r="J783" s="5"/>
      <c r="K783" s="5"/>
      <c r="L783" s="33">
        <f t="shared" si="265"/>
        <v>9910</v>
      </c>
      <c r="M783" s="33">
        <f t="shared" si="266"/>
        <v>9910</v>
      </c>
      <c r="N783" s="22">
        <f t="shared" si="267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264"/>
        <v>40</v>
      </c>
      <c r="J784" s="5"/>
      <c r="K784" s="5"/>
      <c r="L784" s="33">
        <f t="shared" si="265"/>
        <v>4702</v>
      </c>
      <c r="M784" s="33">
        <f t="shared" si="266"/>
        <v>4702</v>
      </c>
      <c r="N784" s="22">
        <f t="shared" si="267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264"/>
        <v>8</v>
      </c>
      <c r="J785" s="5"/>
      <c r="K785" s="5"/>
      <c r="L785" s="33">
        <f t="shared" si="265"/>
        <v>1076</v>
      </c>
      <c r="M785" s="33">
        <f t="shared" si="266"/>
        <v>1076</v>
      </c>
      <c r="N785" s="22">
        <f t="shared" si="267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264"/>
        <v>16</v>
      </c>
      <c r="J786" s="5"/>
      <c r="K786" s="5"/>
      <c r="L786" s="33">
        <f t="shared" si="265"/>
        <v>1652</v>
      </c>
      <c r="M786" s="33">
        <f t="shared" si="266"/>
        <v>1652</v>
      </c>
      <c r="N786" s="22">
        <f t="shared" si="267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264"/>
        <v>2</v>
      </c>
      <c r="J787" s="5"/>
      <c r="K787" s="5"/>
      <c r="L787" s="33">
        <f t="shared" si="265"/>
        <v>303</v>
      </c>
      <c r="M787" s="33">
        <f t="shared" si="266"/>
        <v>303</v>
      </c>
      <c r="N787" s="22">
        <f t="shared" si="267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264"/>
        <v>35000</v>
      </c>
      <c r="J788" s="5"/>
      <c r="K788" s="5"/>
      <c r="L788" s="33">
        <f t="shared" si="265"/>
        <v>40624</v>
      </c>
      <c r="M788" s="33">
        <f t="shared" si="266"/>
        <v>40624</v>
      </c>
      <c r="N788" s="22">
        <f t="shared" si="267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268">C790*(1-G790)</f>
        <v>6.3999999999999986</v>
      </c>
      <c r="J790" s="5"/>
      <c r="K790" s="5"/>
      <c r="L790" s="33">
        <f t="shared" ref="L790:L812" si="269">D790*(1-G790)</f>
        <v>860.79999999999984</v>
      </c>
      <c r="M790" s="33">
        <f t="shared" ref="M790:M812" si="270">IF(J790="",L790,(D790/C790)*J790)</f>
        <v>860.79999999999984</v>
      </c>
      <c r="N790" s="22">
        <f t="shared" ref="N790:N812" si="271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268"/>
        <v>12.799999999999997</v>
      </c>
      <c r="J791" s="5"/>
      <c r="K791" s="5"/>
      <c r="L791" s="33">
        <f t="shared" si="269"/>
        <v>1321.1999999999998</v>
      </c>
      <c r="M791" s="33">
        <f t="shared" si="270"/>
        <v>1321.1999999999998</v>
      </c>
      <c r="N791" s="22">
        <f t="shared" si="271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268"/>
        <v>0.79999999999999982</v>
      </c>
      <c r="J792" s="5"/>
      <c r="K792" s="5"/>
      <c r="L792" s="33">
        <f t="shared" si="269"/>
        <v>121.39999999999998</v>
      </c>
      <c r="M792" s="33">
        <f t="shared" si="270"/>
        <v>121.39999999999998</v>
      </c>
      <c r="N792" s="22">
        <f t="shared" si="271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268"/>
        <v>8</v>
      </c>
      <c r="J793" s="5"/>
      <c r="K793" s="5"/>
      <c r="L793" s="33">
        <f t="shared" si="269"/>
        <v>1076</v>
      </c>
      <c r="M793" s="33">
        <f t="shared" si="270"/>
        <v>1076</v>
      </c>
      <c r="N793" s="22">
        <f t="shared" si="271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268"/>
        <v>16</v>
      </c>
      <c r="J794" s="5"/>
      <c r="K794" s="5"/>
      <c r="L794" s="33">
        <f t="shared" si="269"/>
        <v>1652</v>
      </c>
      <c r="M794" s="33">
        <f t="shared" si="270"/>
        <v>1652</v>
      </c>
      <c r="N794" s="22">
        <f t="shared" si="271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268"/>
        <v>4</v>
      </c>
      <c r="J795" s="5"/>
      <c r="K795" s="5"/>
      <c r="L795" s="33">
        <f t="shared" si="269"/>
        <v>607</v>
      </c>
      <c r="M795" s="33">
        <f t="shared" si="270"/>
        <v>607</v>
      </c>
      <c r="N795" s="22">
        <f t="shared" si="271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268"/>
        <v>8</v>
      </c>
      <c r="J796" s="5"/>
      <c r="K796" s="5"/>
      <c r="L796" s="33">
        <f t="shared" si="269"/>
        <v>1076</v>
      </c>
      <c r="M796" s="33">
        <f t="shared" si="270"/>
        <v>1076</v>
      </c>
      <c r="N796" s="22">
        <f t="shared" si="271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268"/>
        <v>16</v>
      </c>
      <c r="J797" s="5"/>
      <c r="K797" s="5"/>
      <c r="L797" s="33">
        <f t="shared" si="269"/>
        <v>1652</v>
      </c>
      <c r="M797" s="33">
        <f t="shared" si="270"/>
        <v>1652</v>
      </c>
      <c r="N797" s="22">
        <f t="shared" si="271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268"/>
        <v>2</v>
      </c>
      <c r="J798" s="5"/>
      <c r="K798" s="5"/>
      <c r="L798" s="33">
        <f t="shared" si="269"/>
        <v>303</v>
      </c>
      <c r="M798" s="33">
        <f t="shared" si="270"/>
        <v>303</v>
      </c>
      <c r="N798" s="22">
        <f t="shared" si="271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268"/>
        <v>16</v>
      </c>
      <c r="J799" s="5"/>
      <c r="K799" s="5"/>
      <c r="L799" s="33">
        <f t="shared" si="269"/>
        <v>2152</v>
      </c>
      <c r="M799" s="33">
        <f t="shared" si="270"/>
        <v>2152</v>
      </c>
      <c r="N799" s="22">
        <f t="shared" si="271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268"/>
        <v>32</v>
      </c>
      <c r="J800" s="5"/>
      <c r="K800" s="5"/>
      <c r="L800" s="33">
        <f t="shared" si="269"/>
        <v>3303</v>
      </c>
      <c r="M800" s="33">
        <f t="shared" si="270"/>
        <v>3303</v>
      </c>
      <c r="N800" s="22">
        <f t="shared" si="271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268"/>
        <v>4</v>
      </c>
      <c r="J801" s="5"/>
      <c r="K801" s="5"/>
      <c r="L801" s="33">
        <f t="shared" si="269"/>
        <v>607</v>
      </c>
      <c r="M801" s="33">
        <f t="shared" si="270"/>
        <v>607</v>
      </c>
      <c r="N801" s="22">
        <f t="shared" si="271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268"/>
        <v>16</v>
      </c>
      <c r="J802" s="5"/>
      <c r="K802" s="5"/>
      <c r="L802" s="33">
        <f t="shared" si="269"/>
        <v>2152</v>
      </c>
      <c r="M802" s="33">
        <f t="shared" si="270"/>
        <v>2152</v>
      </c>
      <c r="N802" s="22">
        <f t="shared" si="271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268"/>
        <v>32</v>
      </c>
      <c r="J803" s="5"/>
      <c r="K803" s="5"/>
      <c r="L803" s="33">
        <f t="shared" si="269"/>
        <v>3303</v>
      </c>
      <c r="M803" s="33">
        <f t="shared" si="270"/>
        <v>3303</v>
      </c>
      <c r="N803" s="22">
        <f t="shared" si="271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268"/>
        <v>4</v>
      </c>
      <c r="J804" s="5"/>
      <c r="K804" s="5"/>
      <c r="L804" s="33">
        <f t="shared" si="269"/>
        <v>607</v>
      </c>
      <c r="M804" s="33">
        <f t="shared" si="270"/>
        <v>607</v>
      </c>
      <c r="N804" s="22">
        <f t="shared" si="271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268"/>
        <v>20</v>
      </c>
      <c r="J805" s="5"/>
      <c r="K805" s="5"/>
      <c r="L805" s="33">
        <f t="shared" si="269"/>
        <v>2763</v>
      </c>
      <c r="M805" s="33">
        <f t="shared" si="270"/>
        <v>2763</v>
      </c>
      <c r="N805" s="22">
        <f t="shared" si="271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268"/>
        <v>40</v>
      </c>
      <c r="J806" s="5"/>
      <c r="K806" s="5"/>
      <c r="L806" s="33">
        <f t="shared" si="269"/>
        <v>4240.5</v>
      </c>
      <c r="M806" s="33">
        <f t="shared" si="270"/>
        <v>4240.5</v>
      </c>
      <c r="N806" s="22">
        <f t="shared" si="271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268"/>
        <v>1</v>
      </c>
      <c r="J807" s="5"/>
      <c r="K807" s="5"/>
      <c r="L807" s="33">
        <f t="shared" si="269"/>
        <v>156</v>
      </c>
      <c r="M807" s="33">
        <f t="shared" si="270"/>
        <v>156</v>
      </c>
      <c r="N807" s="22">
        <f t="shared" si="271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268"/>
        <v>20</v>
      </c>
      <c r="J808" s="5"/>
      <c r="K808" s="5"/>
      <c r="L808" s="33">
        <f t="shared" si="269"/>
        <v>2421</v>
      </c>
      <c r="M808" s="33">
        <f t="shared" si="270"/>
        <v>2421</v>
      </c>
      <c r="N808" s="22">
        <f t="shared" si="271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268"/>
        <v>4</v>
      </c>
      <c r="J809" s="5"/>
      <c r="K809" s="5"/>
      <c r="L809" s="33">
        <f t="shared" si="269"/>
        <v>554</v>
      </c>
      <c r="M809" s="33">
        <f t="shared" si="270"/>
        <v>554</v>
      </c>
      <c r="N809" s="22">
        <f t="shared" si="271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268"/>
        <v>8</v>
      </c>
      <c r="J810" s="5"/>
      <c r="K810" s="5"/>
      <c r="L810" s="33">
        <f t="shared" si="269"/>
        <v>851</v>
      </c>
      <c r="M810" s="33">
        <f t="shared" si="270"/>
        <v>851</v>
      </c>
      <c r="N810" s="22">
        <f t="shared" si="271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268"/>
        <v>4</v>
      </c>
      <c r="J811" s="5"/>
      <c r="K811" s="5"/>
      <c r="L811" s="33">
        <f t="shared" si="269"/>
        <v>625</v>
      </c>
      <c r="M811" s="33">
        <f t="shared" si="270"/>
        <v>625</v>
      </c>
      <c r="N811" s="22">
        <f t="shared" si="271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268"/>
        <v>32500</v>
      </c>
      <c r="J812" s="5"/>
      <c r="K812" s="5"/>
      <c r="L812" s="33">
        <f t="shared" si="269"/>
        <v>38476.5</v>
      </c>
      <c r="M812" s="33">
        <f t="shared" si="270"/>
        <v>38476.5</v>
      </c>
      <c r="N812" s="22">
        <f t="shared" si="271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272">C814*(1-G814)</f>
        <v>2.25</v>
      </c>
      <c r="J814" s="5"/>
      <c r="K814" s="5"/>
      <c r="L814" s="33">
        <f t="shared" ref="L814:L839" si="273">D814*(1-G814)</f>
        <v>399</v>
      </c>
      <c r="M814" s="33">
        <f t="shared" ref="M814:M839" si="274">IF(J814="",L814,(D814/C814)*J814)</f>
        <v>399</v>
      </c>
      <c r="N814" s="22">
        <f t="shared" ref="N814:N839" si="275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272"/>
        <v>60</v>
      </c>
      <c r="J815" s="5"/>
      <c r="K815" s="5"/>
      <c r="L815" s="33">
        <f t="shared" si="273"/>
        <v>8071</v>
      </c>
      <c r="M815" s="33">
        <f t="shared" si="274"/>
        <v>8071</v>
      </c>
      <c r="N815" s="22">
        <f t="shared" si="275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272"/>
        <v>96</v>
      </c>
      <c r="J816" s="5"/>
      <c r="K816" s="5"/>
      <c r="L816" s="33">
        <f t="shared" si="273"/>
        <v>9910</v>
      </c>
      <c r="M816" s="33">
        <f t="shared" si="274"/>
        <v>9910</v>
      </c>
      <c r="N816" s="22">
        <f t="shared" si="275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272"/>
        <v>8</v>
      </c>
      <c r="J817" s="5"/>
      <c r="K817" s="5"/>
      <c r="L817" s="33">
        <f t="shared" si="273"/>
        <v>1213</v>
      </c>
      <c r="M817" s="33">
        <f t="shared" si="274"/>
        <v>1213</v>
      </c>
      <c r="N817" s="22">
        <f t="shared" si="275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272"/>
        <v>8</v>
      </c>
      <c r="J818" s="5"/>
      <c r="K818" s="5"/>
      <c r="L818" s="33">
        <f t="shared" si="273"/>
        <v>1076</v>
      </c>
      <c r="M818" s="33">
        <f t="shared" si="274"/>
        <v>1076</v>
      </c>
      <c r="N818" s="22">
        <f t="shared" si="275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272"/>
        <v>32</v>
      </c>
      <c r="J819" s="5"/>
      <c r="K819" s="5"/>
      <c r="L819" s="33">
        <f t="shared" si="273"/>
        <v>3303</v>
      </c>
      <c r="M819" s="33">
        <f t="shared" si="274"/>
        <v>3303</v>
      </c>
      <c r="N819" s="22">
        <f t="shared" si="275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272"/>
        <v>8</v>
      </c>
      <c r="J820" s="5"/>
      <c r="K820" s="5"/>
      <c r="L820" s="33">
        <f t="shared" si="273"/>
        <v>1213</v>
      </c>
      <c r="M820" s="33">
        <f t="shared" si="274"/>
        <v>1213</v>
      </c>
      <c r="N820" s="22">
        <f t="shared" si="275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272"/>
        <v>8</v>
      </c>
      <c r="J821" s="5"/>
      <c r="K821" s="5"/>
      <c r="L821" s="33">
        <f t="shared" si="273"/>
        <v>1076</v>
      </c>
      <c r="M821" s="33">
        <f t="shared" si="274"/>
        <v>1076</v>
      </c>
      <c r="N821" s="22">
        <f t="shared" si="275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272"/>
        <v>32</v>
      </c>
      <c r="J822" s="5"/>
      <c r="K822" s="5"/>
      <c r="L822" s="33">
        <f t="shared" si="273"/>
        <v>3303</v>
      </c>
      <c r="M822" s="33">
        <f t="shared" si="274"/>
        <v>3303</v>
      </c>
      <c r="N822" s="22">
        <f t="shared" si="275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272"/>
        <v>4</v>
      </c>
      <c r="J823" s="5"/>
      <c r="K823" s="5"/>
      <c r="L823" s="33">
        <f t="shared" si="273"/>
        <v>607</v>
      </c>
      <c r="M823" s="33">
        <f t="shared" si="274"/>
        <v>607</v>
      </c>
      <c r="N823" s="22">
        <f t="shared" si="275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272"/>
        <v>8</v>
      </c>
      <c r="J824" s="5"/>
      <c r="K824" s="5"/>
      <c r="L824" s="33">
        <f t="shared" si="273"/>
        <v>1076</v>
      </c>
      <c r="M824" s="33">
        <f t="shared" si="274"/>
        <v>1076</v>
      </c>
      <c r="N824" s="22">
        <f t="shared" si="275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272"/>
        <v>16</v>
      </c>
      <c r="J825" s="5"/>
      <c r="K825" s="5"/>
      <c r="L825" s="33">
        <f t="shared" si="273"/>
        <v>1652</v>
      </c>
      <c r="M825" s="33">
        <f t="shared" si="274"/>
        <v>1652</v>
      </c>
      <c r="N825" s="22">
        <f t="shared" si="275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272"/>
        <v>4</v>
      </c>
      <c r="J826" s="5"/>
      <c r="K826" s="5"/>
      <c r="L826" s="33">
        <f t="shared" si="273"/>
        <v>607</v>
      </c>
      <c r="M826" s="33">
        <f t="shared" si="274"/>
        <v>607</v>
      </c>
      <c r="N826" s="22">
        <f t="shared" si="275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272"/>
        <v>24</v>
      </c>
      <c r="J827" s="5"/>
      <c r="K827" s="5"/>
      <c r="L827" s="33">
        <f t="shared" si="273"/>
        <v>3228</v>
      </c>
      <c r="M827" s="33">
        <f t="shared" si="274"/>
        <v>3228</v>
      </c>
      <c r="N827" s="22">
        <f t="shared" si="275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272"/>
        <v>48</v>
      </c>
      <c r="J828" s="5"/>
      <c r="K828" s="5"/>
      <c r="L828" s="33">
        <f t="shared" si="273"/>
        <v>4955</v>
      </c>
      <c r="M828" s="33">
        <f t="shared" si="274"/>
        <v>4955</v>
      </c>
      <c r="N828" s="22">
        <f t="shared" si="275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272"/>
        <v>4</v>
      </c>
      <c r="J829" s="5"/>
      <c r="K829" s="5"/>
      <c r="L829" s="33">
        <f t="shared" si="273"/>
        <v>607</v>
      </c>
      <c r="M829" s="33">
        <f t="shared" si="274"/>
        <v>607</v>
      </c>
      <c r="N829" s="22">
        <f t="shared" si="275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272"/>
        <v>48</v>
      </c>
      <c r="J830" s="5"/>
      <c r="K830" s="5"/>
      <c r="L830" s="33">
        <f t="shared" si="273"/>
        <v>6457</v>
      </c>
      <c r="M830" s="33">
        <f t="shared" si="274"/>
        <v>6457</v>
      </c>
      <c r="N830" s="22">
        <f t="shared" si="275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272"/>
        <v>96</v>
      </c>
      <c r="J831" s="5"/>
      <c r="K831" s="5"/>
      <c r="L831" s="33">
        <f t="shared" si="273"/>
        <v>9910</v>
      </c>
      <c r="M831" s="33">
        <f t="shared" si="274"/>
        <v>9910</v>
      </c>
      <c r="N831" s="22">
        <f t="shared" si="275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272"/>
        <v>2</v>
      </c>
      <c r="J832" s="5"/>
      <c r="K832" s="5"/>
      <c r="L832" s="33">
        <f t="shared" si="273"/>
        <v>303</v>
      </c>
      <c r="M832" s="33">
        <f t="shared" si="274"/>
        <v>303</v>
      </c>
      <c r="N832" s="22">
        <f t="shared" si="275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272"/>
        <v>88</v>
      </c>
      <c r="J833" s="5"/>
      <c r="K833" s="5"/>
      <c r="L833" s="33">
        <f t="shared" si="273"/>
        <v>11837</v>
      </c>
      <c r="M833" s="33">
        <f t="shared" si="274"/>
        <v>11837</v>
      </c>
      <c r="N833" s="22">
        <f t="shared" si="275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272"/>
        <v>16</v>
      </c>
      <c r="J834" s="5"/>
      <c r="K834" s="5"/>
      <c r="L834" s="33">
        <f t="shared" si="273"/>
        <v>1652</v>
      </c>
      <c r="M834" s="33">
        <f t="shared" si="274"/>
        <v>1652</v>
      </c>
      <c r="N834" s="22">
        <f t="shared" si="275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272"/>
        <v>4</v>
      </c>
      <c r="J835" s="5"/>
      <c r="K835" s="5"/>
      <c r="L835" s="33">
        <f t="shared" si="273"/>
        <v>607</v>
      </c>
      <c r="M835" s="33">
        <f t="shared" si="274"/>
        <v>607</v>
      </c>
      <c r="N835" s="22">
        <f t="shared" si="275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272"/>
        <v>32000</v>
      </c>
      <c r="J836" s="5"/>
      <c r="K836" s="5"/>
      <c r="L836" s="33">
        <f t="shared" si="273"/>
        <v>37142</v>
      </c>
      <c r="M836" s="33">
        <f t="shared" si="274"/>
        <v>37142</v>
      </c>
      <c r="N836" s="22">
        <f t="shared" si="275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272"/>
        <v>54</v>
      </c>
      <c r="J837" s="5"/>
      <c r="K837" s="5"/>
      <c r="L837" s="33">
        <f t="shared" si="273"/>
        <v>7263.75</v>
      </c>
      <c r="M837" s="33">
        <f t="shared" si="274"/>
        <v>7263.75</v>
      </c>
      <c r="N837" s="22">
        <f t="shared" si="275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272"/>
        <v>72</v>
      </c>
      <c r="J838" s="5"/>
      <c r="K838" s="5"/>
      <c r="L838" s="33">
        <f t="shared" si="273"/>
        <v>7432.5</v>
      </c>
      <c r="M838" s="33">
        <f t="shared" si="274"/>
        <v>7432.5</v>
      </c>
      <c r="N838" s="22">
        <f t="shared" si="275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272"/>
        <v>7.5</v>
      </c>
      <c r="J839" s="5"/>
      <c r="K839" s="5"/>
      <c r="L839" s="33">
        <f t="shared" si="273"/>
        <v>1137.75</v>
      </c>
      <c r="M839" s="33">
        <f t="shared" si="274"/>
        <v>1137.75</v>
      </c>
      <c r="N839" s="22">
        <f t="shared" si="275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276">C841*(1-G841)</f>
        <v>24</v>
      </c>
      <c r="J841" s="5"/>
      <c r="K841" s="5"/>
      <c r="L841" s="33">
        <f t="shared" ref="L841:L865" si="277">D841*(1-G841)</f>
        <v>3228</v>
      </c>
      <c r="M841" s="33">
        <f t="shared" ref="M841:M865" si="278">IF(J841="",L841,(D841/C841)*J841)</f>
        <v>3228</v>
      </c>
      <c r="N841" s="22">
        <f t="shared" ref="N841:N865" si="279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276"/>
        <v>48</v>
      </c>
      <c r="J842" s="5"/>
      <c r="K842" s="5"/>
      <c r="L842" s="33">
        <f t="shared" si="277"/>
        <v>4955</v>
      </c>
      <c r="M842" s="33">
        <f t="shared" si="278"/>
        <v>4955</v>
      </c>
      <c r="N842" s="22">
        <f t="shared" si="279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276"/>
        <v>20</v>
      </c>
      <c r="J843" s="5"/>
      <c r="K843" s="5"/>
      <c r="L843" s="33">
        <f t="shared" si="277"/>
        <v>3034</v>
      </c>
      <c r="M843" s="33">
        <f t="shared" si="278"/>
        <v>3034</v>
      </c>
      <c r="N843" s="22">
        <f t="shared" si="279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276"/>
        <v>8</v>
      </c>
      <c r="J844" s="5"/>
      <c r="K844" s="5"/>
      <c r="L844" s="33">
        <f t="shared" si="277"/>
        <v>1076</v>
      </c>
      <c r="M844" s="33">
        <f t="shared" si="278"/>
        <v>1076</v>
      </c>
      <c r="N844" s="22">
        <f t="shared" si="279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276"/>
        <v>16</v>
      </c>
      <c r="J845" s="5"/>
      <c r="K845" s="5"/>
      <c r="L845" s="33">
        <f t="shared" si="277"/>
        <v>1652</v>
      </c>
      <c r="M845" s="33">
        <f t="shared" si="278"/>
        <v>1652</v>
      </c>
      <c r="N845" s="22">
        <f t="shared" si="279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276"/>
        <v>5</v>
      </c>
      <c r="J846" s="5"/>
      <c r="K846" s="5"/>
      <c r="L846" s="33">
        <f t="shared" si="277"/>
        <v>758</v>
      </c>
      <c r="M846" s="33">
        <f t="shared" si="278"/>
        <v>758</v>
      </c>
      <c r="N846" s="22">
        <f t="shared" si="279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276"/>
        <v>8</v>
      </c>
      <c r="J847" s="5"/>
      <c r="K847" s="5"/>
      <c r="L847" s="33">
        <f t="shared" si="277"/>
        <v>1076</v>
      </c>
      <c r="M847" s="33">
        <f t="shared" si="278"/>
        <v>1076</v>
      </c>
      <c r="N847" s="22">
        <f t="shared" si="279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276"/>
        <v>16</v>
      </c>
      <c r="J848" s="5"/>
      <c r="K848" s="5"/>
      <c r="L848" s="33">
        <f t="shared" si="277"/>
        <v>1652</v>
      </c>
      <c r="M848" s="33">
        <f t="shared" si="278"/>
        <v>1652</v>
      </c>
      <c r="N848" s="22">
        <f t="shared" si="279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276"/>
        <v>5</v>
      </c>
      <c r="J849" s="5"/>
      <c r="K849" s="5"/>
      <c r="L849" s="33">
        <f t="shared" si="277"/>
        <v>758</v>
      </c>
      <c r="M849" s="33">
        <f t="shared" si="278"/>
        <v>758</v>
      </c>
      <c r="N849" s="22">
        <f t="shared" si="279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276"/>
        <v>72</v>
      </c>
      <c r="J850" s="5"/>
      <c r="K850" s="5"/>
      <c r="L850" s="33">
        <f t="shared" si="277"/>
        <v>9685</v>
      </c>
      <c r="M850" s="33">
        <f t="shared" si="278"/>
        <v>9685</v>
      </c>
      <c r="N850" s="22">
        <f t="shared" si="279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276"/>
        <v>48</v>
      </c>
      <c r="J851" s="5"/>
      <c r="K851" s="5"/>
      <c r="L851" s="33">
        <f t="shared" si="277"/>
        <v>4955</v>
      </c>
      <c r="M851" s="33">
        <f t="shared" si="278"/>
        <v>4955</v>
      </c>
      <c r="N851" s="22">
        <f t="shared" si="279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276"/>
        <v>4</v>
      </c>
      <c r="J852" s="5"/>
      <c r="K852" s="5"/>
      <c r="L852" s="33">
        <f t="shared" si="277"/>
        <v>607</v>
      </c>
      <c r="M852" s="33">
        <f t="shared" si="278"/>
        <v>607</v>
      </c>
      <c r="N852" s="22">
        <f t="shared" si="279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276"/>
        <v>72</v>
      </c>
      <c r="J853" s="5"/>
      <c r="K853" s="5"/>
      <c r="L853" s="33">
        <f t="shared" si="277"/>
        <v>9685</v>
      </c>
      <c r="M853" s="33">
        <f t="shared" si="278"/>
        <v>9685</v>
      </c>
      <c r="N853" s="22">
        <f t="shared" si="279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276"/>
        <v>48</v>
      </c>
      <c r="J854" s="5"/>
      <c r="K854" s="5"/>
      <c r="L854" s="33">
        <f t="shared" si="277"/>
        <v>4955</v>
      </c>
      <c r="M854" s="33">
        <f t="shared" si="278"/>
        <v>4955</v>
      </c>
      <c r="N854" s="22">
        <f t="shared" si="279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276"/>
        <v>2</v>
      </c>
      <c r="J855" s="5"/>
      <c r="K855" s="5"/>
      <c r="L855" s="33">
        <f t="shared" si="277"/>
        <v>303</v>
      </c>
      <c r="M855" s="33">
        <f t="shared" si="278"/>
        <v>303</v>
      </c>
      <c r="N855" s="22">
        <f t="shared" si="279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276"/>
        <v>72</v>
      </c>
      <c r="J856" s="5"/>
      <c r="K856" s="5"/>
      <c r="L856" s="33">
        <f t="shared" si="277"/>
        <v>9685</v>
      </c>
      <c r="M856" s="33">
        <f t="shared" si="278"/>
        <v>9685</v>
      </c>
      <c r="N856" s="22">
        <f t="shared" si="279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276"/>
        <v>144</v>
      </c>
      <c r="J857" s="5"/>
      <c r="K857" s="5"/>
      <c r="L857" s="33">
        <f t="shared" si="277"/>
        <v>14865</v>
      </c>
      <c r="M857" s="33">
        <f t="shared" si="278"/>
        <v>14865</v>
      </c>
      <c r="N857" s="22">
        <f t="shared" si="279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276"/>
        <v>8</v>
      </c>
      <c r="J858" s="5"/>
      <c r="K858" s="5"/>
      <c r="L858" s="33">
        <f t="shared" si="277"/>
        <v>1213</v>
      </c>
      <c r="M858" s="33">
        <f t="shared" si="278"/>
        <v>1213</v>
      </c>
      <c r="N858" s="22">
        <f t="shared" si="279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276"/>
        <v>24</v>
      </c>
      <c r="J859" s="5"/>
      <c r="K859" s="5"/>
      <c r="L859" s="33">
        <f t="shared" si="277"/>
        <v>3228</v>
      </c>
      <c r="M859" s="33">
        <f t="shared" si="278"/>
        <v>3228</v>
      </c>
      <c r="N859" s="22">
        <f t="shared" si="279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276"/>
        <v>16</v>
      </c>
      <c r="J860" s="5"/>
      <c r="K860" s="5"/>
      <c r="L860" s="33">
        <f t="shared" si="277"/>
        <v>1652</v>
      </c>
      <c r="M860" s="33">
        <f t="shared" si="278"/>
        <v>1652</v>
      </c>
      <c r="N860" s="22">
        <f t="shared" si="279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276"/>
        <v>10000</v>
      </c>
      <c r="J861" s="5"/>
      <c r="K861" s="5"/>
      <c r="L861" s="33">
        <f t="shared" si="277"/>
        <v>11607</v>
      </c>
      <c r="M861" s="33">
        <f t="shared" si="278"/>
        <v>11607</v>
      </c>
      <c r="N861" s="22">
        <f t="shared" si="279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276"/>
        <v>108</v>
      </c>
      <c r="J862" s="5"/>
      <c r="K862" s="5"/>
      <c r="L862" s="33">
        <f t="shared" si="277"/>
        <v>13663</v>
      </c>
      <c r="M862" s="33">
        <f t="shared" si="278"/>
        <v>13663</v>
      </c>
      <c r="N862" s="22">
        <f t="shared" si="279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276"/>
        <v>24</v>
      </c>
      <c r="J863" s="5"/>
      <c r="K863" s="5"/>
      <c r="L863" s="33">
        <f t="shared" si="277"/>
        <v>3534</v>
      </c>
      <c r="M863" s="33">
        <f t="shared" si="278"/>
        <v>3534</v>
      </c>
      <c r="N863" s="22">
        <f t="shared" si="279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276"/>
        <v>16</v>
      </c>
      <c r="J864" s="5"/>
      <c r="K864" s="5"/>
      <c r="L864" s="33">
        <f t="shared" si="277"/>
        <v>2024</v>
      </c>
      <c r="M864" s="33">
        <f t="shared" si="278"/>
        <v>2024</v>
      </c>
      <c r="N864" s="22">
        <f t="shared" si="279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276"/>
        <v>8</v>
      </c>
      <c r="J865" s="5"/>
      <c r="K865" s="5"/>
      <c r="L865" s="33">
        <f t="shared" si="277"/>
        <v>1178</v>
      </c>
      <c r="M865" s="33">
        <f t="shared" si="278"/>
        <v>1178</v>
      </c>
      <c r="N865" s="22">
        <f t="shared" si="279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 t="shared" ref="I866:I867" si="280">C866*(1-G866)</f>
        <v>140000</v>
      </c>
      <c r="J866" s="5"/>
      <c r="K866" s="5"/>
      <c r="L866" s="33">
        <f t="shared" ref="L866:L867" si="281">D866*(1-G866)</f>
        <v>162496</v>
      </c>
      <c r="M866" s="33">
        <f t="shared" ref="M866:M867" si="282">IF(J866="",L866,(D866/C866)*J866)</f>
        <v>162496</v>
      </c>
      <c r="N866" s="22">
        <f t="shared" ref="N866:N867" si="283"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 t="shared" si="280"/>
        <v>550000</v>
      </c>
      <c r="J867" s="5"/>
      <c r="K867" s="5"/>
      <c r="L867" s="33">
        <f t="shared" si="281"/>
        <v>613587</v>
      </c>
      <c r="M867" s="33">
        <f t="shared" si="282"/>
        <v>613587</v>
      </c>
      <c r="N867" s="22">
        <f t="shared" si="283"/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284">C869*(1-G869)</f>
        <v>32</v>
      </c>
      <c r="J869" s="5"/>
      <c r="K869" s="5"/>
      <c r="L869" s="33">
        <f t="shared" ref="L869:L926" si="285">D869*(1-G869)</f>
        <v>4961</v>
      </c>
      <c r="M869" s="33">
        <f t="shared" ref="M869:M926" si="286">IF(J869="",L869,(D869/C869)*J869)</f>
        <v>4961</v>
      </c>
      <c r="N869" s="22">
        <f t="shared" ref="N869:N926" si="287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284"/>
        <v>20</v>
      </c>
      <c r="J870" s="5"/>
      <c r="K870" s="5"/>
      <c r="L870" s="33">
        <f t="shared" si="285"/>
        <v>3125</v>
      </c>
      <c r="M870" s="33">
        <f t="shared" si="286"/>
        <v>3125</v>
      </c>
      <c r="N870" s="22">
        <f t="shared" si="287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284"/>
        <v>40</v>
      </c>
      <c r="J871" s="5"/>
      <c r="K871" s="5"/>
      <c r="L871" s="33">
        <f t="shared" si="285"/>
        <v>4843</v>
      </c>
      <c r="M871" s="33">
        <f t="shared" si="286"/>
        <v>4843</v>
      </c>
      <c r="N871" s="22">
        <f t="shared" si="287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284"/>
        <v>16</v>
      </c>
      <c r="J872" s="5"/>
      <c r="K872" s="5"/>
      <c r="L872" s="33">
        <f t="shared" si="285"/>
        <v>1937</v>
      </c>
      <c r="M872" s="33">
        <f t="shared" si="286"/>
        <v>1937</v>
      </c>
      <c r="N872" s="22">
        <f t="shared" si="287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284"/>
        <v>40</v>
      </c>
      <c r="J873" s="5"/>
      <c r="K873" s="5"/>
      <c r="L873" s="33">
        <f t="shared" si="285"/>
        <v>4702</v>
      </c>
      <c r="M873" s="33">
        <f t="shared" si="286"/>
        <v>4702</v>
      </c>
      <c r="N873" s="22">
        <f t="shared" si="287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284"/>
        <v>64</v>
      </c>
      <c r="J874" s="5"/>
      <c r="K874" s="5"/>
      <c r="L874" s="33">
        <f t="shared" si="285"/>
        <v>8245</v>
      </c>
      <c r="M874" s="33">
        <f t="shared" si="286"/>
        <v>8245</v>
      </c>
      <c r="N874" s="22">
        <f t="shared" si="287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284"/>
        <v>40</v>
      </c>
      <c r="J875" s="5"/>
      <c r="K875" s="5"/>
      <c r="L875" s="33">
        <f t="shared" si="285"/>
        <v>4129</v>
      </c>
      <c r="M875" s="33">
        <f t="shared" si="286"/>
        <v>4129</v>
      </c>
      <c r="N875" s="22">
        <f t="shared" si="287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284"/>
        <v>40</v>
      </c>
      <c r="J876" s="5"/>
      <c r="K876" s="5"/>
      <c r="L876" s="33">
        <f t="shared" si="285"/>
        <v>6067</v>
      </c>
      <c r="M876" s="33">
        <f t="shared" si="286"/>
        <v>6067</v>
      </c>
      <c r="N876" s="22">
        <f t="shared" si="287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284"/>
        <v>80</v>
      </c>
      <c r="J877" s="5"/>
      <c r="K877" s="5"/>
      <c r="L877" s="33">
        <f t="shared" si="285"/>
        <v>9686</v>
      </c>
      <c r="M877" s="33">
        <f t="shared" si="286"/>
        <v>9686</v>
      </c>
      <c r="N877" s="22">
        <f t="shared" si="287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284"/>
        <v>80</v>
      </c>
      <c r="J878" s="5"/>
      <c r="K878" s="5"/>
      <c r="L878" s="33">
        <f t="shared" si="285"/>
        <v>10615</v>
      </c>
      <c r="M878" s="33">
        <f t="shared" si="286"/>
        <v>10615</v>
      </c>
      <c r="N878" s="22">
        <f t="shared" si="287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284"/>
        <v>20</v>
      </c>
      <c r="J879" s="5"/>
      <c r="K879" s="5"/>
      <c r="L879" s="33">
        <f t="shared" si="285"/>
        <v>2126</v>
      </c>
      <c r="M879" s="33">
        <f t="shared" si="286"/>
        <v>2126</v>
      </c>
      <c r="N879" s="22">
        <f t="shared" si="287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284"/>
        <v>8</v>
      </c>
      <c r="J880" s="5"/>
      <c r="K880" s="5"/>
      <c r="L880" s="33">
        <f t="shared" si="285"/>
        <v>1250</v>
      </c>
      <c r="M880" s="33">
        <f t="shared" si="286"/>
        <v>1250</v>
      </c>
      <c r="N880" s="22">
        <f t="shared" si="287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284"/>
        <v>80</v>
      </c>
      <c r="J881" s="5"/>
      <c r="K881" s="5"/>
      <c r="L881" s="33">
        <f t="shared" si="285"/>
        <v>9686</v>
      </c>
      <c r="M881" s="33">
        <f t="shared" si="286"/>
        <v>9686</v>
      </c>
      <c r="N881" s="22">
        <f t="shared" si="287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284"/>
        <v>40</v>
      </c>
      <c r="J882" s="5"/>
      <c r="K882" s="5"/>
      <c r="L882" s="33">
        <f t="shared" si="285"/>
        <v>4843</v>
      </c>
      <c r="M882" s="33">
        <f t="shared" si="286"/>
        <v>4843</v>
      </c>
      <c r="N882" s="22">
        <f t="shared" si="287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284"/>
        <v>20</v>
      </c>
      <c r="J883" s="5"/>
      <c r="K883" s="5"/>
      <c r="L883" s="33">
        <f t="shared" si="285"/>
        <v>3125</v>
      </c>
      <c r="M883" s="33">
        <f t="shared" si="286"/>
        <v>3125</v>
      </c>
      <c r="N883" s="22">
        <f t="shared" si="287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284"/>
        <v>20</v>
      </c>
      <c r="J884" s="5"/>
      <c r="K884" s="5"/>
      <c r="L884" s="33">
        <f t="shared" si="285"/>
        <v>3125</v>
      </c>
      <c r="M884" s="33">
        <f t="shared" si="286"/>
        <v>3125</v>
      </c>
      <c r="N884" s="22">
        <f t="shared" si="287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284"/>
        <v>40</v>
      </c>
      <c r="J885" s="5"/>
      <c r="K885" s="5"/>
      <c r="L885" s="33">
        <f t="shared" si="285"/>
        <v>4253</v>
      </c>
      <c r="M885" s="33">
        <f t="shared" si="286"/>
        <v>4253</v>
      </c>
      <c r="N885" s="22">
        <f t="shared" si="287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284"/>
        <v>120</v>
      </c>
      <c r="J886" s="5"/>
      <c r="K886" s="5"/>
      <c r="L886" s="33">
        <f t="shared" si="285"/>
        <v>18748</v>
      </c>
      <c r="M886" s="33">
        <f t="shared" si="286"/>
        <v>18748</v>
      </c>
      <c r="N886" s="22">
        <f t="shared" si="287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284"/>
        <v>280</v>
      </c>
      <c r="J887" s="5"/>
      <c r="K887" s="5"/>
      <c r="L887" s="33">
        <f t="shared" si="285"/>
        <v>33900</v>
      </c>
      <c r="M887" s="33">
        <f t="shared" si="286"/>
        <v>33900</v>
      </c>
      <c r="N887" s="22">
        <f t="shared" si="287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284"/>
        <v>280</v>
      </c>
      <c r="J888" s="5"/>
      <c r="K888" s="5"/>
      <c r="L888" s="33">
        <f t="shared" si="285"/>
        <v>33900</v>
      </c>
      <c r="M888" s="33">
        <f t="shared" si="286"/>
        <v>33900</v>
      </c>
      <c r="N888" s="22">
        <f t="shared" si="287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284"/>
        <v>48</v>
      </c>
      <c r="J889" s="5"/>
      <c r="K889" s="5"/>
      <c r="L889" s="33">
        <f t="shared" si="285"/>
        <v>5811</v>
      </c>
      <c r="M889" s="33">
        <f t="shared" si="286"/>
        <v>5811</v>
      </c>
      <c r="N889" s="22">
        <f t="shared" si="287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284"/>
        <v>120</v>
      </c>
      <c r="J890" s="5"/>
      <c r="K890" s="5"/>
      <c r="L890" s="33">
        <f t="shared" si="285"/>
        <v>18748</v>
      </c>
      <c r="M890" s="33">
        <f t="shared" si="286"/>
        <v>18748</v>
      </c>
      <c r="N890" s="22">
        <f t="shared" si="287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284"/>
        <v>120</v>
      </c>
      <c r="J891" s="5"/>
      <c r="K891" s="5"/>
      <c r="L891" s="33">
        <f t="shared" si="285"/>
        <v>18748</v>
      </c>
      <c r="M891" s="33">
        <f t="shared" si="286"/>
        <v>18748</v>
      </c>
      <c r="N891" s="22">
        <f t="shared" si="287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284"/>
        <v>720</v>
      </c>
      <c r="J892" s="5"/>
      <c r="K892" s="5"/>
      <c r="L892" s="33">
        <f t="shared" si="285"/>
        <v>87172</v>
      </c>
      <c r="M892" s="33">
        <f t="shared" si="286"/>
        <v>87172</v>
      </c>
      <c r="N892" s="22">
        <f t="shared" si="287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284"/>
        <v>96</v>
      </c>
      <c r="J893" s="5"/>
      <c r="K893" s="5"/>
      <c r="L893" s="33">
        <f t="shared" si="285"/>
        <v>11623</v>
      </c>
      <c r="M893" s="33">
        <f t="shared" si="286"/>
        <v>11623</v>
      </c>
      <c r="N893" s="22">
        <f t="shared" si="287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284"/>
        <v>80</v>
      </c>
      <c r="J894" s="5"/>
      <c r="K894" s="5"/>
      <c r="L894" s="33">
        <f t="shared" si="285"/>
        <v>12499</v>
      </c>
      <c r="M894" s="33">
        <f t="shared" si="286"/>
        <v>12499</v>
      </c>
      <c r="N894" s="22">
        <f t="shared" si="287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284"/>
        <v>160</v>
      </c>
      <c r="J895" s="5"/>
      <c r="K895" s="5"/>
      <c r="L895" s="33">
        <f t="shared" si="285"/>
        <v>19372</v>
      </c>
      <c r="M895" s="33">
        <f t="shared" si="286"/>
        <v>19372</v>
      </c>
      <c r="N895" s="22">
        <f t="shared" si="287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284"/>
        <v>160</v>
      </c>
      <c r="J896" s="5"/>
      <c r="K896" s="5"/>
      <c r="L896" s="33">
        <f t="shared" si="285"/>
        <v>19372</v>
      </c>
      <c r="M896" s="33">
        <f t="shared" si="286"/>
        <v>19372</v>
      </c>
      <c r="N896" s="22">
        <f t="shared" si="287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284"/>
        <v>40</v>
      </c>
      <c r="J897" s="5"/>
      <c r="K897" s="5"/>
      <c r="L897" s="33">
        <f t="shared" si="285"/>
        <v>4843</v>
      </c>
      <c r="M897" s="33">
        <f t="shared" si="286"/>
        <v>4843</v>
      </c>
      <c r="N897" s="22">
        <f t="shared" si="287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284"/>
        <v>80</v>
      </c>
      <c r="J898" s="5"/>
      <c r="K898" s="5"/>
      <c r="L898" s="33">
        <f t="shared" si="285"/>
        <v>12499</v>
      </c>
      <c r="M898" s="33">
        <f t="shared" si="286"/>
        <v>12499</v>
      </c>
      <c r="N898" s="22">
        <f t="shared" si="287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284"/>
        <v>500</v>
      </c>
      <c r="J899" s="5"/>
      <c r="K899" s="5"/>
      <c r="L899" s="33">
        <f t="shared" si="285"/>
        <v>589</v>
      </c>
      <c r="M899" s="33">
        <f t="shared" si="286"/>
        <v>589</v>
      </c>
      <c r="N899" s="22">
        <f t="shared" si="287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284"/>
        <v>500</v>
      </c>
      <c r="J900" s="5"/>
      <c r="K900" s="5"/>
      <c r="L900" s="33">
        <f t="shared" si="285"/>
        <v>592</v>
      </c>
      <c r="M900" s="33">
        <f t="shared" si="286"/>
        <v>592</v>
      </c>
      <c r="N900" s="22">
        <f t="shared" si="287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284"/>
        <v>500</v>
      </c>
      <c r="J901" s="5"/>
      <c r="K901" s="5"/>
      <c r="L901" s="33">
        <f t="shared" si="285"/>
        <v>580</v>
      </c>
      <c r="M901" s="33">
        <f t="shared" si="286"/>
        <v>580</v>
      </c>
      <c r="N901" s="22">
        <f t="shared" si="287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284"/>
        <v>500</v>
      </c>
      <c r="J902" s="5"/>
      <c r="K902" s="5"/>
      <c r="L902" s="33">
        <f t="shared" si="285"/>
        <v>592</v>
      </c>
      <c r="M902" s="33">
        <f t="shared" si="286"/>
        <v>592</v>
      </c>
      <c r="N902" s="22">
        <f t="shared" si="287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284"/>
        <v>500</v>
      </c>
      <c r="J903" s="5"/>
      <c r="K903" s="5"/>
      <c r="L903" s="33">
        <f t="shared" si="285"/>
        <v>592</v>
      </c>
      <c r="M903" s="33">
        <f t="shared" si="286"/>
        <v>592</v>
      </c>
      <c r="N903" s="22">
        <f t="shared" si="287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284"/>
        <v>500</v>
      </c>
      <c r="J904" s="5"/>
      <c r="K904" s="5"/>
      <c r="L904" s="33">
        <f t="shared" si="285"/>
        <v>592</v>
      </c>
      <c r="M904" s="33">
        <f t="shared" si="286"/>
        <v>592</v>
      </c>
      <c r="N904" s="22">
        <f t="shared" si="287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284"/>
        <v>500</v>
      </c>
      <c r="J905" s="5"/>
      <c r="K905" s="5"/>
      <c r="L905" s="33">
        <f t="shared" si="285"/>
        <v>592</v>
      </c>
      <c r="M905" s="33">
        <f t="shared" si="286"/>
        <v>592</v>
      </c>
      <c r="N905" s="22">
        <f t="shared" si="287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284"/>
        <v>500</v>
      </c>
      <c r="J906" s="5"/>
      <c r="K906" s="5"/>
      <c r="L906" s="33">
        <f t="shared" si="285"/>
        <v>592</v>
      </c>
      <c r="M906" s="33">
        <f t="shared" si="286"/>
        <v>592</v>
      </c>
      <c r="N906" s="22">
        <f t="shared" si="287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284"/>
        <v>500</v>
      </c>
      <c r="J907" s="5"/>
      <c r="K907" s="5"/>
      <c r="L907" s="33">
        <f t="shared" si="285"/>
        <v>592</v>
      </c>
      <c r="M907" s="33">
        <f t="shared" si="286"/>
        <v>592</v>
      </c>
      <c r="N907" s="22">
        <f t="shared" si="287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284"/>
        <v>80</v>
      </c>
      <c r="J908" s="5"/>
      <c r="K908" s="5"/>
      <c r="L908" s="33">
        <f t="shared" si="285"/>
        <v>9404</v>
      </c>
      <c r="M908" s="33">
        <f t="shared" si="286"/>
        <v>9404</v>
      </c>
      <c r="N908" s="22">
        <f t="shared" si="287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284"/>
        <v>16</v>
      </c>
      <c r="J909" s="5"/>
      <c r="K909" s="5"/>
      <c r="L909" s="33">
        <f t="shared" si="285"/>
        <v>2427</v>
      </c>
      <c r="M909" s="33">
        <f t="shared" si="286"/>
        <v>2427</v>
      </c>
      <c r="N909" s="22">
        <f t="shared" si="287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284"/>
        <v>40</v>
      </c>
      <c r="J910" s="5"/>
      <c r="K910" s="5"/>
      <c r="L910" s="33">
        <f t="shared" si="285"/>
        <v>4129</v>
      </c>
      <c r="M910" s="33">
        <f t="shared" si="286"/>
        <v>4129</v>
      </c>
      <c r="N910" s="22">
        <f t="shared" si="287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284"/>
        <v>24</v>
      </c>
      <c r="J911" s="5"/>
      <c r="K911" s="5"/>
      <c r="L911" s="33">
        <f t="shared" si="285"/>
        <v>3092</v>
      </c>
      <c r="M911" s="33">
        <f t="shared" si="286"/>
        <v>3092</v>
      </c>
      <c r="N911" s="22">
        <f t="shared" si="287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284"/>
        <v>32</v>
      </c>
      <c r="J912" s="5"/>
      <c r="K912" s="5"/>
      <c r="L912" s="33">
        <f t="shared" si="285"/>
        <v>4999</v>
      </c>
      <c r="M912" s="33">
        <f t="shared" si="286"/>
        <v>4999</v>
      </c>
      <c r="N912" s="22">
        <f t="shared" si="287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284"/>
        <v>4</v>
      </c>
      <c r="J913" s="5"/>
      <c r="K913" s="5"/>
      <c r="L913" s="33">
        <f t="shared" si="285"/>
        <v>819</v>
      </c>
      <c r="M913" s="33">
        <f t="shared" si="286"/>
        <v>819</v>
      </c>
      <c r="N913" s="22">
        <f t="shared" si="287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284"/>
        <v>120</v>
      </c>
      <c r="J914" s="5"/>
      <c r="K914" s="5"/>
      <c r="L914" s="33">
        <f t="shared" si="285"/>
        <v>18748</v>
      </c>
      <c r="M914" s="33">
        <f t="shared" si="286"/>
        <v>18748</v>
      </c>
      <c r="N914" s="22">
        <f t="shared" si="287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284"/>
        <v>280</v>
      </c>
      <c r="J915" s="5"/>
      <c r="K915" s="5"/>
      <c r="L915" s="33">
        <f t="shared" si="285"/>
        <v>33900</v>
      </c>
      <c r="M915" s="33">
        <f t="shared" si="286"/>
        <v>33900</v>
      </c>
      <c r="N915" s="22">
        <f t="shared" si="287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284"/>
        <v>280</v>
      </c>
      <c r="J916" s="5"/>
      <c r="K916" s="5"/>
      <c r="L916" s="33">
        <f t="shared" si="285"/>
        <v>33900</v>
      </c>
      <c r="M916" s="33">
        <f t="shared" si="286"/>
        <v>33900</v>
      </c>
      <c r="N916" s="22">
        <f t="shared" si="287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284"/>
        <v>48</v>
      </c>
      <c r="J917" s="5"/>
      <c r="K917" s="5"/>
      <c r="L917" s="33">
        <f t="shared" si="285"/>
        <v>5811</v>
      </c>
      <c r="M917" s="33">
        <f t="shared" si="286"/>
        <v>5811</v>
      </c>
      <c r="N917" s="22">
        <f t="shared" si="287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284"/>
        <v>120</v>
      </c>
      <c r="J918" s="5"/>
      <c r="K918" s="5"/>
      <c r="L918" s="33">
        <f t="shared" si="285"/>
        <v>18748</v>
      </c>
      <c r="M918" s="33">
        <f t="shared" si="286"/>
        <v>18748</v>
      </c>
      <c r="N918" s="22">
        <f t="shared" si="287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284"/>
        <v>80</v>
      </c>
      <c r="J919" s="5"/>
      <c r="K919" s="5"/>
      <c r="L919" s="33">
        <f t="shared" si="285"/>
        <v>9686</v>
      </c>
      <c r="M919" s="33">
        <f t="shared" si="286"/>
        <v>9686</v>
      </c>
      <c r="N919" s="22">
        <f t="shared" si="287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284"/>
        <v>16</v>
      </c>
      <c r="J920" s="5"/>
      <c r="K920" s="5"/>
      <c r="L920" s="33">
        <f t="shared" si="285"/>
        <v>1937</v>
      </c>
      <c r="M920" s="33">
        <f t="shared" si="286"/>
        <v>1937</v>
      </c>
      <c r="N920" s="22">
        <f t="shared" si="287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284"/>
        <v>32</v>
      </c>
      <c r="J921" s="5"/>
      <c r="K921" s="5"/>
      <c r="L921" s="33">
        <f t="shared" si="285"/>
        <v>4246</v>
      </c>
      <c r="M921" s="33">
        <f t="shared" si="286"/>
        <v>4246</v>
      </c>
      <c r="N921" s="22">
        <f t="shared" si="287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284"/>
        <v>20</v>
      </c>
      <c r="J922" s="5"/>
      <c r="K922" s="5"/>
      <c r="L922" s="33">
        <f t="shared" si="285"/>
        <v>3125</v>
      </c>
      <c r="M922" s="33">
        <f t="shared" si="286"/>
        <v>3125</v>
      </c>
      <c r="N922" s="22">
        <f t="shared" si="287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284"/>
        <v>500</v>
      </c>
      <c r="J923" s="5"/>
      <c r="K923" s="5"/>
      <c r="L923" s="33">
        <f t="shared" si="285"/>
        <v>580</v>
      </c>
      <c r="M923" s="33">
        <f t="shared" si="286"/>
        <v>580</v>
      </c>
      <c r="N923" s="22">
        <f t="shared" si="287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284"/>
        <v>500</v>
      </c>
      <c r="J924" s="5"/>
      <c r="K924" s="5"/>
      <c r="L924" s="33">
        <f t="shared" si="285"/>
        <v>592</v>
      </c>
      <c r="M924" s="33">
        <f t="shared" si="286"/>
        <v>592</v>
      </c>
      <c r="N924" s="22">
        <f t="shared" si="287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284"/>
        <v>500</v>
      </c>
      <c r="J925" s="5"/>
      <c r="K925" s="5"/>
      <c r="L925" s="33">
        <f t="shared" si="285"/>
        <v>592</v>
      </c>
      <c r="M925" s="33">
        <f t="shared" si="286"/>
        <v>592</v>
      </c>
      <c r="N925" s="22">
        <f t="shared" si="287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284"/>
        <v>500</v>
      </c>
      <c r="J926" s="5"/>
      <c r="K926" s="5"/>
      <c r="L926" s="33">
        <f t="shared" si="285"/>
        <v>592</v>
      </c>
      <c r="M926" s="33">
        <f t="shared" si="286"/>
        <v>592</v>
      </c>
      <c r="N926" s="22">
        <f t="shared" si="287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288">C927*(1-G927)</f>
        <v>80</v>
      </c>
      <c r="J927" s="5"/>
      <c r="K927" s="5"/>
      <c r="L927" s="33">
        <f t="shared" ref="L927:L944" si="289">D927*(1-G927)</f>
        <v>9686</v>
      </c>
      <c r="M927" s="33">
        <f t="shared" ref="M927:M944" si="290">IF(J927="",L927,(D927/C927)*J927)</f>
        <v>9686</v>
      </c>
      <c r="N927" s="22">
        <f t="shared" ref="N927:N944" si="291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288"/>
        <v>80</v>
      </c>
      <c r="J928" s="5"/>
      <c r="K928" s="5"/>
      <c r="L928" s="33">
        <f t="shared" si="289"/>
        <v>8506</v>
      </c>
      <c r="M928" s="33">
        <f t="shared" si="290"/>
        <v>8506</v>
      </c>
      <c r="N928" s="22">
        <f t="shared" si="291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288"/>
        <v>24</v>
      </c>
      <c r="J929" s="5"/>
      <c r="K929" s="5"/>
      <c r="L929" s="33">
        <f t="shared" si="289"/>
        <v>2906</v>
      </c>
      <c r="M929" s="33">
        <f t="shared" si="290"/>
        <v>2906</v>
      </c>
      <c r="N929" s="22">
        <f t="shared" si="291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288"/>
        <v>40</v>
      </c>
      <c r="J930" s="5"/>
      <c r="K930" s="5"/>
      <c r="L930" s="33">
        <f t="shared" si="289"/>
        <v>6249</v>
      </c>
      <c r="M930" s="33">
        <f t="shared" si="290"/>
        <v>6249</v>
      </c>
      <c r="N930" s="22">
        <f t="shared" si="291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288"/>
        <v>160</v>
      </c>
      <c r="J931" s="5"/>
      <c r="K931" s="5"/>
      <c r="L931" s="33">
        <f t="shared" si="289"/>
        <v>19372</v>
      </c>
      <c r="M931" s="33">
        <f t="shared" si="290"/>
        <v>19372</v>
      </c>
      <c r="N931" s="22">
        <f t="shared" si="291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288"/>
        <v>160</v>
      </c>
      <c r="J932" s="5"/>
      <c r="K932" s="5"/>
      <c r="L932" s="33">
        <f t="shared" si="289"/>
        <v>21230</v>
      </c>
      <c r="M932" s="33">
        <f t="shared" si="290"/>
        <v>21230</v>
      </c>
      <c r="N932" s="22">
        <f t="shared" si="291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288"/>
        <v>20</v>
      </c>
      <c r="J933" s="5"/>
      <c r="K933" s="5"/>
      <c r="L933" s="33">
        <f t="shared" si="289"/>
        <v>2126</v>
      </c>
      <c r="M933" s="33">
        <f t="shared" si="290"/>
        <v>2126</v>
      </c>
      <c r="N933" s="22">
        <f t="shared" si="291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288"/>
        <v>8</v>
      </c>
      <c r="J934" s="5"/>
      <c r="K934" s="5"/>
      <c r="L934" s="33">
        <f t="shared" si="289"/>
        <v>1250</v>
      </c>
      <c r="M934" s="33">
        <f t="shared" si="290"/>
        <v>1250</v>
      </c>
      <c r="N934" s="22">
        <f t="shared" si="291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288"/>
        <v>32</v>
      </c>
      <c r="J935" s="5"/>
      <c r="K935" s="5"/>
      <c r="L935" s="33">
        <f t="shared" si="289"/>
        <v>3874</v>
      </c>
      <c r="M935" s="33">
        <f t="shared" si="290"/>
        <v>3874</v>
      </c>
      <c r="N935" s="22">
        <f t="shared" si="291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288"/>
        <v>200</v>
      </c>
      <c r="J936" s="5"/>
      <c r="K936" s="5"/>
      <c r="L936" s="33">
        <f t="shared" si="289"/>
        <v>26538</v>
      </c>
      <c r="M936" s="33">
        <f t="shared" si="290"/>
        <v>26538</v>
      </c>
      <c r="N936" s="22">
        <f t="shared" si="291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288"/>
        <v>80</v>
      </c>
      <c r="J937" s="5"/>
      <c r="K937" s="5"/>
      <c r="L937" s="33">
        <f t="shared" si="289"/>
        <v>12499</v>
      </c>
      <c r="M937" s="33">
        <f t="shared" si="290"/>
        <v>12499</v>
      </c>
      <c r="N937" s="22">
        <f t="shared" si="291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288"/>
        <v>200</v>
      </c>
      <c r="J938" s="5"/>
      <c r="K938" s="5"/>
      <c r="L938" s="33">
        <f t="shared" si="289"/>
        <v>24214</v>
      </c>
      <c r="M938" s="33">
        <f t="shared" si="290"/>
        <v>24214</v>
      </c>
      <c r="N938" s="22">
        <f t="shared" si="291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288"/>
        <v>200</v>
      </c>
      <c r="J939" s="5"/>
      <c r="K939" s="5"/>
      <c r="L939" s="33">
        <f t="shared" si="289"/>
        <v>24214</v>
      </c>
      <c r="M939" s="33">
        <f t="shared" si="290"/>
        <v>24214</v>
      </c>
      <c r="N939" s="22">
        <f t="shared" si="291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288"/>
        <v>160</v>
      </c>
      <c r="J940" s="5"/>
      <c r="K940" s="5"/>
      <c r="L940" s="33">
        <f t="shared" si="289"/>
        <v>21065</v>
      </c>
      <c r="M940" s="33">
        <f t="shared" si="290"/>
        <v>21065</v>
      </c>
      <c r="N940" s="22">
        <f t="shared" si="291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288"/>
        <v>40</v>
      </c>
      <c r="J941" s="5"/>
      <c r="K941" s="5"/>
      <c r="L941" s="33">
        <f t="shared" si="289"/>
        <v>6201</v>
      </c>
      <c r="M941" s="33">
        <f t="shared" si="290"/>
        <v>6201</v>
      </c>
      <c r="N941" s="22">
        <f t="shared" si="291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288"/>
        <v>4</v>
      </c>
      <c r="J942" s="5"/>
      <c r="K942" s="5"/>
      <c r="L942" s="33">
        <f t="shared" si="289"/>
        <v>813</v>
      </c>
      <c r="M942" s="33">
        <f t="shared" si="290"/>
        <v>813</v>
      </c>
      <c r="N942" s="22">
        <f t="shared" si="291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288"/>
        <v>80</v>
      </c>
      <c r="J943" s="5"/>
      <c r="K943" s="5"/>
      <c r="L943" s="33">
        <f t="shared" si="289"/>
        <v>10615</v>
      </c>
      <c r="M943" s="33">
        <f t="shared" si="290"/>
        <v>10615</v>
      </c>
      <c r="N943" s="22">
        <f t="shared" si="291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288"/>
        <v>40</v>
      </c>
      <c r="J944" s="5"/>
      <c r="K944" s="5"/>
      <c r="L944" s="33">
        <f t="shared" si="289"/>
        <v>6249</v>
      </c>
      <c r="M944" s="33">
        <f t="shared" si="290"/>
        <v>6249</v>
      </c>
      <c r="N944" s="22">
        <f t="shared" si="291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292">C946*(1-G946)</f>
        <v>4</v>
      </c>
      <c r="J946" s="5"/>
      <c r="K946" s="5"/>
      <c r="L946" s="33">
        <f t="shared" ref="L946:L964" si="293">D946*(1-G946)</f>
        <v>607</v>
      </c>
      <c r="M946" s="33">
        <f t="shared" ref="M946:M964" si="294">IF(J946="",L946,(D946/C946)*J946)</f>
        <v>607</v>
      </c>
      <c r="N946" s="22">
        <f t="shared" ref="N946:N964" si="295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292"/>
        <v>16</v>
      </c>
      <c r="J947" s="5"/>
      <c r="K947" s="5"/>
      <c r="L947" s="33">
        <f t="shared" si="293"/>
        <v>2500</v>
      </c>
      <c r="M947" s="33">
        <f t="shared" si="294"/>
        <v>2500</v>
      </c>
      <c r="N947" s="22">
        <f t="shared" si="295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292"/>
        <v>240</v>
      </c>
      <c r="J948" s="5"/>
      <c r="K948" s="5"/>
      <c r="L948" s="33">
        <f t="shared" si="293"/>
        <v>29057</v>
      </c>
      <c r="M948" s="33">
        <f t="shared" si="294"/>
        <v>29057</v>
      </c>
      <c r="N948" s="22">
        <f t="shared" si="295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292"/>
        <v>16</v>
      </c>
      <c r="J949" s="5"/>
      <c r="K949" s="5"/>
      <c r="L949" s="33">
        <f t="shared" si="293"/>
        <v>1937</v>
      </c>
      <c r="M949" s="33">
        <f t="shared" si="294"/>
        <v>1937</v>
      </c>
      <c r="N949" s="22">
        <f t="shared" si="295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292"/>
        <v>8</v>
      </c>
      <c r="J950" s="5"/>
      <c r="K950" s="5"/>
      <c r="L950" s="33">
        <f t="shared" si="293"/>
        <v>1250</v>
      </c>
      <c r="M950" s="33">
        <f t="shared" si="294"/>
        <v>1250</v>
      </c>
      <c r="N950" s="22">
        <f t="shared" si="295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292"/>
        <v>64</v>
      </c>
      <c r="J951" s="5"/>
      <c r="K951" s="5"/>
      <c r="L951" s="33">
        <f t="shared" si="293"/>
        <v>7749</v>
      </c>
      <c r="M951" s="33">
        <f t="shared" si="294"/>
        <v>7749</v>
      </c>
      <c r="N951" s="22">
        <f t="shared" si="295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292"/>
        <v>8</v>
      </c>
      <c r="J952" s="5"/>
      <c r="K952" s="5"/>
      <c r="L952" s="33">
        <f t="shared" si="293"/>
        <v>969</v>
      </c>
      <c r="M952" s="33">
        <f t="shared" si="294"/>
        <v>969</v>
      </c>
      <c r="N952" s="22">
        <f t="shared" si="295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292"/>
        <v>3000</v>
      </c>
      <c r="J953" s="5"/>
      <c r="K953" s="5"/>
      <c r="L953" s="33">
        <f t="shared" si="293"/>
        <v>3482</v>
      </c>
      <c r="M953" s="33">
        <f t="shared" si="294"/>
        <v>3482</v>
      </c>
      <c r="N953" s="22">
        <f t="shared" si="295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292"/>
        <v>1000</v>
      </c>
      <c r="J954" s="5"/>
      <c r="K954" s="5"/>
      <c r="L954" s="33">
        <f t="shared" si="293"/>
        <v>1184</v>
      </c>
      <c r="M954" s="33">
        <f t="shared" si="294"/>
        <v>1184</v>
      </c>
      <c r="N954" s="22">
        <f t="shared" si="295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292"/>
        <v>3000</v>
      </c>
      <c r="J955" s="5"/>
      <c r="K955" s="5"/>
      <c r="L955" s="33">
        <f t="shared" si="293"/>
        <v>3552</v>
      </c>
      <c r="M955" s="33">
        <f t="shared" si="294"/>
        <v>3552</v>
      </c>
      <c r="N955" s="22">
        <f t="shared" si="295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292"/>
        <v>176</v>
      </c>
      <c r="J956" s="5"/>
      <c r="K956" s="5"/>
      <c r="L956" s="33">
        <f t="shared" si="293"/>
        <v>27497</v>
      </c>
      <c r="M956" s="33">
        <f t="shared" si="294"/>
        <v>27497</v>
      </c>
      <c r="N956" s="22">
        <f t="shared" si="295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292"/>
        <v>72</v>
      </c>
      <c r="J957" s="5"/>
      <c r="K957" s="5"/>
      <c r="L957" s="33">
        <f t="shared" si="293"/>
        <v>8717</v>
      </c>
      <c r="M957" s="33">
        <f t="shared" si="294"/>
        <v>8717</v>
      </c>
      <c r="N957" s="22">
        <f t="shared" si="295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292"/>
        <v>80</v>
      </c>
      <c r="J958" s="5"/>
      <c r="K958" s="5"/>
      <c r="L958" s="33">
        <f t="shared" si="293"/>
        <v>11084</v>
      </c>
      <c r="M958" s="33">
        <f t="shared" si="294"/>
        <v>11084</v>
      </c>
      <c r="N958" s="22">
        <f t="shared" si="295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292"/>
        <v>136</v>
      </c>
      <c r="J959" s="5"/>
      <c r="K959" s="5"/>
      <c r="L959" s="33">
        <f t="shared" si="293"/>
        <v>21248</v>
      </c>
      <c r="M959" s="33">
        <f t="shared" si="294"/>
        <v>21248</v>
      </c>
      <c r="N959" s="22">
        <f t="shared" si="295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292"/>
        <v>120</v>
      </c>
      <c r="J960" s="5"/>
      <c r="K960" s="5"/>
      <c r="L960" s="33">
        <f t="shared" si="293"/>
        <v>15923</v>
      </c>
      <c r="M960" s="33">
        <f t="shared" si="294"/>
        <v>15923</v>
      </c>
      <c r="N960" s="22">
        <f t="shared" si="295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292"/>
        <v>80</v>
      </c>
      <c r="J961" s="5"/>
      <c r="K961" s="5"/>
      <c r="L961" s="33">
        <f t="shared" si="293"/>
        <v>11084</v>
      </c>
      <c r="M961" s="33">
        <f t="shared" si="294"/>
        <v>11084</v>
      </c>
      <c r="N961" s="22">
        <f t="shared" si="295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292"/>
        <v>10</v>
      </c>
      <c r="J962" s="5"/>
      <c r="K962" s="5"/>
      <c r="L962" s="33">
        <f t="shared" si="293"/>
        <v>1517</v>
      </c>
      <c r="M962" s="33">
        <f t="shared" si="294"/>
        <v>1517</v>
      </c>
      <c r="N962" s="22">
        <f t="shared" si="295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292"/>
        <v>160</v>
      </c>
      <c r="J963" s="5"/>
      <c r="K963" s="5"/>
      <c r="L963" s="33">
        <f t="shared" si="293"/>
        <v>18807</v>
      </c>
      <c r="M963" s="33">
        <f t="shared" si="294"/>
        <v>18807</v>
      </c>
      <c r="N963" s="22">
        <f t="shared" si="295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292"/>
        <v>8</v>
      </c>
      <c r="J964" s="5"/>
      <c r="K964" s="5"/>
      <c r="L964" s="33">
        <f t="shared" si="293"/>
        <v>940</v>
      </c>
      <c r="M964" s="33">
        <f t="shared" si="294"/>
        <v>940</v>
      </c>
      <c r="N964" s="22">
        <f t="shared" si="295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296">C966*(1-G966)</f>
        <v>552</v>
      </c>
      <c r="J966" s="5"/>
      <c r="K966" s="5"/>
      <c r="L966" s="33">
        <f t="shared" ref="L966:L1003" si="297">D966*(1-G966)</f>
        <v>74251.360000000001</v>
      </c>
      <c r="M966" s="33">
        <f t="shared" ref="M966:M1003" si="298">IF(J966="",L966,(D966/C966)*J966)</f>
        <v>74251.360000000001</v>
      </c>
      <c r="N966" s="22">
        <f t="shared" ref="N966:N1003" si="299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296"/>
        <v>18.400000000000002</v>
      </c>
      <c r="J967" s="5"/>
      <c r="K967" s="5"/>
      <c r="L967" s="33">
        <f t="shared" si="297"/>
        <v>1899.8000000000002</v>
      </c>
      <c r="M967" s="33">
        <f t="shared" si="298"/>
        <v>1899.8000000000002</v>
      </c>
      <c r="N967" s="22">
        <f t="shared" si="299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296"/>
        <v>7.36</v>
      </c>
      <c r="J968" s="5"/>
      <c r="K968" s="5"/>
      <c r="L968" s="33">
        <f t="shared" si="297"/>
        <v>1115.96</v>
      </c>
      <c r="M968" s="33">
        <f t="shared" si="298"/>
        <v>1115.96</v>
      </c>
      <c r="N968" s="22">
        <f t="shared" si="299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296"/>
        <v>8</v>
      </c>
      <c r="J969" s="5"/>
      <c r="K969" s="5"/>
      <c r="L969" s="33">
        <f t="shared" si="297"/>
        <v>851</v>
      </c>
      <c r="M969" s="33">
        <f t="shared" si="298"/>
        <v>851</v>
      </c>
      <c r="N969" s="22">
        <f t="shared" si="299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296"/>
        <v>480</v>
      </c>
      <c r="J970" s="5"/>
      <c r="K970" s="5"/>
      <c r="L970" s="33">
        <f t="shared" si="297"/>
        <v>66503</v>
      </c>
      <c r="M970" s="33">
        <f t="shared" si="298"/>
        <v>66503</v>
      </c>
      <c r="N970" s="22">
        <f t="shared" si="299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296"/>
        <v>20</v>
      </c>
      <c r="J971" s="5"/>
      <c r="K971" s="5"/>
      <c r="L971" s="33">
        <f t="shared" si="297"/>
        <v>2126</v>
      </c>
      <c r="M971" s="33">
        <f t="shared" si="298"/>
        <v>2126</v>
      </c>
      <c r="N971" s="22">
        <f t="shared" si="299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296"/>
        <v>8</v>
      </c>
      <c r="J972" s="5"/>
      <c r="K972" s="5"/>
      <c r="L972" s="33">
        <f t="shared" si="297"/>
        <v>1250</v>
      </c>
      <c r="M972" s="33">
        <f t="shared" si="298"/>
        <v>1250</v>
      </c>
      <c r="N972" s="22">
        <f t="shared" si="299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296"/>
        <v>4</v>
      </c>
      <c r="J973" s="5"/>
      <c r="K973" s="5"/>
      <c r="L973" s="33">
        <f t="shared" si="297"/>
        <v>484</v>
      </c>
      <c r="M973" s="33">
        <f t="shared" si="298"/>
        <v>484</v>
      </c>
      <c r="N973" s="22">
        <f t="shared" si="299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296"/>
        <v>20</v>
      </c>
      <c r="J974" s="5"/>
      <c r="K974" s="5"/>
      <c r="L974" s="33">
        <f t="shared" si="297"/>
        <v>2421</v>
      </c>
      <c r="M974" s="33">
        <f t="shared" si="298"/>
        <v>2421</v>
      </c>
      <c r="N974" s="22">
        <f t="shared" si="299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296"/>
        <v>80</v>
      </c>
      <c r="J975" s="5"/>
      <c r="K975" s="5"/>
      <c r="L975" s="33">
        <f t="shared" si="297"/>
        <v>9686</v>
      </c>
      <c r="M975" s="33">
        <f t="shared" si="298"/>
        <v>9686</v>
      </c>
      <c r="N975" s="22">
        <f t="shared" si="299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296"/>
        <v>160</v>
      </c>
      <c r="J976" s="5"/>
      <c r="K976" s="5"/>
      <c r="L976" s="33">
        <f t="shared" si="297"/>
        <v>19372</v>
      </c>
      <c r="M976" s="33">
        <f t="shared" si="298"/>
        <v>19372</v>
      </c>
      <c r="N976" s="22">
        <f t="shared" si="299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296"/>
        <v>80</v>
      </c>
      <c r="J977" s="5"/>
      <c r="K977" s="5"/>
      <c r="L977" s="33">
        <f t="shared" si="297"/>
        <v>12499</v>
      </c>
      <c r="M977" s="33">
        <f t="shared" si="298"/>
        <v>12499</v>
      </c>
      <c r="N977" s="22">
        <f t="shared" si="299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296"/>
        <v>8</v>
      </c>
      <c r="J978" s="5"/>
      <c r="K978" s="5"/>
      <c r="L978" s="33">
        <f t="shared" si="297"/>
        <v>1250</v>
      </c>
      <c r="M978" s="33">
        <f t="shared" si="298"/>
        <v>1250</v>
      </c>
      <c r="N978" s="22">
        <f t="shared" si="299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296"/>
        <v>8</v>
      </c>
      <c r="J979" s="5"/>
      <c r="K979" s="5"/>
      <c r="L979" s="33">
        <f t="shared" si="297"/>
        <v>969</v>
      </c>
      <c r="M979" s="33">
        <f t="shared" si="298"/>
        <v>969</v>
      </c>
      <c r="N979" s="22">
        <f t="shared" si="299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296"/>
        <v>8</v>
      </c>
      <c r="J980" s="5"/>
      <c r="K980" s="5"/>
      <c r="L980" s="33">
        <f t="shared" si="297"/>
        <v>969</v>
      </c>
      <c r="M980" s="33">
        <f t="shared" si="298"/>
        <v>969</v>
      </c>
      <c r="N980" s="22">
        <f t="shared" si="299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296"/>
        <v>8</v>
      </c>
      <c r="J981" s="5"/>
      <c r="K981" s="5"/>
      <c r="L981" s="33">
        <f t="shared" si="297"/>
        <v>969</v>
      </c>
      <c r="M981" s="33">
        <f t="shared" si="298"/>
        <v>969</v>
      </c>
      <c r="N981" s="22">
        <f t="shared" si="299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296"/>
        <v>8</v>
      </c>
      <c r="J982" s="5"/>
      <c r="K982" s="5"/>
      <c r="L982" s="33">
        <f t="shared" si="297"/>
        <v>1250</v>
      </c>
      <c r="M982" s="33">
        <f t="shared" si="298"/>
        <v>1250</v>
      </c>
      <c r="N982" s="22">
        <f t="shared" si="299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296"/>
        <v>8</v>
      </c>
      <c r="J983" s="5"/>
      <c r="K983" s="5"/>
      <c r="L983" s="33">
        <f t="shared" si="297"/>
        <v>969</v>
      </c>
      <c r="M983" s="33">
        <f t="shared" si="298"/>
        <v>969</v>
      </c>
      <c r="N983" s="22">
        <f t="shared" si="299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296"/>
        <v>8</v>
      </c>
      <c r="J984" s="5"/>
      <c r="K984" s="5"/>
      <c r="L984" s="33">
        <f t="shared" si="297"/>
        <v>969</v>
      </c>
      <c r="M984" s="33">
        <f t="shared" si="298"/>
        <v>969</v>
      </c>
      <c r="N984" s="22">
        <f t="shared" si="299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296"/>
        <v>8</v>
      </c>
      <c r="J985" s="5"/>
      <c r="K985" s="5"/>
      <c r="L985" s="33">
        <f t="shared" si="297"/>
        <v>969</v>
      </c>
      <c r="M985" s="33">
        <f t="shared" si="298"/>
        <v>969</v>
      </c>
      <c r="N985" s="22">
        <f t="shared" si="299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296"/>
        <v>32</v>
      </c>
      <c r="J986" s="5"/>
      <c r="K986" s="5"/>
      <c r="L986" s="33">
        <f t="shared" si="297"/>
        <v>4999</v>
      </c>
      <c r="M986" s="33">
        <f t="shared" si="298"/>
        <v>4999</v>
      </c>
      <c r="N986" s="22">
        <f t="shared" si="299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296"/>
        <v>160</v>
      </c>
      <c r="J987" s="5"/>
      <c r="K987" s="5"/>
      <c r="L987" s="33">
        <f t="shared" si="297"/>
        <v>29214</v>
      </c>
      <c r="M987" s="33">
        <f t="shared" si="298"/>
        <v>29214</v>
      </c>
      <c r="N987" s="22">
        <f t="shared" si="299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296"/>
        <v>32</v>
      </c>
      <c r="J988" s="5"/>
      <c r="K988" s="5"/>
      <c r="L988" s="33">
        <f t="shared" si="297"/>
        <v>3874</v>
      </c>
      <c r="M988" s="33">
        <f t="shared" si="298"/>
        <v>3874</v>
      </c>
      <c r="N988" s="22">
        <f t="shared" si="299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296"/>
        <v>320</v>
      </c>
      <c r="J989" s="5"/>
      <c r="K989" s="5"/>
      <c r="L989" s="33">
        <f t="shared" si="297"/>
        <v>38743</v>
      </c>
      <c r="M989" s="33">
        <f t="shared" si="298"/>
        <v>38743</v>
      </c>
      <c r="N989" s="22">
        <f t="shared" si="299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296"/>
        <v>160</v>
      </c>
      <c r="J990" s="5"/>
      <c r="K990" s="5"/>
      <c r="L990" s="33">
        <f t="shared" si="297"/>
        <v>24997</v>
      </c>
      <c r="M990" s="33">
        <f t="shared" si="298"/>
        <v>24997</v>
      </c>
      <c r="N990" s="22">
        <f t="shared" si="299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296"/>
        <v>320</v>
      </c>
      <c r="J991" s="5"/>
      <c r="K991" s="5"/>
      <c r="L991" s="33">
        <f t="shared" si="297"/>
        <v>38743</v>
      </c>
      <c r="M991" s="33">
        <f t="shared" si="298"/>
        <v>38743</v>
      </c>
      <c r="N991" s="22">
        <f t="shared" si="299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296"/>
        <v>460</v>
      </c>
      <c r="J992" s="5"/>
      <c r="K992" s="5"/>
      <c r="L992" s="33">
        <f t="shared" si="297"/>
        <v>533.6</v>
      </c>
      <c r="M992" s="33">
        <f t="shared" si="298"/>
        <v>533.6</v>
      </c>
      <c r="N992" s="22">
        <f t="shared" si="299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296"/>
        <v>500</v>
      </c>
      <c r="J993" s="5"/>
      <c r="K993" s="5"/>
      <c r="L993" s="33">
        <f t="shared" si="297"/>
        <v>592</v>
      </c>
      <c r="M993" s="33">
        <f t="shared" si="298"/>
        <v>592</v>
      </c>
      <c r="N993" s="22">
        <f t="shared" si="299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296"/>
        <v>500</v>
      </c>
      <c r="J994" s="5"/>
      <c r="K994" s="5"/>
      <c r="L994" s="33">
        <f t="shared" si="297"/>
        <v>592</v>
      </c>
      <c r="M994" s="33">
        <f t="shared" si="298"/>
        <v>592</v>
      </c>
      <c r="N994" s="22">
        <f t="shared" si="299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296"/>
        <v>500</v>
      </c>
      <c r="J995" s="5"/>
      <c r="K995" s="5"/>
      <c r="L995" s="33">
        <f t="shared" si="297"/>
        <v>592</v>
      </c>
      <c r="M995" s="33">
        <f t="shared" si="298"/>
        <v>592</v>
      </c>
      <c r="N995" s="22">
        <f t="shared" si="299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296"/>
        <v>500</v>
      </c>
      <c r="J996" s="5"/>
      <c r="K996" s="5"/>
      <c r="L996" s="33">
        <f t="shared" si="297"/>
        <v>592</v>
      </c>
      <c r="M996" s="33">
        <f t="shared" si="298"/>
        <v>592</v>
      </c>
      <c r="N996" s="22">
        <f t="shared" si="299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296"/>
        <v>500</v>
      </c>
      <c r="J997" s="5"/>
      <c r="K997" s="5"/>
      <c r="L997" s="33">
        <f t="shared" si="297"/>
        <v>592</v>
      </c>
      <c r="M997" s="33">
        <f t="shared" si="298"/>
        <v>592</v>
      </c>
      <c r="N997" s="22">
        <f t="shared" si="299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296"/>
        <v>640</v>
      </c>
      <c r="J998" s="5"/>
      <c r="K998" s="5"/>
      <c r="L998" s="33">
        <f t="shared" si="297"/>
        <v>0</v>
      </c>
      <c r="M998" s="33">
        <f t="shared" si="298"/>
        <v>0</v>
      </c>
      <c r="N998" s="22">
        <f t="shared" si="299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296"/>
        <v>80</v>
      </c>
      <c r="J999" s="5"/>
      <c r="K999" s="5"/>
      <c r="L999" s="33">
        <f t="shared" si="297"/>
        <v>10615</v>
      </c>
      <c r="M999" s="33">
        <f t="shared" si="298"/>
        <v>10615</v>
      </c>
      <c r="N999" s="22">
        <f t="shared" si="299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296"/>
        <v>60</v>
      </c>
      <c r="J1000" s="5"/>
      <c r="K1000" s="5"/>
      <c r="L1000" s="33">
        <f t="shared" si="297"/>
        <v>7264</v>
      </c>
      <c r="M1000" s="33">
        <f t="shared" si="298"/>
        <v>7264</v>
      </c>
      <c r="N1000" s="22">
        <f t="shared" si="299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296"/>
        <v>40</v>
      </c>
      <c r="J1001" s="5"/>
      <c r="K1001" s="5"/>
      <c r="L1001" s="33">
        <f t="shared" si="297"/>
        <v>4758</v>
      </c>
      <c r="M1001" s="33">
        <f t="shared" si="298"/>
        <v>4758</v>
      </c>
      <c r="N1001" s="22">
        <f t="shared" si="299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296"/>
        <v>40</v>
      </c>
      <c r="J1002" s="5"/>
      <c r="K1002" s="5"/>
      <c r="L1002" s="33">
        <f t="shared" si="297"/>
        <v>6140</v>
      </c>
      <c r="M1002" s="33">
        <f t="shared" si="298"/>
        <v>6140</v>
      </c>
      <c r="N1002" s="22">
        <f t="shared" si="299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296"/>
        <v>58.88</v>
      </c>
      <c r="J1003" s="5"/>
      <c r="K1003" s="5"/>
      <c r="L1003" s="33">
        <f t="shared" si="297"/>
        <v>8931.36</v>
      </c>
      <c r="M1003" s="33">
        <f t="shared" si="298"/>
        <v>8931.36</v>
      </c>
      <c r="N1003" s="22">
        <f t="shared" si="299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300">C1004*(1-G1004)</f>
        <v>44.160000000000004</v>
      </c>
      <c r="J1004" s="5"/>
      <c r="K1004" s="5"/>
      <c r="L1004" s="33">
        <f t="shared" ref="L1004:L1014" si="301">D1004*(1-G1004)</f>
        <v>5190.6400000000003</v>
      </c>
      <c r="M1004" s="33">
        <f t="shared" ref="M1004:M1014" si="302">IF(J1004="",L1004,(D1004/C1004)*J1004)</f>
        <v>5190.6400000000003</v>
      </c>
      <c r="N1004" s="22">
        <f t="shared" ref="N1004:N1014" si="303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300"/>
        <v>471.04</v>
      </c>
      <c r="J1005" s="5"/>
      <c r="K1005" s="5"/>
      <c r="L1005" s="33">
        <f t="shared" si="301"/>
        <v>55368.36</v>
      </c>
      <c r="M1005" s="33">
        <f t="shared" si="302"/>
        <v>55368.36</v>
      </c>
      <c r="N1005" s="22">
        <f t="shared" si="303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300"/>
        <v>552</v>
      </c>
      <c r="J1006" s="5"/>
      <c r="K1006" s="5"/>
      <c r="L1006" s="33">
        <f t="shared" si="301"/>
        <v>71110.48</v>
      </c>
      <c r="M1006" s="33">
        <f t="shared" si="302"/>
        <v>71110.48</v>
      </c>
      <c r="N1006" s="22">
        <f t="shared" si="303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300"/>
        <v>8</v>
      </c>
      <c r="J1007" s="5"/>
      <c r="K1007" s="5"/>
      <c r="L1007" s="33">
        <f t="shared" si="301"/>
        <v>1250</v>
      </c>
      <c r="M1007" s="33">
        <f t="shared" si="302"/>
        <v>1250</v>
      </c>
      <c r="N1007" s="22">
        <f t="shared" si="303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300"/>
        <v>256</v>
      </c>
      <c r="J1008" s="5"/>
      <c r="K1008" s="5"/>
      <c r="L1008" s="33">
        <f t="shared" si="301"/>
        <v>33968</v>
      </c>
      <c r="M1008" s="33">
        <f t="shared" si="302"/>
        <v>33968</v>
      </c>
      <c r="N1008" s="22">
        <f t="shared" si="303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300"/>
        <v>8</v>
      </c>
      <c r="J1009" s="5"/>
      <c r="K1009" s="5"/>
      <c r="L1009" s="33">
        <f t="shared" si="301"/>
        <v>969</v>
      </c>
      <c r="M1009" s="33">
        <f t="shared" si="302"/>
        <v>969</v>
      </c>
      <c r="N1009" s="22">
        <f t="shared" si="303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300"/>
        <v>128</v>
      </c>
      <c r="J1010" s="5"/>
      <c r="K1010" s="5"/>
      <c r="L1010" s="33">
        <f t="shared" si="301"/>
        <v>15497</v>
      </c>
      <c r="M1010" s="33">
        <f t="shared" si="302"/>
        <v>15497</v>
      </c>
      <c r="N1010" s="22">
        <f t="shared" si="303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300"/>
        <v>64</v>
      </c>
      <c r="J1011" s="5"/>
      <c r="K1011" s="5"/>
      <c r="L1011" s="33">
        <f t="shared" si="301"/>
        <v>9999</v>
      </c>
      <c r="M1011" s="33">
        <f t="shared" si="302"/>
        <v>9999</v>
      </c>
      <c r="N1011" s="22">
        <f t="shared" si="303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300"/>
        <v>64</v>
      </c>
      <c r="J1012" s="5"/>
      <c r="K1012" s="5"/>
      <c r="L1012" s="33">
        <f t="shared" si="301"/>
        <v>7749</v>
      </c>
      <c r="M1012" s="33">
        <f t="shared" si="302"/>
        <v>7749</v>
      </c>
      <c r="N1012" s="22">
        <f t="shared" si="303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300"/>
        <v>512</v>
      </c>
      <c r="J1013" s="5"/>
      <c r="K1013" s="5"/>
      <c r="L1013" s="33">
        <f t="shared" si="301"/>
        <v>61989</v>
      </c>
      <c r="M1013" s="33">
        <f t="shared" si="302"/>
        <v>61989</v>
      </c>
      <c r="N1013" s="22">
        <f t="shared" si="303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300"/>
        <v>480</v>
      </c>
      <c r="J1014" s="5"/>
      <c r="K1014" s="5"/>
      <c r="L1014" s="33">
        <f t="shared" si="301"/>
        <v>63690</v>
      </c>
      <c r="M1014" s="33">
        <f t="shared" si="302"/>
        <v>63690</v>
      </c>
      <c r="N1014" s="22">
        <f t="shared" si="303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304">C1016*(1-G1016)</f>
        <v>2.5</v>
      </c>
      <c r="J1016" s="5"/>
      <c r="K1016" s="5"/>
      <c r="L1016" s="33">
        <f t="shared" ref="L1016:L1064" si="305">D1016*(1-G1016)</f>
        <v>379.25</v>
      </c>
      <c r="M1016" s="33">
        <f t="shared" ref="M1016:M1064" si="306">IF(J1016="",L1016,(D1016/C1016)*J1016)</f>
        <v>379.25</v>
      </c>
      <c r="N1016" s="22">
        <f t="shared" ref="N1016:N1064" si="307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304"/>
        <v>16</v>
      </c>
      <c r="J1017" s="5"/>
      <c r="K1017" s="5"/>
      <c r="L1017" s="33">
        <f t="shared" si="305"/>
        <v>2427</v>
      </c>
      <c r="M1017" s="33">
        <f t="shared" si="306"/>
        <v>2427</v>
      </c>
      <c r="N1017" s="22">
        <f t="shared" si="307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304"/>
        <v>4</v>
      </c>
      <c r="J1018" s="5"/>
      <c r="K1018" s="5"/>
      <c r="L1018" s="33">
        <f t="shared" si="305"/>
        <v>470</v>
      </c>
      <c r="M1018" s="33">
        <f t="shared" si="306"/>
        <v>470</v>
      </c>
      <c r="N1018" s="22">
        <f t="shared" si="307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304"/>
        <v>32</v>
      </c>
      <c r="J1019" s="5"/>
      <c r="K1019" s="5"/>
      <c r="L1019" s="33">
        <f t="shared" si="305"/>
        <v>3761</v>
      </c>
      <c r="M1019" s="33">
        <f t="shared" si="306"/>
        <v>3761</v>
      </c>
      <c r="N1019" s="22">
        <f t="shared" si="307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304"/>
        <v>16</v>
      </c>
      <c r="J1020" s="5"/>
      <c r="K1020" s="5"/>
      <c r="L1020" s="33">
        <f t="shared" si="305"/>
        <v>2427</v>
      </c>
      <c r="M1020" s="33">
        <f t="shared" si="306"/>
        <v>2427</v>
      </c>
      <c r="N1020" s="22">
        <f t="shared" si="307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304"/>
        <v>2</v>
      </c>
      <c r="J1021" s="5"/>
      <c r="K1021" s="5"/>
      <c r="L1021" s="33">
        <f t="shared" si="305"/>
        <v>235</v>
      </c>
      <c r="M1021" s="33">
        <f t="shared" si="306"/>
        <v>235</v>
      </c>
      <c r="N1021" s="22">
        <f t="shared" si="307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304"/>
        <v>32</v>
      </c>
      <c r="J1022" s="5"/>
      <c r="K1022" s="5"/>
      <c r="L1022" s="33">
        <f t="shared" si="305"/>
        <v>3761</v>
      </c>
      <c r="M1022" s="33">
        <f t="shared" si="306"/>
        <v>3761</v>
      </c>
      <c r="N1022" s="22">
        <f t="shared" si="307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304"/>
        <v>80</v>
      </c>
      <c r="J1023" s="5"/>
      <c r="K1023" s="5"/>
      <c r="L1023" s="33">
        <f t="shared" si="305"/>
        <v>9404</v>
      </c>
      <c r="M1023" s="33">
        <f t="shared" si="306"/>
        <v>9404</v>
      </c>
      <c r="N1023" s="22">
        <f t="shared" si="307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304"/>
        <v>16</v>
      </c>
      <c r="J1024" s="5"/>
      <c r="K1024" s="5"/>
      <c r="L1024" s="33">
        <f t="shared" si="305"/>
        <v>2489</v>
      </c>
      <c r="M1024" s="33">
        <f t="shared" si="306"/>
        <v>2489</v>
      </c>
      <c r="N1024" s="22">
        <f t="shared" si="307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304"/>
        <v>16</v>
      </c>
      <c r="J1025" s="5"/>
      <c r="K1025" s="5"/>
      <c r="L1025" s="33">
        <f t="shared" si="305"/>
        <v>1929</v>
      </c>
      <c r="M1025" s="33">
        <f t="shared" si="306"/>
        <v>1929</v>
      </c>
      <c r="N1025" s="22">
        <f t="shared" si="307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304"/>
        <v>16</v>
      </c>
      <c r="J1026" s="5"/>
      <c r="K1026" s="5"/>
      <c r="L1026" s="33">
        <f t="shared" si="305"/>
        <v>1929</v>
      </c>
      <c r="M1026" s="33">
        <f t="shared" si="306"/>
        <v>1929</v>
      </c>
      <c r="N1026" s="22">
        <f t="shared" si="307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304"/>
        <v>16</v>
      </c>
      <c r="J1027" s="5"/>
      <c r="K1027" s="5"/>
      <c r="L1027" s="33">
        <f t="shared" si="305"/>
        <v>2500</v>
      </c>
      <c r="M1027" s="33">
        <f t="shared" si="306"/>
        <v>2500</v>
      </c>
      <c r="N1027" s="22">
        <f t="shared" si="307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304"/>
        <v>16</v>
      </c>
      <c r="J1028" s="5"/>
      <c r="K1028" s="5"/>
      <c r="L1028" s="33">
        <f t="shared" si="305"/>
        <v>1937</v>
      </c>
      <c r="M1028" s="33">
        <f t="shared" si="306"/>
        <v>1937</v>
      </c>
      <c r="N1028" s="22">
        <f t="shared" si="307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304"/>
        <v>160</v>
      </c>
      <c r="J1029" s="5"/>
      <c r="K1029" s="5"/>
      <c r="L1029" s="33">
        <f t="shared" si="305"/>
        <v>19372</v>
      </c>
      <c r="M1029" s="33">
        <f t="shared" si="306"/>
        <v>19372</v>
      </c>
      <c r="N1029" s="22">
        <f t="shared" si="307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304"/>
        <v>8</v>
      </c>
      <c r="J1030" s="5"/>
      <c r="K1030" s="5"/>
      <c r="L1030" s="33">
        <f t="shared" si="305"/>
        <v>1250</v>
      </c>
      <c r="M1030" s="33">
        <f t="shared" si="306"/>
        <v>1250</v>
      </c>
      <c r="N1030" s="22">
        <f t="shared" si="307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304"/>
        <v>8</v>
      </c>
      <c r="J1031" s="5"/>
      <c r="K1031" s="5"/>
      <c r="L1031" s="33">
        <f t="shared" si="305"/>
        <v>969</v>
      </c>
      <c r="M1031" s="33">
        <f t="shared" si="306"/>
        <v>969</v>
      </c>
      <c r="N1031" s="22">
        <f t="shared" si="307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304"/>
        <v>8</v>
      </c>
      <c r="J1032" s="5"/>
      <c r="K1032" s="5"/>
      <c r="L1032" s="33">
        <f t="shared" si="305"/>
        <v>969</v>
      </c>
      <c r="M1032" s="33">
        <f t="shared" si="306"/>
        <v>969</v>
      </c>
      <c r="N1032" s="22">
        <f t="shared" si="307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304"/>
        <v>8</v>
      </c>
      <c r="J1033" s="5"/>
      <c r="K1033" s="5"/>
      <c r="L1033" s="33">
        <f t="shared" si="305"/>
        <v>1250</v>
      </c>
      <c r="M1033" s="33">
        <f t="shared" si="306"/>
        <v>1250</v>
      </c>
      <c r="N1033" s="22">
        <f t="shared" si="307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304"/>
        <v>8</v>
      </c>
      <c r="J1034" s="5"/>
      <c r="K1034" s="5"/>
      <c r="L1034" s="33">
        <f t="shared" si="305"/>
        <v>969</v>
      </c>
      <c r="M1034" s="33">
        <f t="shared" si="306"/>
        <v>969</v>
      </c>
      <c r="N1034" s="22">
        <f t="shared" si="307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304"/>
        <v>8</v>
      </c>
      <c r="J1035" s="5"/>
      <c r="K1035" s="5"/>
      <c r="L1035" s="33">
        <f t="shared" si="305"/>
        <v>969</v>
      </c>
      <c r="M1035" s="33">
        <f t="shared" si="306"/>
        <v>969</v>
      </c>
      <c r="N1035" s="22">
        <f t="shared" si="307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304"/>
        <v>7500</v>
      </c>
      <c r="J1036" s="5"/>
      <c r="K1036" s="5"/>
      <c r="L1036" s="33">
        <f t="shared" si="305"/>
        <v>8705.25</v>
      </c>
      <c r="M1036" s="33">
        <f t="shared" si="306"/>
        <v>8705.25</v>
      </c>
      <c r="N1036" s="22">
        <f t="shared" si="307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304"/>
        <v>1500</v>
      </c>
      <c r="J1037" s="5"/>
      <c r="K1037" s="5"/>
      <c r="L1037" s="33">
        <f t="shared" si="305"/>
        <v>1741</v>
      </c>
      <c r="M1037" s="33">
        <f t="shared" si="306"/>
        <v>1741</v>
      </c>
      <c r="N1037" s="22">
        <f t="shared" si="307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304"/>
        <v>1500</v>
      </c>
      <c r="J1038" s="5"/>
      <c r="K1038" s="5"/>
      <c r="L1038" s="33">
        <f t="shared" si="305"/>
        <v>1741</v>
      </c>
      <c r="M1038" s="33">
        <f t="shared" si="306"/>
        <v>1741</v>
      </c>
      <c r="N1038" s="22">
        <f t="shared" si="307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304"/>
        <v>3500</v>
      </c>
      <c r="J1039" s="5"/>
      <c r="K1039" s="5"/>
      <c r="L1039" s="33">
        <f t="shared" si="305"/>
        <v>4062</v>
      </c>
      <c r="M1039" s="33">
        <f t="shared" si="306"/>
        <v>4062</v>
      </c>
      <c r="N1039" s="22">
        <f t="shared" si="307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304"/>
        <v>3500</v>
      </c>
      <c r="J1040" s="5"/>
      <c r="K1040" s="5"/>
      <c r="L1040" s="33">
        <f t="shared" si="305"/>
        <v>4131</v>
      </c>
      <c r="M1040" s="33">
        <f t="shared" si="306"/>
        <v>4131</v>
      </c>
      <c r="N1040" s="22">
        <f t="shared" si="307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304"/>
        <v>3500</v>
      </c>
      <c r="J1041" s="5"/>
      <c r="K1041" s="5"/>
      <c r="L1041" s="33">
        <f t="shared" si="305"/>
        <v>4144</v>
      </c>
      <c r="M1041" s="33">
        <f t="shared" si="306"/>
        <v>4144</v>
      </c>
      <c r="N1041" s="22">
        <f t="shared" si="307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304"/>
        <v>64</v>
      </c>
      <c r="J1042" s="5"/>
      <c r="K1042" s="5"/>
      <c r="L1042" s="33">
        <f t="shared" si="305"/>
        <v>8245</v>
      </c>
      <c r="M1042" s="33">
        <f t="shared" si="306"/>
        <v>8245</v>
      </c>
      <c r="N1042" s="22">
        <f t="shared" si="307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304"/>
        <v>16</v>
      </c>
      <c r="J1043" s="5"/>
      <c r="K1043" s="5"/>
      <c r="L1043" s="33">
        <f t="shared" si="305"/>
        <v>2427</v>
      </c>
      <c r="M1043" s="33">
        <f t="shared" si="306"/>
        <v>2427</v>
      </c>
      <c r="N1043" s="22">
        <f t="shared" si="307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304"/>
        <v>16</v>
      </c>
      <c r="J1044" s="5"/>
      <c r="K1044" s="5"/>
      <c r="L1044" s="33">
        <f t="shared" si="305"/>
        <v>2427</v>
      </c>
      <c r="M1044" s="33">
        <f t="shared" si="306"/>
        <v>2427</v>
      </c>
      <c r="N1044" s="22">
        <f t="shared" si="307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304"/>
        <v>64</v>
      </c>
      <c r="J1045" s="5"/>
      <c r="K1045" s="5"/>
      <c r="L1045" s="33">
        <f t="shared" si="305"/>
        <v>8245</v>
      </c>
      <c r="M1045" s="33">
        <f t="shared" si="306"/>
        <v>8245</v>
      </c>
      <c r="N1045" s="22">
        <f t="shared" si="307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304"/>
        <v>16</v>
      </c>
      <c r="J1046" s="5"/>
      <c r="K1046" s="5"/>
      <c r="L1046" s="33">
        <f t="shared" si="305"/>
        <v>2427</v>
      </c>
      <c r="M1046" s="33">
        <f t="shared" si="306"/>
        <v>2427</v>
      </c>
      <c r="N1046" s="22">
        <f t="shared" si="307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304"/>
        <v>16</v>
      </c>
      <c r="J1047" s="5"/>
      <c r="K1047" s="5"/>
      <c r="L1047" s="33">
        <f t="shared" si="305"/>
        <v>2427</v>
      </c>
      <c r="M1047" s="33">
        <f t="shared" si="306"/>
        <v>2427</v>
      </c>
      <c r="N1047" s="22">
        <f t="shared" si="307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304"/>
        <v>160</v>
      </c>
      <c r="J1048" s="5"/>
      <c r="K1048" s="5"/>
      <c r="L1048" s="33">
        <f t="shared" si="305"/>
        <v>20612</v>
      </c>
      <c r="M1048" s="33">
        <f t="shared" si="306"/>
        <v>20612</v>
      </c>
      <c r="N1048" s="22">
        <f t="shared" si="307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304"/>
        <v>240</v>
      </c>
      <c r="J1049" s="5"/>
      <c r="K1049" s="5"/>
      <c r="L1049" s="33">
        <f t="shared" si="305"/>
        <v>28211</v>
      </c>
      <c r="M1049" s="33">
        <f t="shared" si="306"/>
        <v>28211</v>
      </c>
      <c r="N1049" s="22">
        <f t="shared" si="307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304"/>
        <v>320</v>
      </c>
      <c r="J1050" s="5"/>
      <c r="K1050" s="5"/>
      <c r="L1050" s="33">
        <f t="shared" si="305"/>
        <v>38574</v>
      </c>
      <c r="M1050" s="33">
        <f t="shared" si="306"/>
        <v>38574</v>
      </c>
      <c r="N1050" s="22">
        <f t="shared" si="307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304"/>
        <v>16</v>
      </c>
      <c r="J1051" s="5"/>
      <c r="K1051" s="5"/>
      <c r="L1051" s="33">
        <f t="shared" si="305"/>
        <v>3262</v>
      </c>
      <c r="M1051" s="33">
        <f t="shared" si="306"/>
        <v>3262</v>
      </c>
      <c r="N1051" s="22">
        <f t="shared" si="307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304"/>
        <v>40</v>
      </c>
      <c r="J1052" s="5"/>
      <c r="K1052" s="5"/>
      <c r="L1052" s="33">
        <f t="shared" si="305"/>
        <v>6222</v>
      </c>
      <c r="M1052" s="33">
        <f t="shared" si="306"/>
        <v>6222</v>
      </c>
      <c r="N1052" s="22">
        <f t="shared" si="307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304"/>
        <v>160</v>
      </c>
      <c r="J1053" s="5"/>
      <c r="K1053" s="5"/>
      <c r="L1053" s="33">
        <f t="shared" si="305"/>
        <v>19372</v>
      </c>
      <c r="M1053" s="33">
        <f t="shared" si="306"/>
        <v>19372</v>
      </c>
      <c r="N1053" s="22">
        <f t="shared" si="307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304"/>
        <v>16</v>
      </c>
      <c r="J1054" s="5"/>
      <c r="K1054" s="5"/>
      <c r="L1054" s="33">
        <f t="shared" si="305"/>
        <v>3276</v>
      </c>
      <c r="M1054" s="33">
        <f t="shared" si="306"/>
        <v>3276</v>
      </c>
      <c r="N1054" s="22">
        <f t="shared" si="307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304"/>
        <v>40</v>
      </c>
      <c r="J1055" s="5"/>
      <c r="K1055" s="5"/>
      <c r="L1055" s="33">
        <f t="shared" si="305"/>
        <v>6249</v>
      </c>
      <c r="M1055" s="33">
        <f t="shared" si="306"/>
        <v>6249</v>
      </c>
      <c r="N1055" s="22">
        <f t="shared" si="307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304"/>
        <v>8</v>
      </c>
      <c r="J1056" s="5"/>
      <c r="K1056" s="5"/>
      <c r="L1056" s="33">
        <f t="shared" si="305"/>
        <v>969</v>
      </c>
      <c r="M1056" s="33">
        <f t="shared" si="306"/>
        <v>969</v>
      </c>
      <c r="N1056" s="22">
        <f t="shared" si="307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304"/>
        <v>8</v>
      </c>
      <c r="J1057" s="5"/>
      <c r="K1057" s="5"/>
      <c r="L1057" s="33">
        <f t="shared" si="305"/>
        <v>1638</v>
      </c>
      <c r="M1057" s="33">
        <f t="shared" si="306"/>
        <v>1638</v>
      </c>
      <c r="N1057" s="22">
        <f t="shared" si="307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304"/>
        <v>8</v>
      </c>
      <c r="J1058" s="5"/>
      <c r="K1058" s="5"/>
      <c r="L1058" s="33">
        <f t="shared" si="305"/>
        <v>1250</v>
      </c>
      <c r="M1058" s="33">
        <f t="shared" si="306"/>
        <v>1250</v>
      </c>
      <c r="N1058" s="22">
        <f t="shared" si="307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304"/>
        <v>8</v>
      </c>
      <c r="J1059" s="5"/>
      <c r="K1059" s="5"/>
      <c r="L1059" s="33">
        <f t="shared" si="305"/>
        <v>969</v>
      </c>
      <c r="M1059" s="33">
        <f t="shared" si="306"/>
        <v>969</v>
      </c>
      <c r="N1059" s="22">
        <f t="shared" si="307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304"/>
        <v>8</v>
      </c>
      <c r="J1060" s="5"/>
      <c r="K1060" s="5"/>
      <c r="L1060" s="33">
        <f t="shared" si="305"/>
        <v>1638</v>
      </c>
      <c r="M1060" s="33">
        <f t="shared" si="306"/>
        <v>1638</v>
      </c>
      <c r="N1060" s="22">
        <f t="shared" si="307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304"/>
        <v>8</v>
      </c>
      <c r="J1061" s="5"/>
      <c r="K1061" s="5"/>
      <c r="L1061" s="33">
        <f t="shared" si="305"/>
        <v>1250</v>
      </c>
      <c r="M1061" s="33">
        <f t="shared" si="306"/>
        <v>1250</v>
      </c>
      <c r="N1061" s="22">
        <f t="shared" si="307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304"/>
        <v>7.5</v>
      </c>
      <c r="J1062" s="5"/>
      <c r="K1062" s="5"/>
      <c r="L1062" s="33">
        <f t="shared" si="305"/>
        <v>1137.5</v>
      </c>
      <c r="M1062" s="33">
        <f t="shared" si="306"/>
        <v>1137.5</v>
      </c>
      <c r="N1062" s="22">
        <f t="shared" si="307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304"/>
        <v>2.5</v>
      </c>
      <c r="J1063" s="5"/>
      <c r="K1063" s="5"/>
      <c r="L1063" s="33">
        <f t="shared" si="305"/>
        <v>293.75</v>
      </c>
      <c r="M1063" s="33">
        <f t="shared" si="306"/>
        <v>293.75</v>
      </c>
      <c r="N1063" s="22">
        <f t="shared" si="307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304"/>
        <v>2.5</v>
      </c>
      <c r="J1064" s="5"/>
      <c r="K1064" s="5"/>
      <c r="L1064" s="33">
        <f t="shared" si="305"/>
        <v>293.75</v>
      </c>
      <c r="M1064" s="33">
        <f t="shared" si="306"/>
        <v>293.75</v>
      </c>
      <c r="N1064" s="22">
        <f t="shared" si="307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308">C1066*(1-G1066)</f>
        <v>120</v>
      </c>
      <c r="J1066" s="5"/>
      <c r="K1066" s="5"/>
      <c r="L1066" s="33">
        <f t="shared" ref="L1066:L1123" si="309">D1066*(1-G1066)</f>
        <v>17672</v>
      </c>
      <c r="M1066" s="33">
        <f t="shared" ref="M1066:M1123" si="310">IF(J1066="",L1066,(D1066/C1066)*J1066)</f>
        <v>17672</v>
      </c>
      <c r="N1066" s="22">
        <f t="shared" ref="N1066:N1123" si="311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308"/>
        <v>40</v>
      </c>
      <c r="J1067" s="5"/>
      <c r="K1067" s="5"/>
      <c r="L1067" s="33">
        <f t="shared" si="309"/>
        <v>4565</v>
      </c>
      <c r="M1067" s="33">
        <f t="shared" si="310"/>
        <v>4565</v>
      </c>
      <c r="N1067" s="22">
        <f t="shared" si="311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308"/>
        <v>20</v>
      </c>
      <c r="J1068" s="5"/>
      <c r="K1068" s="5"/>
      <c r="L1068" s="33">
        <f t="shared" si="309"/>
        <v>3011.5</v>
      </c>
      <c r="M1068" s="33">
        <f t="shared" si="310"/>
        <v>3011.5</v>
      </c>
      <c r="N1068" s="22">
        <f t="shared" si="311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308"/>
        <v>10</v>
      </c>
      <c r="J1069" s="5"/>
      <c r="K1069" s="5"/>
      <c r="L1069" s="33">
        <f t="shared" si="309"/>
        <v>1167</v>
      </c>
      <c r="M1069" s="33">
        <f t="shared" si="310"/>
        <v>1167</v>
      </c>
      <c r="N1069" s="22">
        <f t="shared" si="311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308"/>
        <v>6</v>
      </c>
      <c r="J1070" s="5"/>
      <c r="K1070" s="5"/>
      <c r="L1070" s="33">
        <f t="shared" si="309"/>
        <v>909.75</v>
      </c>
      <c r="M1070" s="33">
        <f t="shared" si="310"/>
        <v>909.75</v>
      </c>
      <c r="N1070" s="22">
        <f t="shared" si="311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308"/>
        <v>6</v>
      </c>
      <c r="J1071" s="5"/>
      <c r="K1071" s="5"/>
      <c r="L1071" s="33">
        <f t="shared" si="309"/>
        <v>705</v>
      </c>
      <c r="M1071" s="33">
        <f t="shared" si="310"/>
        <v>705</v>
      </c>
      <c r="N1071" s="22">
        <f t="shared" si="311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308"/>
        <v>6</v>
      </c>
      <c r="J1072" s="5"/>
      <c r="K1072" s="5"/>
      <c r="L1072" s="33">
        <f t="shared" si="309"/>
        <v>705</v>
      </c>
      <c r="M1072" s="33">
        <f t="shared" si="310"/>
        <v>705</v>
      </c>
      <c r="N1072" s="22">
        <f t="shared" si="311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308"/>
        <v>8</v>
      </c>
      <c r="J1073" s="5"/>
      <c r="K1073" s="5"/>
      <c r="L1073" s="33">
        <f t="shared" si="309"/>
        <v>1213</v>
      </c>
      <c r="M1073" s="33">
        <f t="shared" si="310"/>
        <v>1213</v>
      </c>
      <c r="N1073" s="22">
        <f t="shared" si="311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308"/>
        <v>8</v>
      </c>
      <c r="J1074" s="5"/>
      <c r="K1074" s="5"/>
      <c r="L1074" s="33">
        <f t="shared" si="309"/>
        <v>940</v>
      </c>
      <c r="M1074" s="33">
        <f t="shared" si="310"/>
        <v>940</v>
      </c>
      <c r="N1074" s="22">
        <f t="shared" si="311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308"/>
        <v>8</v>
      </c>
      <c r="J1075" s="5"/>
      <c r="K1075" s="5"/>
      <c r="L1075" s="33">
        <f t="shared" si="309"/>
        <v>940</v>
      </c>
      <c r="M1075" s="33">
        <f t="shared" si="310"/>
        <v>940</v>
      </c>
      <c r="N1075" s="22">
        <f t="shared" si="311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308"/>
        <v>4</v>
      </c>
      <c r="J1076" s="5"/>
      <c r="K1076" s="5"/>
      <c r="L1076" s="33">
        <f t="shared" si="309"/>
        <v>607</v>
      </c>
      <c r="M1076" s="33">
        <f t="shared" si="310"/>
        <v>607</v>
      </c>
      <c r="N1076" s="22">
        <f t="shared" si="311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308"/>
        <v>4</v>
      </c>
      <c r="J1077" s="5"/>
      <c r="K1077" s="5"/>
      <c r="L1077" s="33">
        <f t="shared" si="309"/>
        <v>470</v>
      </c>
      <c r="M1077" s="33">
        <f t="shared" si="310"/>
        <v>470</v>
      </c>
      <c r="N1077" s="22">
        <f t="shared" si="311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308"/>
        <v>80</v>
      </c>
      <c r="J1078" s="5"/>
      <c r="K1078" s="5"/>
      <c r="L1078" s="33">
        <f t="shared" si="309"/>
        <v>9404</v>
      </c>
      <c r="M1078" s="33">
        <f t="shared" si="310"/>
        <v>9404</v>
      </c>
      <c r="N1078" s="22">
        <f t="shared" si="311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308"/>
        <v>64</v>
      </c>
      <c r="J1079" s="5"/>
      <c r="K1079" s="5"/>
      <c r="L1079" s="33">
        <f t="shared" si="309"/>
        <v>9708</v>
      </c>
      <c r="M1079" s="33">
        <f t="shared" si="310"/>
        <v>9708</v>
      </c>
      <c r="N1079" s="22">
        <f t="shared" si="311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308"/>
        <v>64</v>
      </c>
      <c r="J1080" s="5"/>
      <c r="K1080" s="5"/>
      <c r="L1080" s="33">
        <f t="shared" si="309"/>
        <v>7523</v>
      </c>
      <c r="M1080" s="33">
        <f t="shared" si="310"/>
        <v>7523</v>
      </c>
      <c r="N1080" s="22">
        <f t="shared" si="311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308"/>
        <v>512</v>
      </c>
      <c r="J1081" s="5"/>
      <c r="K1081" s="5"/>
      <c r="L1081" s="33">
        <f t="shared" si="309"/>
        <v>60183</v>
      </c>
      <c r="M1081" s="33">
        <f t="shared" si="310"/>
        <v>60183</v>
      </c>
      <c r="N1081" s="22">
        <f t="shared" si="311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308"/>
        <v>8</v>
      </c>
      <c r="J1082" s="5"/>
      <c r="K1082" s="5"/>
      <c r="L1082" s="33">
        <f t="shared" si="309"/>
        <v>1250</v>
      </c>
      <c r="M1082" s="33">
        <f t="shared" si="310"/>
        <v>1250</v>
      </c>
      <c r="N1082" s="22">
        <f t="shared" si="311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308"/>
        <v>2</v>
      </c>
      <c r="J1083" s="5"/>
      <c r="K1083" s="5"/>
      <c r="L1083" s="33">
        <f t="shared" si="309"/>
        <v>242</v>
      </c>
      <c r="M1083" s="33">
        <f t="shared" si="310"/>
        <v>242</v>
      </c>
      <c r="N1083" s="22">
        <f t="shared" si="311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308"/>
        <v>32</v>
      </c>
      <c r="J1084" s="5"/>
      <c r="K1084" s="5"/>
      <c r="L1084" s="33">
        <f t="shared" si="309"/>
        <v>3874</v>
      </c>
      <c r="M1084" s="33">
        <f t="shared" si="310"/>
        <v>3874</v>
      </c>
      <c r="N1084" s="22">
        <f t="shared" si="311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308"/>
        <v>120</v>
      </c>
      <c r="J1085" s="5"/>
      <c r="K1085" s="5"/>
      <c r="L1085" s="33">
        <f t="shared" si="309"/>
        <v>16626</v>
      </c>
      <c r="M1085" s="33">
        <f t="shared" si="310"/>
        <v>16626</v>
      </c>
      <c r="N1085" s="22">
        <f t="shared" si="311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308"/>
        <v>4</v>
      </c>
      <c r="J1086" s="5"/>
      <c r="K1086" s="5"/>
      <c r="L1086" s="33">
        <f t="shared" si="309"/>
        <v>625</v>
      </c>
      <c r="M1086" s="33">
        <f t="shared" si="310"/>
        <v>625</v>
      </c>
      <c r="N1086" s="22">
        <f t="shared" si="311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308"/>
        <v>8</v>
      </c>
      <c r="J1087" s="5"/>
      <c r="K1087" s="5"/>
      <c r="L1087" s="33">
        <f t="shared" si="309"/>
        <v>1250</v>
      </c>
      <c r="M1087" s="33">
        <f t="shared" si="310"/>
        <v>1250</v>
      </c>
      <c r="N1087" s="22">
        <f t="shared" si="311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308"/>
        <v>2</v>
      </c>
      <c r="J1088" s="5"/>
      <c r="K1088" s="5"/>
      <c r="L1088" s="33">
        <f t="shared" si="309"/>
        <v>242</v>
      </c>
      <c r="M1088" s="33">
        <f t="shared" si="310"/>
        <v>242</v>
      </c>
      <c r="N1088" s="22">
        <f t="shared" si="311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308"/>
        <v>32</v>
      </c>
      <c r="J1089" s="5"/>
      <c r="K1089" s="5"/>
      <c r="L1089" s="33">
        <f t="shared" si="309"/>
        <v>3874</v>
      </c>
      <c r="M1089" s="33">
        <f t="shared" si="310"/>
        <v>3874</v>
      </c>
      <c r="N1089" s="22">
        <f t="shared" si="311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308"/>
        <v>4</v>
      </c>
      <c r="J1090" s="5"/>
      <c r="K1090" s="5"/>
      <c r="L1090" s="33">
        <f t="shared" si="309"/>
        <v>484</v>
      </c>
      <c r="M1090" s="33">
        <f t="shared" si="310"/>
        <v>484</v>
      </c>
      <c r="N1090" s="22">
        <f t="shared" si="311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308"/>
        <v>20</v>
      </c>
      <c r="J1091" s="5"/>
      <c r="K1091" s="5"/>
      <c r="L1091" s="33">
        <f t="shared" si="309"/>
        <v>2421</v>
      </c>
      <c r="M1091" s="33">
        <f t="shared" si="310"/>
        <v>2421</v>
      </c>
      <c r="N1091" s="22">
        <f t="shared" si="311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308"/>
        <v>80</v>
      </c>
      <c r="J1092" s="5"/>
      <c r="K1092" s="5"/>
      <c r="L1092" s="33">
        <f t="shared" si="309"/>
        <v>9686</v>
      </c>
      <c r="M1092" s="33">
        <f t="shared" si="310"/>
        <v>9686</v>
      </c>
      <c r="N1092" s="22">
        <f t="shared" si="311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308"/>
        <v>160</v>
      </c>
      <c r="J1093" s="5"/>
      <c r="K1093" s="5"/>
      <c r="L1093" s="33">
        <f t="shared" si="309"/>
        <v>19372</v>
      </c>
      <c r="M1093" s="33">
        <f t="shared" si="310"/>
        <v>19372</v>
      </c>
      <c r="N1093" s="22">
        <f t="shared" si="311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308"/>
        <v>80</v>
      </c>
      <c r="J1094" s="5"/>
      <c r="K1094" s="5"/>
      <c r="L1094" s="33">
        <f t="shared" si="309"/>
        <v>12499</v>
      </c>
      <c r="M1094" s="33">
        <f t="shared" si="310"/>
        <v>12499</v>
      </c>
      <c r="N1094" s="22">
        <f t="shared" si="311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308"/>
        <v>8</v>
      </c>
      <c r="J1095" s="5"/>
      <c r="K1095" s="5"/>
      <c r="L1095" s="33">
        <f t="shared" si="309"/>
        <v>1250</v>
      </c>
      <c r="M1095" s="33">
        <f t="shared" si="310"/>
        <v>1250</v>
      </c>
      <c r="N1095" s="22">
        <f t="shared" si="311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308"/>
        <v>8</v>
      </c>
      <c r="J1096" s="5"/>
      <c r="K1096" s="5"/>
      <c r="L1096" s="33">
        <f t="shared" si="309"/>
        <v>1250</v>
      </c>
      <c r="M1096" s="33">
        <f t="shared" si="310"/>
        <v>1250</v>
      </c>
      <c r="N1096" s="22">
        <f t="shared" si="311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308"/>
        <v>8</v>
      </c>
      <c r="J1097" s="5"/>
      <c r="K1097" s="5"/>
      <c r="L1097" s="33">
        <f t="shared" si="309"/>
        <v>969</v>
      </c>
      <c r="M1097" s="33">
        <f t="shared" si="310"/>
        <v>969</v>
      </c>
      <c r="N1097" s="22">
        <f t="shared" si="311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308"/>
        <v>8</v>
      </c>
      <c r="J1098" s="5"/>
      <c r="K1098" s="5"/>
      <c r="L1098" s="33">
        <f t="shared" si="309"/>
        <v>969</v>
      </c>
      <c r="M1098" s="33">
        <f t="shared" si="310"/>
        <v>969</v>
      </c>
      <c r="N1098" s="22">
        <f t="shared" si="311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308"/>
        <v>8</v>
      </c>
      <c r="J1099" s="5"/>
      <c r="K1099" s="5"/>
      <c r="L1099" s="33">
        <f t="shared" si="309"/>
        <v>969</v>
      </c>
      <c r="M1099" s="33">
        <f t="shared" si="310"/>
        <v>969</v>
      </c>
      <c r="N1099" s="22">
        <f t="shared" si="311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308"/>
        <v>8</v>
      </c>
      <c r="J1100" s="5"/>
      <c r="K1100" s="5"/>
      <c r="L1100" s="33">
        <f t="shared" si="309"/>
        <v>1250</v>
      </c>
      <c r="M1100" s="33">
        <f t="shared" si="310"/>
        <v>1250</v>
      </c>
      <c r="N1100" s="22">
        <f t="shared" si="311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308"/>
        <v>8</v>
      </c>
      <c r="J1101" s="5"/>
      <c r="K1101" s="5"/>
      <c r="L1101" s="33">
        <f t="shared" si="309"/>
        <v>1250</v>
      </c>
      <c r="M1101" s="33">
        <f t="shared" si="310"/>
        <v>1250</v>
      </c>
      <c r="N1101" s="22">
        <f t="shared" si="311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308"/>
        <v>8</v>
      </c>
      <c r="J1102" s="5"/>
      <c r="K1102" s="5"/>
      <c r="L1102" s="33">
        <f t="shared" si="309"/>
        <v>969</v>
      </c>
      <c r="M1102" s="33">
        <f t="shared" si="310"/>
        <v>969</v>
      </c>
      <c r="N1102" s="22">
        <f t="shared" si="311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308"/>
        <v>8</v>
      </c>
      <c r="J1103" s="5"/>
      <c r="K1103" s="5"/>
      <c r="L1103" s="33">
        <f t="shared" si="309"/>
        <v>969</v>
      </c>
      <c r="M1103" s="33">
        <f t="shared" si="310"/>
        <v>969</v>
      </c>
      <c r="N1103" s="22">
        <f t="shared" si="311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308"/>
        <v>8</v>
      </c>
      <c r="J1104" s="5"/>
      <c r="K1104" s="5"/>
      <c r="L1104" s="33">
        <f t="shared" si="309"/>
        <v>969</v>
      </c>
      <c r="M1104" s="33">
        <f t="shared" si="310"/>
        <v>969</v>
      </c>
      <c r="N1104" s="22">
        <f t="shared" si="311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308"/>
        <v>320</v>
      </c>
      <c r="J1105" s="5"/>
      <c r="K1105" s="5"/>
      <c r="L1105" s="33">
        <f t="shared" si="309"/>
        <v>58428</v>
      </c>
      <c r="M1105" s="33">
        <f t="shared" si="310"/>
        <v>58428</v>
      </c>
      <c r="N1105" s="22">
        <f t="shared" si="311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308"/>
        <v>160</v>
      </c>
      <c r="J1106" s="5"/>
      <c r="K1106" s="5"/>
      <c r="L1106" s="33">
        <f t="shared" si="309"/>
        <v>24997</v>
      </c>
      <c r="M1106" s="33">
        <f t="shared" si="310"/>
        <v>24997</v>
      </c>
      <c r="N1106" s="22">
        <f t="shared" si="311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308"/>
        <v>160</v>
      </c>
      <c r="J1107" s="5"/>
      <c r="K1107" s="5"/>
      <c r="L1107" s="33">
        <f t="shared" si="309"/>
        <v>19372</v>
      </c>
      <c r="M1107" s="33">
        <f t="shared" si="310"/>
        <v>19372</v>
      </c>
      <c r="N1107" s="22">
        <f t="shared" si="311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308"/>
        <v>32</v>
      </c>
      <c r="J1108" s="5"/>
      <c r="K1108" s="5"/>
      <c r="L1108" s="33">
        <f t="shared" si="309"/>
        <v>3874</v>
      </c>
      <c r="M1108" s="33">
        <f t="shared" si="310"/>
        <v>3874</v>
      </c>
      <c r="N1108" s="22">
        <f t="shared" si="311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308"/>
        <v>80000</v>
      </c>
      <c r="J1109" s="5"/>
      <c r="K1109" s="5"/>
      <c r="L1109" s="33">
        <f t="shared" si="309"/>
        <v>91034</v>
      </c>
      <c r="M1109" s="33">
        <f t="shared" si="310"/>
        <v>91034</v>
      </c>
      <c r="N1109" s="22">
        <f t="shared" si="311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308"/>
        <v>500</v>
      </c>
      <c r="J1110" s="5"/>
      <c r="K1110" s="5"/>
      <c r="L1110" s="33">
        <f t="shared" si="309"/>
        <v>580</v>
      </c>
      <c r="M1110" s="33">
        <f t="shared" si="310"/>
        <v>580</v>
      </c>
      <c r="N1110" s="22">
        <f t="shared" si="311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308"/>
        <v>500</v>
      </c>
      <c r="J1111" s="5"/>
      <c r="K1111" s="5"/>
      <c r="L1111" s="33">
        <f t="shared" si="309"/>
        <v>580</v>
      </c>
      <c r="M1111" s="33">
        <f t="shared" si="310"/>
        <v>580</v>
      </c>
      <c r="N1111" s="22">
        <f t="shared" si="311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308"/>
        <v>500</v>
      </c>
      <c r="J1112" s="5"/>
      <c r="K1112" s="5"/>
      <c r="L1112" s="33">
        <f t="shared" si="309"/>
        <v>592</v>
      </c>
      <c r="M1112" s="33">
        <f t="shared" si="310"/>
        <v>592</v>
      </c>
      <c r="N1112" s="22">
        <f t="shared" si="311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308"/>
        <v>500</v>
      </c>
      <c r="J1113" s="5"/>
      <c r="K1113" s="5"/>
      <c r="L1113" s="33">
        <f t="shared" si="309"/>
        <v>592</v>
      </c>
      <c r="M1113" s="33">
        <f t="shared" si="310"/>
        <v>592</v>
      </c>
      <c r="N1113" s="22">
        <f t="shared" si="311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308"/>
        <v>500</v>
      </c>
      <c r="J1114" s="5"/>
      <c r="K1114" s="5"/>
      <c r="L1114" s="33">
        <f t="shared" si="309"/>
        <v>592</v>
      </c>
      <c r="M1114" s="33">
        <f t="shared" si="310"/>
        <v>592</v>
      </c>
      <c r="N1114" s="22">
        <f t="shared" si="311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308"/>
        <v>500</v>
      </c>
      <c r="J1115" s="5"/>
      <c r="K1115" s="5"/>
      <c r="L1115" s="33">
        <f t="shared" si="309"/>
        <v>592</v>
      </c>
      <c r="M1115" s="33">
        <f t="shared" si="310"/>
        <v>592</v>
      </c>
      <c r="N1115" s="22">
        <f t="shared" si="311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308"/>
        <v>500</v>
      </c>
      <c r="J1116" s="5"/>
      <c r="K1116" s="5"/>
      <c r="L1116" s="33">
        <f t="shared" si="309"/>
        <v>592</v>
      </c>
      <c r="M1116" s="33">
        <f t="shared" si="310"/>
        <v>592</v>
      </c>
      <c r="N1116" s="22">
        <f t="shared" si="311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308"/>
        <v>500</v>
      </c>
      <c r="J1117" s="5"/>
      <c r="K1117" s="5"/>
      <c r="L1117" s="33">
        <f t="shared" si="309"/>
        <v>592</v>
      </c>
      <c r="M1117" s="33">
        <f t="shared" si="310"/>
        <v>592</v>
      </c>
      <c r="N1117" s="22">
        <f t="shared" si="311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308"/>
        <v>3.0000000000000027</v>
      </c>
      <c r="J1118" s="5"/>
      <c r="K1118" s="5"/>
      <c r="L1118" s="33">
        <f t="shared" si="309"/>
        <v>441.80000000000041</v>
      </c>
      <c r="M1118" s="33">
        <f t="shared" si="310"/>
        <v>441.80000000000041</v>
      </c>
      <c r="N1118" s="22">
        <f t="shared" si="311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308"/>
        <v>6.0000000000000053</v>
      </c>
      <c r="J1119" s="5"/>
      <c r="K1119" s="5"/>
      <c r="L1119" s="33">
        <f t="shared" si="309"/>
        <v>684.75000000000057</v>
      </c>
      <c r="M1119" s="33">
        <f t="shared" si="310"/>
        <v>684.75000000000057</v>
      </c>
      <c r="N1119" s="22">
        <f t="shared" si="311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308"/>
        <v>80</v>
      </c>
      <c r="J1120" s="5"/>
      <c r="K1120" s="5"/>
      <c r="L1120" s="33">
        <f t="shared" si="309"/>
        <v>10615</v>
      </c>
      <c r="M1120" s="33">
        <f t="shared" si="310"/>
        <v>10615</v>
      </c>
      <c r="N1120" s="22">
        <f t="shared" si="311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308"/>
        <v>60</v>
      </c>
      <c r="J1121" s="5"/>
      <c r="K1121" s="5"/>
      <c r="L1121" s="33">
        <f t="shared" si="309"/>
        <v>7264</v>
      </c>
      <c r="M1121" s="33">
        <f t="shared" si="310"/>
        <v>7264</v>
      </c>
      <c r="N1121" s="22">
        <f t="shared" si="311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308"/>
        <v>60</v>
      </c>
      <c r="J1122" s="5"/>
      <c r="K1122" s="5"/>
      <c r="L1122" s="33">
        <f t="shared" si="309"/>
        <v>8313</v>
      </c>
      <c r="M1122" s="33">
        <f t="shared" si="310"/>
        <v>8313</v>
      </c>
      <c r="N1122" s="22">
        <f t="shared" si="311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308"/>
        <v>8</v>
      </c>
      <c r="J1123" s="5"/>
      <c r="K1123" s="5"/>
      <c r="L1123" s="33">
        <f t="shared" si="309"/>
        <v>1250</v>
      </c>
      <c r="M1123" s="33">
        <f t="shared" si="310"/>
        <v>1250</v>
      </c>
      <c r="N1123" s="22">
        <f t="shared" si="311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 t="shared" ref="I1124:I1125" si="312">C1124*(1-G1124)</f>
        <v>2</v>
      </c>
      <c r="J1124" s="5"/>
      <c r="K1124" s="5"/>
      <c r="L1124" s="33">
        <f t="shared" ref="L1124:L1125" si="313">D1124*(1-G1124)</f>
        <v>242</v>
      </c>
      <c r="M1124" s="33">
        <f t="shared" ref="M1124:M1125" si="314">IF(J1124="",L1124,(D1124/C1124)*J1124)</f>
        <v>242</v>
      </c>
      <c r="N1124" s="22">
        <f t="shared" ref="N1124:N1125" si="315"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 t="shared" si="312"/>
        <v>32</v>
      </c>
      <c r="J1125" s="5"/>
      <c r="K1125" s="5"/>
      <c r="L1125" s="33">
        <f t="shared" si="313"/>
        <v>3874</v>
      </c>
      <c r="M1125" s="33">
        <f t="shared" si="314"/>
        <v>3874</v>
      </c>
      <c r="N1125" s="22">
        <f t="shared" si="315"/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316">C1127*(1-G1127)</f>
        <v>72</v>
      </c>
      <c r="J1127" s="5"/>
      <c r="K1127" s="5"/>
      <c r="L1127" s="33">
        <f t="shared" ref="L1127:L1167" si="317">D1127*(1-G1127)</f>
        <v>10921.199999999999</v>
      </c>
      <c r="M1127" s="33">
        <f t="shared" ref="M1127:M1167" si="318">IF(J1127="",L1127,(D1127/C1127)*J1127)</f>
        <v>10921.199999999999</v>
      </c>
      <c r="N1127" s="22">
        <f t="shared" ref="N1127:N1167" si="31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316"/>
        <v>28.799999999999997</v>
      </c>
      <c r="J1128" s="5"/>
      <c r="K1128" s="5"/>
      <c r="L1128" s="33">
        <f t="shared" si="317"/>
        <v>3385.2</v>
      </c>
      <c r="M1128" s="33">
        <f t="shared" si="318"/>
        <v>3385.2</v>
      </c>
      <c r="N1128" s="22">
        <f t="shared" si="31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316"/>
        <v>24</v>
      </c>
      <c r="J1129" s="5"/>
      <c r="K1129" s="5"/>
      <c r="L1129" s="33">
        <f t="shared" si="317"/>
        <v>2821.2</v>
      </c>
      <c r="M1129" s="33">
        <f t="shared" si="318"/>
        <v>2821.2</v>
      </c>
      <c r="N1129" s="22">
        <f t="shared" si="31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316"/>
        <v>48</v>
      </c>
      <c r="J1130" s="5"/>
      <c r="K1130" s="5"/>
      <c r="L1130" s="33">
        <f t="shared" si="317"/>
        <v>7281</v>
      </c>
      <c r="M1130" s="33">
        <f t="shared" si="318"/>
        <v>7281</v>
      </c>
      <c r="N1130" s="22">
        <f t="shared" si="31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316"/>
        <v>4.8</v>
      </c>
      <c r="J1131" s="5"/>
      <c r="K1131" s="5"/>
      <c r="L1131" s="33">
        <f t="shared" si="317"/>
        <v>564</v>
      </c>
      <c r="M1131" s="33">
        <f t="shared" si="318"/>
        <v>564</v>
      </c>
      <c r="N1131" s="22">
        <f t="shared" si="31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316"/>
        <v>24</v>
      </c>
      <c r="J1132" s="5"/>
      <c r="K1132" s="5"/>
      <c r="L1132" s="33">
        <f t="shared" si="317"/>
        <v>2821.2</v>
      </c>
      <c r="M1132" s="33">
        <f t="shared" si="318"/>
        <v>2821.2</v>
      </c>
      <c r="N1132" s="22">
        <f t="shared" si="31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316"/>
        <v>8</v>
      </c>
      <c r="J1133" s="5"/>
      <c r="K1133" s="5"/>
      <c r="L1133" s="33">
        <f t="shared" si="317"/>
        <v>1250</v>
      </c>
      <c r="M1133" s="33">
        <f t="shared" si="318"/>
        <v>1250</v>
      </c>
      <c r="N1133" s="22">
        <f t="shared" si="31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316"/>
        <v>64</v>
      </c>
      <c r="J1134" s="5"/>
      <c r="K1134" s="5"/>
      <c r="L1134" s="33">
        <f t="shared" si="317"/>
        <v>9999</v>
      </c>
      <c r="M1134" s="33">
        <f t="shared" si="318"/>
        <v>9999</v>
      </c>
      <c r="N1134" s="22">
        <f t="shared" si="31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316"/>
        <v>64</v>
      </c>
      <c r="J1135" s="5"/>
      <c r="K1135" s="5"/>
      <c r="L1135" s="33">
        <f t="shared" si="317"/>
        <v>7749</v>
      </c>
      <c r="M1135" s="33">
        <f t="shared" si="318"/>
        <v>7749</v>
      </c>
      <c r="N1135" s="22">
        <f t="shared" si="31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316"/>
        <v>512</v>
      </c>
      <c r="J1136" s="5"/>
      <c r="K1136" s="5"/>
      <c r="L1136" s="33">
        <f t="shared" si="317"/>
        <v>61989</v>
      </c>
      <c r="M1136" s="33">
        <f t="shared" si="318"/>
        <v>61989</v>
      </c>
      <c r="N1136" s="22">
        <f t="shared" si="31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316"/>
        <v>20</v>
      </c>
      <c r="J1137" s="5"/>
      <c r="K1137" s="5"/>
      <c r="L1137" s="33">
        <f t="shared" si="317"/>
        <v>2421</v>
      </c>
      <c r="M1137" s="33">
        <f t="shared" si="318"/>
        <v>2421</v>
      </c>
      <c r="N1137" s="22">
        <f t="shared" si="31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316"/>
        <v>160</v>
      </c>
      <c r="J1138" s="5"/>
      <c r="K1138" s="5"/>
      <c r="L1138" s="33">
        <f t="shared" si="317"/>
        <v>19372</v>
      </c>
      <c r="M1138" s="33">
        <f t="shared" si="318"/>
        <v>19372</v>
      </c>
      <c r="N1138" s="22">
        <f t="shared" si="31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316"/>
        <v>64</v>
      </c>
      <c r="J1139" s="5"/>
      <c r="K1139" s="5"/>
      <c r="L1139" s="33">
        <f t="shared" si="317"/>
        <v>7749</v>
      </c>
      <c r="M1139" s="33">
        <f t="shared" si="318"/>
        <v>7749</v>
      </c>
      <c r="N1139" s="22">
        <f t="shared" si="31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316"/>
        <v>32</v>
      </c>
      <c r="J1140" s="5"/>
      <c r="K1140" s="5"/>
      <c r="L1140" s="33">
        <f t="shared" si="317"/>
        <v>4999</v>
      </c>
      <c r="M1140" s="33">
        <f t="shared" si="318"/>
        <v>4999</v>
      </c>
      <c r="N1140" s="22">
        <f t="shared" si="31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316"/>
        <v>32</v>
      </c>
      <c r="J1141" s="5"/>
      <c r="K1141" s="5"/>
      <c r="L1141" s="33">
        <f t="shared" si="317"/>
        <v>3874</v>
      </c>
      <c r="M1141" s="33">
        <f t="shared" si="318"/>
        <v>3874</v>
      </c>
      <c r="N1141" s="22">
        <f t="shared" si="31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316"/>
        <v>320</v>
      </c>
      <c r="J1142" s="5"/>
      <c r="K1142" s="5"/>
      <c r="L1142" s="33">
        <f t="shared" si="317"/>
        <v>42460</v>
      </c>
      <c r="M1142" s="33">
        <f t="shared" si="318"/>
        <v>42460</v>
      </c>
      <c r="N1142" s="22">
        <f t="shared" si="31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316"/>
        <v>8</v>
      </c>
      <c r="J1143" s="5"/>
      <c r="K1143" s="5"/>
      <c r="L1143" s="33">
        <f t="shared" si="317"/>
        <v>1250</v>
      </c>
      <c r="M1143" s="33">
        <f t="shared" si="318"/>
        <v>1250</v>
      </c>
      <c r="N1143" s="22">
        <f t="shared" si="31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316"/>
        <v>8</v>
      </c>
      <c r="J1144" s="5"/>
      <c r="K1144" s="5"/>
      <c r="L1144" s="33">
        <f t="shared" si="317"/>
        <v>969</v>
      </c>
      <c r="M1144" s="33">
        <f t="shared" si="318"/>
        <v>969</v>
      </c>
      <c r="N1144" s="22">
        <f t="shared" si="31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316"/>
        <v>8</v>
      </c>
      <c r="J1145" s="5"/>
      <c r="K1145" s="5"/>
      <c r="L1145" s="33">
        <f t="shared" si="317"/>
        <v>969</v>
      </c>
      <c r="M1145" s="33">
        <f t="shared" si="318"/>
        <v>969</v>
      </c>
      <c r="N1145" s="22">
        <f t="shared" si="31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316"/>
        <v>8</v>
      </c>
      <c r="J1146" s="5"/>
      <c r="K1146" s="5"/>
      <c r="L1146" s="33">
        <f t="shared" si="317"/>
        <v>969</v>
      </c>
      <c r="M1146" s="33">
        <f t="shared" si="318"/>
        <v>969</v>
      </c>
      <c r="N1146" s="22">
        <f t="shared" si="31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316"/>
        <v>8</v>
      </c>
      <c r="J1147" s="5"/>
      <c r="K1147" s="5"/>
      <c r="L1147" s="33">
        <f t="shared" si="317"/>
        <v>1250</v>
      </c>
      <c r="M1147" s="33">
        <f t="shared" si="318"/>
        <v>1250</v>
      </c>
      <c r="N1147" s="22">
        <f t="shared" si="31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316"/>
        <v>8</v>
      </c>
      <c r="J1148" s="5"/>
      <c r="K1148" s="5"/>
      <c r="L1148" s="33">
        <f t="shared" si="317"/>
        <v>969</v>
      </c>
      <c r="M1148" s="33">
        <f t="shared" si="318"/>
        <v>969</v>
      </c>
      <c r="N1148" s="22">
        <f t="shared" si="31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316"/>
        <v>8</v>
      </c>
      <c r="J1149" s="5"/>
      <c r="K1149" s="5"/>
      <c r="L1149" s="33">
        <f t="shared" si="317"/>
        <v>969</v>
      </c>
      <c r="M1149" s="33">
        <f t="shared" si="318"/>
        <v>969</v>
      </c>
      <c r="N1149" s="22">
        <f t="shared" si="31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316"/>
        <v>8</v>
      </c>
      <c r="J1150" s="5"/>
      <c r="K1150" s="5"/>
      <c r="L1150" s="33">
        <f t="shared" si="317"/>
        <v>969</v>
      </c>
      <c r="M1150" s="33">
        <f t="shared" si="318"/>
        <v>969</v>
      </c>
      <c r="N1150" s="22">
        <f t="shared" si="31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316"/>
        <v>400</v>
      </c>
      <c r="J1151" s="5"/>
      <c r="K1151" s="5"/>
      <c r="L1151" s="33">
        <f t="shared" si="317"/>
        <v>73035</v>
      </c>
      <c r="M1151" s="33">
        <f t="shared" si="318"/>
        <v>73035</v>
      </c>
      <c r="N1151" s="22">
        <f t="shared" si="31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316"/>
        <v>40</v>
      </c>
      <c r="J1152" s="5"/>
      <c r="K1152" s="5"/>
      <c r="L1152" s="33">
        <f t="shared" si="317"/>
        <v>6249</v>
      </c>
      <c r="M1152" s="33">
        <f t="shared" si="318"/>
        <v>6249</v>
      </c>
      <c r="N1152" s="22">
        <f t="shared" si="31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316"/>
        <v>40</v>
      </c>
      <c r="J1153" s="5"/>
      <c r="K1153" s="5"/>
      <c r="L1153" s="33">
        <f t="shared" si="317"/>
        <v>4843</v>
      </c>
      <c r="M1153" s="33">
        <f t="shared" si="318"/>
        <v>4843</v>
      </c>
      <c r="N1153" s="22">
        <f t="shared" si="31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316"/>
        <v>40</v>
      </c>
      <c r="J1154" s="5"/>
      <c r="K1154" s="5"/>
      <c r="L1154" s="33">
        <f t="shared" si="317"/>
        <v>6249</v>
      </c>
      <c r="M1154" s="33">
        <f t="shared" si="318"/>
        <v>6249</v>
      </c>
      <c r="N1154" s="22">
        <f t="shared" si="31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316"/>
        <v>40</v>
      </c>
      <c r="J1155" s="5"/>
      <c r="K1155" s="5"/>
      <c r="L1155" s="33">
        <f t="shared" si="317"/>
        <v>4843</v>
      </c>
      <c r="M1155" s="33">
        <f t="shared" si="318"/>
        <v>4843</v>
      </c>
      <c r="N1155" s="22">
        <f t="shared" si="31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316"/>
        <v>40</v>
      </c>
      <c r="J1156" s="5"/>
      <c r="K1156" s="5"/>
      <c r="L1156" s="33">
        <f t="shared" si="317"/>
        <v>4843</v>
      </c>
      <c r="M1156" s="33">
        <f t="shared" si="318"/>
        <v>4843</v>
      </c>
      <c r="N1156" s="22">
        <f t="shared" si="31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316"/>
        <v>18000</v>
      </c>
      <c r="J1157" s="5"/>
      <c r="K1157" s="5"/>
      <c r="L1157" s="33">
        <f t="shared" si="317"/>
        <v>20892.599999999999</v>
      </c>
      <c r="M1157" s="33">
        <f t="shared" si="318"/>
        <v>20892.599999999999</v>
      </c>
      <c r="N1157" s="22">
        <f t="shared" si="31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316"/>
        <v>500</v>
      </c>
      <c r="J1158" s="5"/>
      <c r="K1158" s="5"/>
      <c r="L1158" s="33">
        <f t="shared" si="317"/>
        <v>592</v>
      </c>
      <c r="M1158" s="33">
        <f t="shared" si="318"/>
        <v>592</v>
      </c>
      <c r="N1158" s="22">
        <f t="shared" si="31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316"/>
        <v>500</v>
      </c>
      <c r="J1159" s="5"/>
      <c r="K1159" s="5"/>
      <c r="L1159" s="33">
        <f t="shared" si="317"/>
        <v>592</v>
      </c>
      <c r="M1159" s="33">
        <f t="shared" si="318"/>
        <v>592</v>
      </c>
      <c r="N1159" s="22">
        <f t="shared" si="31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316"/>
        <v>500</v>
      </c>
      <c r="J1160" s="5"/>
      <c r="K1160" s="5"/>
      <c r="L1160" s="33">
        <f t="shared" si="317"/>
        <v>592</v>
      </c>
      <c r="M1160" s="33">
        <f t="shared" si="318"/>
        <v>592</v>
      </c>
      <c r="N1160" s="22">
        <f t="shared" si="31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316"/>
        <v>500</v>
      </c>
      <c r="J1161" s="5"/>
      <c r="K1161" s="5"/>
      <c r="L1161" s="33">
        <f t="shared" si="317"/>
        <v>592</v>
      </c>
      <c r="M1161" s="33">
        <f t="shared" si="318"/>
        <v>592</v>
      </c>
      <c r="N1161" s="22">
        <f t="shared" si="31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316"/>
        <v>500</v>
      </c>
      <c r="J1162" s="5"/>
      <c r="K1162" s="5"/>
      <c r="L1162" s="33">
        <f t="shared" si="317"/>
        <v>592</v>
      </c>
      <c r="M1162" s="33">
        <f t="shared" si="318"/>
        <v>592</v>
      </c>
      <c r="N1162" s="22">
        <f t="shared" si="31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316"/>
        <v>80</v>
      </c>
      <c r="J1163" s="5"/>
      <c r="K1163" s="5"/>
      <c r="L1163" s="33">
        <f t="shared" si="317"/>
        <v>10615</v>
      </c>
      <c r="M1163" s="33">
        <f t="shared" si="318"/>
        <v>10615</v>
      </c>
      <c r="N1163" s="22">
        <f t="shared" si="31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316"/>
        <v>60</v>
      </c>
      <c r="J1164" s="5"/>
      <c r="K1164" s="5"/>
      <c r="L1164" s="33">
        <f t="shared" si="317"/>
        <v>7264</v>
      </c>
      <c r="M1164" s="33">
        <f t="shared" si="318"/>
        <v>7264</v>
      </c>
      <c r="N1164" s="22">
        <f t="shared" si="31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316"/>
        <v>60</v>
      </c>
      <c r="J1165" s="5"/>
      <c r="K1165" s="5"/>
      <c r="L1165" s="33">
        <f t="shared" si="317"/>
        <v>8313</v>
      </c>
      <c r="M1165" s="33">
        <f t="shared" si="318"/>
        <v>8313</v>
      </c>
      <c r="N1165" s="22">
        <f t="shared" si="31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316"/>
        <v>120</v>
      </c>
      <c r="J1166" s="5"/>
      <c r="K1166" s="5"/>
      <c r="L1166" s="33">
        <f t="shared" si="317"/>
        <v>15923</v>
      </c>
      <c r="M1166" s="33">
        <f t="shared" si="318"/>
        <v>15923</v>
      </c>
      <c r="N1166" s="22">
        <f t="shared" si="31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316"/>
        <v>64</v>
      </c>
      <c r="J1167" s="5"/>
      <c r="K1167" s="5"/>
      <c r="L1167" s="33">
        <f t="shared" si="317"/>
        <v>7749</v>
      </c>
      <c r="M1167" s="33">
        <f t="shared" si="318"/>
        <v>7749</v>
      </c>
      <c r="N1167" s="22">
        <f t="shared" si="31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320">C1169*(1-G1169)</f>
        <v>60</v>
      </c>
      <c r="J1169" s="5"/>
      <c r="K1169" s="5"/>
      <c r="L1169" s="33">
        <f t="shared" ref="L1169:L1226" si="321">D1169*(1-G1169)</f>
        <v>9101</v>
      </c>
      <c r="M1169" s="33">
        <f t="shared" ref="M1169:M1226" si="322">IF(J1169="",L1169,(D1169/C1169)*J1169)</f>
        <v>9101</v>
      </c>
      <c r="N1169" s="22">
        <f t="shared" ref="N1169:N1226" si="32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320"/>
        <v>20</v>
      </c>
      <c r="J1170" s="5"/>
      <c r="K1170" s="5"/>
      <c r="L1170" s="33">
        <f t="shared" si="321"/>
        <v>2351</v>
      </c>
      <c r="M1170" s="33">
        <f t="shared" si="322"/>
        <v>2351</v>
      </c>
      <c r="N1170" s="22">
        <f t="shared" si="32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320"/>
        <v>20</v>
      </c>
      <c r="J1171" s="5"/>
      <c r="K1171" s="5"/>
      <c r="L1171" s="33">
        <f t="shared" si="321"/>
        <v>3033.5</v>
      </c>
      <c r="M1171" s="33">
        <f t="shared" si="322"/>
        <v>3033.5</v>
      </c>
      <c r="N1171" s="22">
        <f t="shared" si="32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320"/>
        <v>4</v>
      </c>
      <c r="J1172" s="5"/>
      <c r="K1172" s="5"/>
      <c r="L1172" s="33">
        <f t="shared" si="321"/>
        <v>470</v>
      </c>
      <c r="M1172" s="33">
        <f t="shared" si="322"/>
        <v>470</v>
      </c>
      <c r="N1172" s="22">
        <f t="shared" si="32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320"/>
        <v>10</v>
      </c>
      <c r="J1173" s="5"/>
      <c r="K1173" s="5"/>
      <c r="L1173" s="33">
        <f t="shared" si="321"/>
        <v>1175.5</v>
      </c>
      <c r="M1173" s="33">
        <f t="shared" si="322"/>
        <v>1175.5</v>
      </c>
      <c r="N1173" s="22">
        <f t="shared" si="32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320"/>
        <v>8</v>
      </c>
      <c r="J1174" s="5"/>
      <c r="K1174" s="5"/>
      <c r="L1174" s="33">
        <f t="shared" si="321"/>
        <v>1213</v>
      </c>
      <c r="M1174" s="33">
        <f t="shared" si="322"/>
        <v>1213</v>
      </c>
      <c r="N1174" s="22">
        <f t="shared" si="32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320"/>
        <v>8</v>
      </c>
      <c r="J1175" s="5"/>
      <c r="K1175" s="5"/>
      <c r="L1175" s="33">
        <f t="shared" si="321"/>
        <v>940</v>
      </c>
      <c r="M1175" s="33">
        <f t="shared" si="322"/>
        <v>940</v>
      </c>
      <c r="N1175" s="22">
        <f t="shared" si="32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320"/>
        <v>8</v>
      </c>
      <c r="J1176" s="5"/>
      <c r="K1176" s="5"/>
      <c r="L1176" s="33">
        <f t="shared" si="321"/>
        <v>940</v>
      </c>
      <c r="M1176" s="33">
        <f t="shared" si="322"/>
        <v>940</v>
      </c>
      <c r="N1176" s="22">
        <f t="shared" si="32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320"/>
        <v>8</v>
      </c>
      <c r="J1177" s="5"/>
      <c r="K1177" s="5"/>
      <c r="L1177" s="33">
        <f t="shared" si="321"/>
        <v>1213</v>
      </c>
      <c r="M1177" s="33">
        <f t="shared" si="322"/>
        <v>1213</v>
      </c>
      <c r="N1177" s="22">
        <f t="shared" si="32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320"/>
        <v>8</v>
      </c>
      <c r="J1178" s="5"/>
      <c r="K1178" s="5"/>
      <c r="L1178" s="33">
        <f t="shared" si="321"/>
        <v>940</v>
      </c>
      <c r="M1178" s="33">
        <f t="shared" si="322"/>
        <v>940</v>
      </c>
      <c r="N1178" s="22">
        <f t="shared" si="32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320"/>
        <v>8</v>
      </c>
      <c r="J1179" s="5"/>
      <c r="K1179" s="5"/>
      <c r="L1179" s="33">
        <f t="shared" si="321"/>
        <v>940</v>
      </c>
      <c r="M1179" s="33">
        <f t="shared" si="322"/>
        <v>940</v>
      </c>
      <c r="N1179" s="22">
        <f t="shared" si="32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320"/>
        <v>8</v>
      </c>
      <c r="J1180" s="5"/>
      <c r="K1180" s="5"/>
      <c r="L1180" s="33">
        <f t="shared" si="321"/>
        <v>1250</v>
      </c>
      <c r="M1180" s="33">
        <f t="shared" si="322"/>
        <v>1250</v>
      </c>
      <c r="N1180" s="22">
        <f t="shared" si="32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320"/>
        <v>24</v>
      </c>
      <c r="J1181" s="5"/>
      <c r="K1181" s="5"/>
      <c r="L1181" s="33">
        <f t="shared" si="321"/>
        <v>2906</v>
      </c>
      <c r="M1181" s="33">
        <f t="shared" si="322"/>
        <v>2906</v>
      </c>
      <c r="N1181" s="22">
        <f t="shared" si="32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320"/>
        <v>8</v>
      </c>
      <c r="J1182" s="5"/>
      <c r="K1182" s="5"/>
      <c r="L1182" s="33">
        <f t="shared" si="321"/>
        <v>969</v>
      </c>
      <c r="M1182" s="33">
        <f t="shared" si="322"/>
        <v>969</v>
      </c>
      <c r="N1182" s="22">
        <f t="shared" si="32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320"/>
        <v>4</v>
      </c>
      <c r="J1183" s="5"/>
      <c r="K1183" s="5"/>
      <c r="L1183" s="33">
        <f t="shared" si="321"/>
        <v>625</v>
      </c>
      <c r="M1183" s="33">
        <f t="shared" si="322"/>
        <v>625</v>
      </c>
      <c r="N1183" s="22">
        <f t="shared" si="32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320"/>
        <v>16</v>
      </c>
      <c r="J1184" s="5"/>
      <c r="K1184" s="5"/>
      <c r="L1184" s="33">
        <f t="shared" si="321"/>
        <v>1937</v>
      </c>
      <c r="M1184" s="33">
        <f t="shared" si="322"/>
        <v>1937</v>
      </c>
      <c r="N1184" s="22">
        <f t="shared" si="32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320"/>
        <v>80</v>
      </c>
      <c r="J1185" s="5"/>
      <c r="K1185" s="5"/>
      <c r="L1185" s="33">
        <f t="shared" si="321"/>
        <v>9686</v>
      </c>
      <c r="M1185" s="33">
        <f t="shared" si="322"/>
        <v>9686</v>
      </c>
      <c r="N1185" s="22">
        <f t="shared" si="32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320"/>
        <v>8</v>
      </c>
      <c r="J1186" s="5"/>
      <c r="K1186" s="5"/>
      <c r="L1186" s="33">
        <f t="shared" si="321"/>
        <v>851</v>
      </c>
      <c r="M1186" s="33">
        <f t="shared" si="322"/>
        <v>851</v>
      </c>
      <c r="N1186" s="22">
        <f t="shared" si="32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320"/>
        <v>20</v>
      </c>
      <c r="J1187" s="5"/>
      <c r="K1187" s="5"/>
      <c r="L1187" s="33">
        <f t="shared" si="321"/>
        <v>2421</v>
      </c>
      <c r="M1187" s="33">
        <f t="shared" si="322"/>
        <v>2421</v>
      </c>
      <c r="N1187" s="22">
        <f t="shared" si="32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320"/>
        <v>120</v>
      </c>
      <c r="J1188" s="5"/>
      <c r="K1188" s="5"/>
      <c r="L1188" s="33">
        <f t="shared" si="321"/>
        <v>14529</v>
      </c>
      <c r="M1188" s="33">
        <f t="shared" si="322"/>
        <v>14529</v>
      </c>
      <c r="N1188" s="22">
        <f t="shared" si="32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320"/>
        <v>60</v>
      </c>
      <c r="J1189" s="5"/>
      <c r="K1189" s="5"/>
      <c r="L1189" s="33">
        <f t="shared" si="321"/>
        <v>7264</v>
      </c>
      <c r="M1189" s="33">
        <f t="shared" si="322"/>
        <v>7264</v>
      </c>
      <c r="N1189" s="22">
        <f t="shared" si="32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320"/>
        <v>24</v>
      </c>
      <c r="J1190" s="5"/>
      <c r="K1190" s="5"/>
      <c r="L1190" s="33">
        <f t="shared" si="321"/>
        <v>3750</v>
      </c>
      <c r="M1190" s="33">
        <f t="shared" si="322"/>
        <v>3750</v>
      </c>
      <c r="N1190" s="22">
        <f t="shared" si="32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320"/>
        <v>24</v>
      </c>
      <c r="J1191" s="5"/>
      <c r="K1191" s="5"/>
      <c r="L1191" s="33">
        <f t="shared" si="321"/>
        <v>2906</v>
      </c>
      <c r="M1191" s="33">
        <f t="shared" si="322"/>
        <v>2906</v>
      </c>
      <c r="N1191" s="22">
        <f t="shared" si="32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320"/>
        <v>240</v>
      </c>
      <c r="J1192" s="5"/>
      <c r="K1192" s="5"/>
      <c r="L1192" s="33">
        <f t="shared" si="321"/>
        <v>31845</v>
      </c>
      <c r="M1192" s="33">
        <f t="shared" si="322"/>
        <v>31845</v>
      </c>
      <c r="N1192" s="22">
        <f t="shared" si="32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320"/>
        <v>8</v>
      </c>
      <c r="J1193" s="5"/>
      <c r="K1193" s="5"/>
      <c r="L1193" s="33">
        <f t="shared" si="321"/>
        <v>1250</v>
      </c>
      <c r="M1193" s="33">
        <f t="shared" si="322"/>
        <v>1250</v>
      </c>
      <c r="N1193" s="22">
        <f t="shared" si="32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320"/>
        <v>8</v>
      </c>
      <c r="J1194" s="5"/>
      <c r="K1194" s="5"/>
      <c r="L1194" s="33">
        <f t="shared" si="321"/>
        <v>969</v>
      </c>
      <c r="M1194" s="33">
        <f t="shared" si="322"/>
        <v>969</v>
      </c>
      <c r="N1194" s="22">
        <f t="shared" si="32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320"/>
        <v>8</v>
      </c>
      <c r="J1195" s="5"/>
      <c r="K1195" s="5"/>
      <c r="L1195" s="33">
        <f t="shared" si="321"/>
        <v>969</v>
      </c>
      <c r="M1195" s="33">
        <f t="shared" si="322"/>
        <v>969</v>
      </c>
      <c r="N1195" s="22">
        <f t="shared" si="32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320"/>
        <v>8</v>
      </c>
      <c r="J1196" s="5"/>
      <c r="K1196" s="5"/>
      <c r="L1196" s="33">
        <f t="shared" si="321"/>
        <v>1074</v>
      </c>
      <c r="M1196" s="33">
        <f t="shared" si="322"/>
        <v>1074</v>
      </c>
      <c r="N1196" s="22">
        <f t="shared" si="32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320"/>
        <v>8</v>
      </c>
      <c r="J1197" s="5"/>
      <c r="K1197" s="5"/>
      <c r="L1197" s="33">
        <f t="shared" si="321"/>
        <v>1250</v>
      </c>
      <c r="M1197" s="33">
        <f t="shared" si="322"/>
        <v>1250</v>
      </c>
      <c r="N1197" s="22">
        <f t="shared" si="32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320"/>
        <v>8</v>
      </c>
      <c r="J1198" s="5"/>
      <c r="K1198" s="5"/>
      <c r="L1198" s="33">
        <f t="shared" si="321"/>
        <v>969</v>
      </c>
      <c r="M1198" s="33">
        <f t="shared" si="322"/>
        <v>969</v>
      </c>
      <c r="N1198" s="22">
        <f t="shared" si="32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320"/>
        <v>8</v>
      </c>
      <c r="J1199" s="5"/>
      <c r="K1199" s="5"/>
      <c r="L1199" s="33">
        <f t="shared" si="321"/>
        <v>1074</v>
      </c>
      <c r="M1199" s="33">
        <f t="shared" si="322"/>
        <v>1074</v>
      </c>
      <c r="N1199" s="22">
        <f t="shared" si="32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320"/>
        <v>8</v>
      </c>
      <c r="J1200" s="5"/>
      <c r="K1200" s="5"/>
      <c r="L1200" s="33">
        <f t="shared" si="321"/>
        <v>969</v>
      </c>
      <c r="M1200" s="33">
        <f t="shared" si="322"/>
        <v>969</v>
      </c>
      <c r="N1200" s="22">
        <f t="shared" si="32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320"/>
        <v>40</v>
      </c>
      <c r="J1201" s="5"/>
      <c r="K1201" s="5"/>
      <c r="L1201" s="33">
        <f t="shared" si="321"/>
        <v>6262</v>
      </c>
      <c r="M1201" s="33">
        <f t="shared" si="322"/>
        <v>6262</v>
      </c>
      <c r="N1201" s="22">
        <f t="shared" si="32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320"/>
        <v>40</v>
      </c>
      <c r="J1202" s="5"/>
      <c r="K1202" s="5"/>
      <c r="L1202" s="33">
        <f t="shared" si="321"/>
        <v>4853</v>
      </c>
      <c r="M1202" s="33">
        <f t="shared" si="322"/>
        <v>4853</v>
      </c>
      <c r="N1202" s="22">
        <f t="shared" si="32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320"/>
        <v>400</v>
      </c>
      <c r="J1203" s="5"/>
      <c r="K1203" s="5"/>
      <c r="L1203" s="33">
        <f t="shared" si="321"/>
        <v>73181</v>
      </c>
      <c r="M1203" s="33">
        <f t="shared" si="322"/>
        <v>73181</v>
      </c>
      <c r="N1203" s="22">
        <f t="shared" si="32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320"/>
        <v>40</v>
      </c>
      <c r="J1204" s="5"/>
      <c r="K1204" s="5"/>
      <c r="L1204" s="33">
        <f t="shared" si="321"/>
        <v>4853</v>
      </c>
      <c r="M1204" s="33">
        <f t="shared" si="322"/>
        <v>4853</v>
      </c>
      <c r="N1204" s="22">
        <f t="shared" si="32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320"/>
        <v>40</v>
      </c>
      <c r="J1205" s="5"/>
      <c r="K1205" s="5"/>
      <c r="L1205" s="33">
        <f t="shared" si="321"/>
        <v>6262</v>
      </c>
      <c r="M1205" s="33">
        <f t="shared" si="322"/>
        <v>6262</v>
      </c>
      <c r="N1205" s="22">
        <f t="shared" si="32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320"/>
        <v>40</v>
      </c>
      <c r="J1206" s="5"/>
      <c r="K1206" s="5"/>
      <c r="L1206" s="33">
        <f t="shared" si="321"/>
        <v>4853</v>
      </c>
      <c r="M1206" s="33">
        <f t="shared" si="322"/>
        <v>4853</v>
      </c>
      <c r="N1206" s="22">
        <f t="shared" si="32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320"/>
        <v>30000</v>
      </c>
      <c r="J1207" s="5"/>
      <c r="K1207" s="5"/>
      <c r="L1207" s="33">
        <f t="shared" si="321"/>
        <v>34821</v>
      </c>
      <c r="M1207" s="33">
        <f t="shared" si="322"/>
        <v>34821</v>
      </c>
      <c r="N1207" s="22">
        <f t="shared" si="32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320"/>
        <v>500</v>
      </c>
      <c r="J1208" s="5"/>
      <c r="K1208" s="5"/>
      <c r="L1208" s="33">
        <f t="shared" si="321"/>
        <v>592</v>
      </c>
      <c r="M1208" s="33">
        <f t="shared" si="322"/>
        <v>592</v>
      </c>
      <c r="N1208" s="22">
        <f t="shared" si="32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320"/>
        <v>500</v>
      </c>
      <c r="J1209" s="5"/>
      <c r="K1209" s="5"/>
      <c r="L1209" s="33">
        <f t="shared" si="321"/>
        <v>592</v>
      </c>
      <c r="M1209" s="33">
        <f t="shared" si="322"/>
        <v>592</v>
      </c>
      <c r="N1209" s="22">
        <f t="shared" si="32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320"/>
        <v>500</v>
      </c>
      <c r="J1210" s="5"/>
      <c r="K1210" s="5"/>
      <c r="L1210" s="33">
        <f t="shared" si="321"/>
        <v>592</v>
      </c>
      <c r="M1210" s="33">
        <f t="shared" si="322"/>
        <v>592</v>
      </c>
      <c r="N1210" s="22">
        <f t="shared" si="32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320"/>
        <v>500</v>
      </c>
      <c r="J1211" s="5"/>
      <c r="K1211" s="5"/>
      <c r="L1211" s="33">
        <f t="shared" si="321"/>
        <v>592</v>
      </c>
      <c r="M1211" s="33">
        <f t="shared" si="322"/>
        <v>592</v>
      </c>
      <c r="N1211" s="22">
        <f t="shared" si="32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320"/>
        <v>500</v>
      </c>
      <c r="J1212" s="5"/>
      <c r="K1212" s="5"/>
      <c r="L1212" s="33">
        <f t="shared" si="321"/>
        <v>592</v>
      </c>
      <c r="M1212" s="33">
        <f t="shared" si="322"/>
        <v>592</v>
      </c>
      <c r="N1212" s="22">
        <f t="shared" si="32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320"/>
        <v>500</v>
      </c>
      <c r="J1213" s="5"/>
      <c r="K1213" s="5"/>
      <c r="L1213" s="33">
        <f t="shared" si="321"/>
        <v>593</v>
      </c>
      <c r="M1213" s="33">
        <f t="shared" si="322"/>
        <v>593</v>
      </c>
      <c r="N1213" s="22">
        <f t="shared" si="32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320"/>
        <v>4</v>
      </c>
      <c r="J1214" s="5"/>
      <c r="K1214" s="5"/>
      <c r="L1214" s="33">
        <f t="shared" si="321"/>
        <v>625</v>
      </c>
      <c r="M1214" s="33">
        <f t="shared" si="322"/>
        <v>625</v>
      </c>
      <c r="N1214" s="22">
        <f t="shared" si="32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320"/>
        <v>16</v>
      </c>
      <c r="J1215" s="5"/>
      <c r="K1215" s="5"/>
      <c r="L1215" s="33">
        <f t="shared" si="321"/>
        <v>1937</v>
      </c>
      <c r="M1215" s="33">
        <f t="shared" si="322"/>
        <v>1937</v>
      </c>
      <c r="N1215" s="22">
        <f t="shared" si="32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320"/>
        <v>8</v>
      </c>
      <c r="J1216" s="5"/>
      <c r="K1216" s="5"/>
      <c r="L1216" s="33">
        <f t="shared" si="321"/>
        <v>1250</v>
      </c>
      <c r="M1216" s="33">
        <f t="shared" si="322"/>
        <v>1250</v>
      </c>
      <c r="N1216" s="22">
        <f t="shared" si="32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320"/>
        <v>80</v>
      </c>
      <c r="J1217" s="5"/>
      <c r="K1217" s="5"/>
      <c r="L1217" s="33">
        <f t="shared" si="321"/>
        <v>10615</v>
      </c>
      <c r="M1217" s="33">
        <f t="shared" si="322"/>
        <v>10615</v>
      </c>
      <c r="N1217" s="22">
        <f t="shared" si="32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320"/>
        <v>60</v>
      </c>
      <c r="J1218" s="5"/>
      <c r="K1218" s="5"/>
      <c r="L1218" s="33">
        <f t="shared" si="321"/>
        <v>7264</v>
      </c>
      <c r="M1218" s="33">
        <f t="shared" si="322"/>
        <v>7264</v>
      </c>
      <c r="N1218" s="22">
        <f t="shared" si="32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320"/>
        <v>60</v>
      </c>
      <c r="J1219" s="5"/>
      <c r="K1219" s="5"/>
      <c r="L1219" s="33">
        <f t="shared" si="321"/>
        <v>8313</v>
      </c>
      <c r="M1219" s="33">
        <f t="shared" si="322"/>
        <v>8313</v>
      </c>
      <c r="N1219" s="22">
        <f t="shared" si="32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320"/>
        <v>3.8500000000000032</v>
      </c>
      <c r="J1220" s="5"/>
      <c r="K1220" s="5"/>
      <c r="L1220" s="33">
        <f t="shared" si="321"/>
        <v>584.00000000000057</v>
      </c>
      <c r="M1220" s="33">
        <f t="shared" si="322"/>
        <v>584.00000000000057</v>
      </c>
      <c r="N1220" s="22">
        <f t="shared" si="32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320"/>
        <v>2.4000000000000021</v>
      </c>
      <c r="J1221" s="5"/>
      <c r="K1221" s="5"/>
      <c r="L1221" s="33">
        <f t="shared" si="321"/>
        <v>282.10000000000025</v>
      </c>
      <c r="M1221" s="33">
        <f t="shared" si="322"/>
        <v>282.10000000000025</v>
      </c>
      <c r="N1221" s="22">
        <f t="shared" si="32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320"/>
        <v>3.8500000000000032</v>
      </c>
      <c r="J1222" s="5"/>
      <c r="K1222" s="5"/>
      <c r="L1222" s="33">
        <f t="shared" si="321"/>
        <v>452.55000000000041</v>
      </c>
      <c r="M1222" s="33">
        <f t="shared" si="322"/>
        <v>452.55000000000041</v>
      </c>
      <c r="N1222" s="22">
        <f t="shared" si="32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320"/>
        <v>4</v>
      </c>
      <c r="J1223" s="5"/>
      <c r="K1223" s="5"/>
      <c r="L1223" s="33">
        <f t="shared" si="321"/>
        <v>625</v>
      </c>
      <c r="M1223" s="33">
        <f t="shared" si="322"/>
        <v>625</v>
      </c>
      <c r="N1223" s="22">
        <f t="shared" si="32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320"/>
        <v>16</v>
      </c>
      <c r="J1224" s="5"/>
      <c r="K1224" s="5"/>
      <c r="L1224" s="33">
        <f t="shared" si="321"/>
        <v>1937</v>
      </c>
      <c r="M1224" s="33">
        <f t="shared" si="322"/>
        <v>1937</v>
      </c>
      <c r="N1224" s="22">
        <f t="shared" si="32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320"/>
        <v>60</v>
      </c>
      <c r="J1225" s="5"/>
      <c r="K1225" s="5"/>
      <c r="L1225" s="33">
        <f t="shared" si="321"/>
        <v>7264</v>
      </c>
      <c r="M1225" s="33">
        <f t="shared" si="322"/>
        <v>7264</v>
      </c>
      <c r="N1225" s="22">
        <f t="shared" si="32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320"/>
        <v>36</v>
      </c>
      <c r="J1226" s="5"/>
      <c r="K1226" s="5"/>
      <c r="L1226" s="33">
        <f t="shared" si="321"/>
        <v>4777</v>
      </c>
      <c r="M1226" s="33">
        <f t="shared" si="322"/>
        <v>4777</v>
      </c>
      <c r="N1226" s="22">
        <f t="shared" si="32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324">C1228*(1-G1228)</f>
        <v>5.9999999999999982</v>
      </c>
      <c r="J1228" s="5"/>
      <c r="K1228" s="5"/>
      <c r="L1228" s="33">
        <f t="shared" ref="L1228:L1278" si="325">D1228*(1-G1228)</f>
        <v>909.99999999999977</v>
      </c>
      <c r="M1228" s="33">
        <f t="shared" ref="M1228:M1278" si="326">IF(J1228="",L1228,(D1228/C1228)*J1228)</f>
        <v>909.99999999999977</v>
      </c>
      <c r="N1228" s="22">
        <f t="shared" ref="N1228:N1278" si="32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324"/>
        <v>11.999999999999996</v>
      </c>
      <c r="J1229" s="5"/>
      <c r="K1229" s="5"/>
      <c r="L1229" s="33">
        <f t="shared" si="325"/>
        <v>1410.5999999999997</v>
      </c>
      <c r="M1229" s="33">
        <f t="shared" si="326"/>
        <v>1410.5999999999997</v>
      </c>
      <c r="N1229" s="22">
        <f t="shared" si="32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324"/>
        <v>60</v>
      </c>
      <c r="J1230" s="5"/>
      <c r="K1230" s="5"/>
      <c r="L1230" s="33">
        <f t="shared" si="325"/>
        <v>9101</v>
      </c>
      <c r="M1230" s="33">
        <f t="shared" si="326"/>
        <v>9101</v>
      </c>
      <c r="N1230" s="22">
        <f t="shared" si="32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324"/>
        <v>20</v>
      </c>
      <c r="J1231" s="5"/>
      <c r="K1231" s="5"/>
      <c r="L1231" s="33">
        <f t="shared" si="325"/>
        <v>2351</v>
      </c>
      <c r="M1231" s="33">
        <f t="shared" si="326"/>
        <v>2351</v>
      </c>
      <c r="N1231" s="22">
        <f t="shared" si="32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324"/>
        <v>40</v>
      </c>
      <c r="J1232" s="5"/>
      <c r="K1232" s="5"/>
      <c r="L1232" s="33">
        <f t="shared" si="325"/>
        <v>6067</v>
      </c>
      <c r="M1232" s="33">
        <f t="shared" si="326"/>
        <v>6067</v>
      </c>
      <c r="N1232" s="22">
        <f t="shared" si="32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324"/>
        <v>20</v>
      </c>
      <c r="J1233" s="5"/>
      <c r="K1233" s="5"/>
      <c r="L1233" s="33">
        <f t="shared" si="325"/>
        <v>2351</v>
      </c>
      <c r="M1233" s="33">
        <f t="shared" si="326"/>
        <v>2351</v>
      </c>
      <c r="N1233" s="22">
        <f t="shared" si="32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324"/>
        <v>8</v>
      </c>
      <c r="J1234" s="5"/>
      <c r="K1234" s="5"/>
      <c r="L1234" s="33">
        <f t="shared" si="325"/>
        <v>1213</v>
      </c>
      <c r="M1234" s="33">
        <f t="shared" si="326"/>
        <v>1213</v>
      </c>
      <c r="N1234" s="22">
        <f t="shared" si="32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324"/>
        <v>8</v>
      </c>
      <c r="J1235" s="5"/>
      <c r="K1235" s="5"/>
      <c r="L1235" s="33">
        <f t="shared" si="325"/>
        <v>940</v>
      </c>
      <c r="M1235" s="33">
        <f t="shared" si="326"/>
        <v>940</v>
      </c>
      <c r="N1235" s="22">
        <f t="shared" si="32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324"/>
        <v>8</v>
      </c>
      <c r="J1236" s="5"/>
      <c r="K1236" s="5"/>
      <c r="L1236" s="33">
        <f t="shared" si="325"/>
        <v>940</v>
      </c>
      <c r="M1236" s="33">
        <f t="shared" si="326"/>
        <v>940</v>
      </c>
      <c r="N1236" s="22">
        <f t="shared" si="32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324"/>
        <v>8</v>
      </c>
      <c r="J1237" s="5"/>
      <c r="K1237" s="5"/>
      <c r="L1237" s="33">
        <f t="shared" si="325"/>
        <v>1213</v>
      </c>
      <c r="M1237" s="33">
        <f t="shared" si="326"/>
        <v>1213</v>
      </c>
      <c r="N1237" s="22">
        <f t="shared" si="32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324"/>
        <v>8</v>
      </c>
      <c r="J1238" s="5"/>
      <c r="K1238" s="5"/>
      <c r="L1238" s="33">
        <f t="shared" si="325"/>
        <v>940</v>
      </c>
      <c r="M1238" s="33">
        <f t="shared" si="326"/>
        <v>940</v>
      </c>
      <c r="N1238" s="22">
        <f t="shared" si="32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324"/>
        <v>8</v>
      </c>
      <c r="J1239" s="5"/>
      <c r="K1239" s="5"/>
      <c r="L1239" s="33">
        <f t="shared" si="325"/>
        <v>940</v>
      </c>
      <c r="M1239" s="33">
        <f t="shared" si="326"/>
        <v>940</v>
      </c>
      <c r="N1239" s="22">
        <f t="shared" si="32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324"/>
        <v>8</v>
      </c>
      <c r="J1240" s="5"/>
      <c r="K1240" s="5"/>
      <c r="L1240" s="33">
        <f t="shared" si="325"/>
        <v>1250</v>
      </c>
      <c r="M1240" s="33">
        <f t="shared" si="326"/>
        <v>1250</v>
      </c>
      <c r="N1240" s="22">
        <f t="shared" si="32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324"/>
        <v>24</v>
      </c>
      <c r="J1241" s="5"/>
      <c r="K1241" s="5"/>
      <c r="L1241" s="33">
        <f t="shared" si="325"/>
        <v>2906</v>
      </c>
      <c r="M1241" s="33">
        <f t="shared" si="326"/>
        <v>2906</v>
      </c>
      <c r="N1241" s="22">
        <f t="shared" si="32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324"/>
        <v>8</v>
      </c>
      <c r="J1242" s="5"/>
      <c r="K1242" s="5"/>
      <c r="L1242" s="33">
        <f t="shared" si="325"/>
        <v>969</v>
      </c>
      <c r="M1242" s="33">
        <f t="shared" si="326"/>
        <v>969</v>
      </c>
      <c r="N1242" s="22">
        <f t="shared" si="32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324"/>
        <v>8</v>
      </c>
      <c r="J1243" s="5"/>
      <c r="K1243" s="5"/>
      <c r="L1243" s="33">
        <f t="shared" si="325"/>
        <v>1250</v>
      </c>
      <c r="M1243" s="33">
        <f t="shared" si="326"/>
        <v>1250</v>
      </c>
      <c r="N1243" s="22">
        <f t="shared" si="32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324"/>
        <v>8</v>
      </c>
      <c r="J1244" s="5"/>
      <c r="K1244" s="5"/>
      <c r="L1244" s="33">
        <f t="shared" si="325"/>
        <v>969</v>
      </c>
      <c r="M1244" s="33">
        <f t="shared" si="326"/>
        <v>969</v>
      </c>
      <c r="N1244" s="22">
        <f t="shared" si="32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324"/>
        <v>60</v>
      </c>
      <c r="J1245" s="5"/>
      <c r="K1245" s="5"/>
      <c r="L1245" s="33">
        <f t="shared" si="325"/>
        <v>7264</v>
      </c>
      <c r="M1245" s="33">
        <f t="shared" si="326"/>
        <v>7264</v>
      </c>
      <c r="N1245" s="22">
        <f t="shared" si="32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324"/>
        <v>8</v>
      </c>
      <c r="J1246" s="5"/>
      <c r="K1246" s="5"/>
      <c r="L1246" s="33">
        <f t="shared" si="325"/>
        <v>1250</v>
      </c>
      <c r="M1246" s="33">
        <f t="shared" si="326"/>
        <v>1250</v>
      </c>
      <c r="N1246" s="22">
        <f t="shared" si="32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324"/>
        <v>8</v>
      </c>
      <c r="J1247" s="5"/>
      <c r="K1247" s="5"/>
      <c r="L1247" s="33">
        <f t="shared" si="325"/>
        <v>969</v>
      </c>
      <c r="M1247" s="33">
        <f t="shared" si="326"/>
        <v>969</v>
      </c>
      <c r="N1247" s="22">
        <f t="shared" si="32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324"/>
        <v>60</v>
      </c>
      <c r="J1248" s="5"/>
      <c r="K1248" s="5"/>
      <c r="L1248" s="33">
        <f t="shared" si="325"/>
        <v>7264</v>
      </c>
      <c r="M1248" s="33">
        <f t="shared" si="326"/>
        <v>7264</v>
      </c>
      <c r="N1248" s="22">
        <f t="shared" si="32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324"/>
        <v>20</v>
      </c>
      <c r="J1249" s="5"/>
      <c r="K1249" s="5"/>
      <c r="L1249" s="33">
        <f t="shared" si="325"/>
        <v>2421</v>
      </c>
      <c r="M1249" s="33">
        <f t="shared" si="326"/>
        <v>2421</v>
      </c>
      <c r="N1249" s="22">
        <f t="shared" si="32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324"/>
        <v>120</v>
      </c>
      <c r="J1250" s="5"/>
      <c r="K1250" s="5"/>
      <c r="L1250" s="33">
        <f t="shared" si="325"/>
        <v>14529</v>
      </c>
      <c r="M1250" s="33">
        <f t="shared" si="326"/>
        <v>14529</v>
      </c>
      <c r="N1250" s="22">
        <f t="shared" si="32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324"/>
        <v>120</v>
      </c>
      <c r="J1251" s="5"/>
      <c r="K1251" s="5"/>
      <c r="L1251" s="33">
        <f t="shared" si="325"/>
        <v>14529</v>
      </c>
      <c r="M1251" s="33">
        <f t="shared" si="326"/>
        <v>14529</v>
      </c>
      <c r="N1251" s="22">
        <f t="shared" si="32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324"/>
        <v>24</v>
      </c>
      <c r="J1252" s="5"/>
      <c r="K1252" s="5"/>
      <c r="L1252" s="33">
        <f t="shared" si="325"/>
        <v>3750</v>
      </c>
      <c r="M1252" s="33">
        <f t="shared" si="326"/>
        <v>3750</v>
      </c>
      <c r="N1252" s="22">
        <f t="shared" si="32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324"/>
        <v>24</v>
      </c>
      <c r="J1253" s="5"/>
      <c r="K1253" s="5"/>
      <c r="L1253" s="33">
        <f t="shared" si="325"/>
        <v>3750</v>
      </c>
      <c r="M1253" s="33">
        <f t="shared" si="326"/>
        <v>3750</v>
      </c>
      <c r="N1253" s="22">
        <f t="shared" si="32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324"/>
        <v>24</v>
      </c>
      <c r="J1254" s="5"/>
      <c r="K1254" s="5"/>
      <c r="L1254" s="33">
        <f t="shared" si="325"/>
        <v>2906</v>
      </c>
      <c r="M1254" s="33">
        <f t="shared" si="326"/>
        <v>2906</v>
      </c>
      <c r="N1254" s="22">
        <f t="shared" si="32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324"/>
        <v>240</v>
      </c>
      <c r="J1255" s="5"/>
      <c r="K1255" s="5"/>
      <c r="L1255" s="33">
        <f t="shared" si="325"/>
        <v>31845</v>
      </c>
      <c r="M1255" s="33">
        <f t="shared" si="326"/>
        <v>31845</v>
      </c>
      <c r="N1255" s="22">
        <f t="shared" si="32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324"/>
        <v>8</v>
      </c>
      <c r="J1256" s="5"/>
      <c r="K1256" s="5"/>
      <c r="L1256" s="33">
        <f t="shared" si="325"/>
        <v>1250</v>
      </c>
      <c r="M1256" s="33">
        <f t="shared" si="326"/>
        <v>1250</v>
      </c>
      <c r="N1256" s="22">
        <f t="shared" si="32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324"/>
        <v>8</v>
      </c>
      <c r="J1257" s="5"/>
      <c r="K1257" s="5"/>
      <c r="L1257" s="33">
        <f t="shared" si="325"/>
        <v>969</v>
      </c>
      <c r="M1257" s="33">
        <f t="shared" si="326"/>
        <v>969</v>
      </c>
      <c r="N1257" s="22">
        <f t="shared" si="32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324"/>
        <v>8</v>
      </c>
      <c r="J1258" s="5"/>
      <c r="K1258" s="5"/>
      <c r="L1258" s="33">
        <f t="shared" si="325"/>
        <v>969</v>
      </c>
      <c r="M1258" s="33">
        <f t="shared" si="326"/>
        <v>969</v>
      </c>
      <c r="N1258" s="22">
        <f t="shared" si="32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324"/>
        <v>8</v>
      </c>
      <c r="J1259" s="5"/>
      <c r="K1259" s="5"/>
      <c r="L1259" s="33">
        <f t="shared" si="325"/>
        <v>969</v>
      </c>
      <c r="M1259" s="33">
        <f t="shared" si="326"/>
        <v>969</v>
      </c>
      <c r="N1259" s="22">
        <f t="shared" si="32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324"/>
        <v>8</v>
      </c>
      <c r="J1260" s="5"/>
      <c r="K1260" s="5"/>
      <c r="L1260" s="33">
        <f t="shared" si="325"/>
        <v>1250</v>
      </c>
      <c r="M1260" s="33">
        <f t="shared" si="326"/>
        <v>1250</v>
      </c>
      <c r="N1260" s="22">
        <f t="shared" si="32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324"/>
        <v>8</v>
      </c>
      <c r="J1261" s="5"/>
      <c r="K1261" s="5"/>
      <c r="L1261" s="33">
        <f t="shared" si="325"/>
        <v>969</v>
      </c>
      <c r="M1261" s="33">
        <f t="shared" si="326"/>
        <v>969</v>
      </c>
      <c r="N1261" s="22">
        <f t="shared" si="32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324"/>
        <v>8</v>
      </c>
      <c r="J1262" s="5"/>
      <c r="K1262" s="5"/>
      <c r="L1262" s="33">
        <f t="shared" si="325"/>
        <v>969</v>
      </c>
      <c r="M1262" s="33">
        <f t="shared" si="326"/>
        <v>969</v>
      </c>
      <c r="N1262" s="22">
        <f t="shared" si="32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324"/>
        <v>8</v>
      </c>
      <c r="J1263" s="5"/>
      <c r="K1263" s="5"/>
      <c r="L1263" s="33">
        <f t="shared" si="325"/>
        <v>969</v>
      </c>
      <c r="M1263" s="33">
        <f t="shared" si="326"/>
        <v>969</v>
      </c>
      <c r="N1263" s="22">
        <f t="shared" si="32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324"/>
        <v>40</v>
      </c>
      <c r="J1264" s="5"/>
      <c r="K1264" s="5"/>
      <c r="L1264" s="33">
        <f t="shared" si="325"/>
        <v>6249</v>
      </c>
      <c r="M1264" s="33">
        <f t="shared" si="326"/>
        <v>6249</v>
      </c>
      <c r="N1264" s="22">
        <f t="shared" si="32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324"/>
        <v>400</v>
      </c>
      <c r="J1265" s="5"/>
      <c r="K1265" s="5"/>
      <c r="L1265" s="33">
        <f t="shared" si="325"/>
        <v>73035</v>
      </c>
      <c r="M1265" s="33">
        <f t="shared" si="326"/>
        <v>73035</v>
      </c>
      <c r="N1265" s="22">
        <f t="shared" si="32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324"/>
        <v>40</v>
      </c>
      <c r="J1266" s="5"/>
      <c r="K1266" s="5"/>
      <c r="L1266" s="33">
        <f t="shared" si="325"/>
        <v>4843</v>
      </c>
      <c r="M1266" s="33">
        <f t="shared" si="326"/>
        <v>4843</v>
      </c>
      <c r="N1266" s="22">
        <f t="shared" si="32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324"/>
        <v>40</v>
      </c>
      <c r="J1267" s="5"/>
      <c r="K1267" s="5"/>
      <c r="L1267" s="33">
        <f t="shared" si="325"/>
        <v>4843</v>
      </c>
      <c r="M1267" s="33">
        <f t="shared" si="326"/>
        <v>4843</v>
      </c>
      <c r="N1267" s="22">
        <f t="shared" si="32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324"/>
        <v>40</v>
      </c>
      <c r="J1268" s="5"/>
      <c r="K1268" s="5"/>
      <c r="L1268" s="33">
        <f t="shared" si="325"/>
        <v>6249</v>
      </c>
      <c r="M1268" s="33">
        <f t="shared" si="326"/>
        <v>6249</v>
      </c>
      <c r="N1268" s="22">
        <f t="shared" si="32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324"/>
        <v>40</v>
      </c>
      <c r="J1269" s="5"/>
      <c r="K1269" s="5"/>
      <c r="L1269" s="33">
        <f t="shared" si="325"/>
        <v>4843</v>
      </c>
      <c r="M1269" s="33">
        <f t="shared" si="326"/>
        <v>4843</v>
      </c>
      <c r="N1269" s="22">
        <f t="shared" si="32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324"/>
        <v>30000</v>
      </c>
      <c r="J1270" s="5"/>
      <c r="K1270" s="5"/>
      <c r="L1270" s="33">
        <f t="shared" si="325"/>
        <v>34821</v>
      </c>
      <c r="M1270" s="33">
        <f t="shared" si="326"/>
        <v>34821</v>
      </c>
      <c r="N1270" s="22">
        <f t="shared" si="32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324"/>
        <v>500</v>
      </c>
      <c r="J1271" s="5"/>
      <c r="K1271" s="5"/>
      <c r="L1271" s="33">
        <f t="shared" si="325"/>
        <v>592</v>
      </c>
      <c r="M1271" s="33">
        <f t="shared" si="326"/>
        <v>592</v>
      </c>
      <c r="N1271" s="22">
        <f t="shared" si="32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324"/>
        <v>500</v>
      </c>
      <c r="J1272" s="5"/>
      <c r="K1272" s="5"/>
      <c r="L1272" s="33">
        <f t="shared" si="325"/>
        <v>592</v>
      </c>
      <c r="M1272" s="33">
        <f t="shared" si="326"/>
        <v>592</v>
      </c>
      <c r="N1272" s="22">
        <f t="shared" si="32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324"/>
        <v>500</v>
      </c>
      <c r="J1273" s="5"/>
      <c r="K1273" s="5"/>
      <c r="L1273" s="33">
        <f t="shared" si="325"/>
        <v>592</v>
      </c>
      <c r="M1273" s="33">
        <f t="shared" si="326"/>
        <v>592</v>
      </c>
      <c r="N1273" s="22">
        <f t="shared" si="32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324"/>
        <v>500</v>
      </c>
      <c r="J1274" s="5"/>
      <c r="K1274" s="5"/>
      <c r="L1274" s="33">
        <f t="shared" si="325"/>
        <v>592</v>
      </c>
      <c r="M1274" s="33">
        <f t="shared" si="326"/>
        <v>592</v>
      </c>
      <c r="N1274" s="22">
        <f t="shared" si="32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324"/>
        <v>500</v>
      </c>
      <c r="J1275" s="5"/>
      <c r="K1275" s="5"/>
      <c r="L1275" s="33">
        <f t="shared" si="325"/>
        <v>592</v>
      </c>
      <c r="M1275" s="33">
        <f t="shared" si="326"/>
        <v>592</v>
      </c>
      <c r="N1275" s="22">
        <f t="shared" si="32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324"/>
        <v>500</v>
      </c>
      <c r="J1276" s="5"/>
      <c r="K1276" s="5"/>
      <c r="L1276" s="33">
        <f t="shared" si="325"/>
        <v>592</v>
      </c>
      <c r="M1276" s="33">
        <f t="shared" si="326"/>
        <v>592</v>
      </c>
      <c r="N1276" s="22">
        <f t="shared" si="32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324"/>
        <v>80</v>
      </c>
      <c r="J1277" s="5"/>
      <c r="K1277" s="5"/>
      <c r="L1277" s="33">
        <f t="shared" si="325"/>
        <v>10615</v>
      </c>
      <c r="M1277" s="33">
        <f t="shared" si="326"/>
        <v>10615</v>
      </c>
      <c r="N1277" s="22">
        <f t="shared" si="32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324"/>
        <v>60</v>
      </c>
      <c r="J1278" s="5"/>
      <c r="K1278" s="5"/>
      <c r="L1278" s="33">
        <f t="shared" si="325"/>
        <v>7264</v>
      </c>
      <c r="M1278" s="33">
        <f t="shared" si="326"/>
        <v>7264</v>
      </c>
      <c r="N1278" s="22">
        <f t="shared" si="32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328">C1280*(1-G1280)</f>
        <v>1.5000000000000013</v>
      </c>
      <c r="J1280" s="5"/>
      <c r="K1280" s="5"/>
      <c r="L1280" s="33">
        <f t="shared" ref="L1280:L1329" si="329">D1280*(1-G1280)</f>
        <v>227.5000000000002</v>
      </c>
      <c r="M1280" s="33">
        <f t="shared" ref="M1280:M1329" si="330">IF(J1280="",L1280,(D1280/C1280)*J1280)</f>
        <v>227.5000000000002</v>
      </c>
      <c r="N1280" s="22">
        <f t="shared" ref="N1280:N1329" si="33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328"/>
        <v>3.0000000000000027</v>
      </c>
      <c r="J1281" s="5"/>
      <c r="K1281" s="5"/>
      <c r="L1281" s="33">
        <f t="shared" si="329"/>
        <v>352.65000000000032</v>
      </c>
      <c r="M1281" s="33">
        <f t="shared" si="330"/>
        <v>352.65000000000032</v>
      </c>
      <c r="N1281" s="22">
        <f t="shared" si="33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328"/>
        <v>60</v>
      </c>
      <c r="J1282" s="5"/>
      <c r="K1282" s="5"/>
      <c r="L1282" s="33">
        <f t="shared" si="329"/>
        <v>9101</v>
      </c>
      <c r="M1282" s="33">
        <f t="shared" si="330"/>
        <v>9101</v>
      </c>
      <c r="N1282" s="22">
        <f t="shared" si="33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328"/>
        <v>20</v>
      </c>
      <c r="J1283" s="5"/>
      <c r="K1283" s="5"/>
      <c r="L1283" s="33">
        <f t="shared" si="329"/>
        <v>2351</v>
      </c>
      <c r="M1283" s="33">
        <f t="shared" si="330"/>
        <v>2351</v>
      </c>
      <c r="N1283" s="22">
        <f t="shared" si="33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328"/>
        <v>20</v>
      </c>
      <c r="J1284" s="5"/>
      <c r="K1284" s="5"/>
      <c r="L1284" s="33">
        <f t="shared" si="329"/>
        <v>2351</v>
      </c>
      <c r="M1284" s="33">
        <f t="shared" si="330"/>
        <v>2351</v>
      </c>
      <c r="N1284" s="22">
        <f t="shared" si="33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328"/>
        <v>26</v>
      </c>
      <c r="J1285" s="5"/>
      <c r="K1285" s="5"/>
      <c r="L1285" s="33">
        <f t="shared" si="329"/>
        <v>3943.55</v>
      </c>
      <c r="M1285" s="33">
        <f t="shared" si="330"/>
        <v>3943.55</v>
      </c>
      <c r="N1285" s="22">
        <f t="shared" si="33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328"/>
        <v>6.5</v>
      </c>
      <c r="J1286" s="5"/>
      <c r="K1286" s="5"/>
      <c r="L1286" s="33">
        <f t="shared" si="329"/>
        <v>763.75</v>
      </c>
      <c r="M1286" s="33">
        <f t="shared" si="330"/>
        <v>763.75</v>
      </c>
      <c r="N1286" s="22">
        <f t="shared" si="33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328"/>
        <v>8</v>
      </c>
      <c r="J1287" s="5"/>
      <c r="K1287" s="5"/>
      <c r="L1287" s="33">
        <f t="shared" si="329"/>
        <v>1213</v>
      </c>
      <c r="M1287" s="33">
        <f t="shared" si="330"/>
        <v>1213</v>
      </c>
      <c r="N1287" s="22">
        <f t="shared" si="33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328"/>
        <v>8</v>
      </c>
      <c r="J1288" s="5"/>
      <c r="K1288" s="5"/>
      <c r="L1288" s="33">
        <f t="shared" si="329"/>
        <v>940</v>
      </c>
      <c r="M1288" s="33">
        <f t="shared" si="330"/>
        <v>940</v>
      </c>
      <c r="N1288" s="22">
        <f t="shared" si="33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328"/>
        <v>8</v>
      </c>
      <c r="J1289" s="5"/>
      <c r="K1289" s="5"/>
      <c r="L1289" s="33">
        <f t="shared" si="329"/>
        <v>940</v>
      </c>
      <c r="M1289" s="33">
        <f t="shared" si="330"/>
        <v>940</v>
      </c>
      <c r="N1289" s="22">
        <f t="shared" si="33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328"/>
        <v>8</v>
      </c>
      <c r="J1290" s="5"/>
      <c r="K1290" s="5"/>
      <c r="L1290" s="33">
        <f t="shared" si="329"/>
        <v>1213</v>
      </c>
      <c r="M1290" s="33">
        <f t="shared" si="330"/>
        <v>1213</v>
      </c>
      <c r="N1290" s="22">
        <f t="shared" si="33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328"/>
        <v>8</v>
      </c>
      <c r="J1291" s="5"/>
      <c r="K1291" s="5"/>
      <c r="L1291" s="33">
        <f t="shared" si="329"/>
        <v>940</v>
      </c>
      <c r="M1291" s="33">
        <f t="shared" si="330"/>
        <v>940</v>
      </c>
      <c r="N1291" s="22">
        <f t="shared" si="33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328"/>
        <v>8</v>
      </c>
      <c r="J1292" s="5"/>
      <c r="K1292" s="5"/>
      <c r="L1292" s="33">
        <f t="shared" si="329"/>
        <v>940</v>
      </c>
      <c r="M1292" s="33">
        <f t="shared" si="330"/>
        <v>940</v>
      </c>
      <c r="N1292" s="22">
        <f t="shared" si="33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328"/>
        <v>8</v>
      </c>
      <c r="J1293" s="5"/>
      <c r="K1293" s="5"/>
      <c r="L1293" s="33">
        <f t="shared" si="329"/>
        <v>1250</v>
      </c>
      <c r="M1293" s="33">
        <f t="shared" si="330"/>
        <v>1250</v>
      </c>
      <c r="N1293" s="22">
        <f t="shared" si="33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328"/>
        <v>24</v>
      </c>
      <c r="J1294" s="5"/>
      <c r="K1294" s="5"/>
      <c r="L1294" s="33">
        <f t="shared" si="329"/>
        <v>2906</v>
      </c>
      <c r="M1294" s="33">
        <f t="shared" si="330"/>
        <v>2906</v>
      </c>
      <c r="N1294" s="22">
        <f t="shared" si="33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328"/>
        <v>8</v>
      </c>
      <c r="J1295" s="5"/>
      <c r="K1295" s="5"/>
      <c r="L1295" s="33">
        <f t="shared" si="329"/>
        <v>969</v>
      </c>
      <c r="M1295" s="33">
        <f t="shared" si="330"/>
        <v>969</v>
      </c>
      <c r="N1295" s="22">
        <f t="shared" si="33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328"/>
        <v>8</v>
      </c>
      <c r="J1296" s="5"/>
      <c r="K1296" s="5"/>
      <c r="L1296" s="33">
        <f t="shared" si="329"/>
        <v>1250</v>
      </c>
      <c r="M1296" s="33">
        <f t="shared" si="330"/>
        <v>1250</v>
      </c>
      <c r="N1296" s="22">
        <f t="shared" si="33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328"/>
        <v>8</v>
      </c>
      <c r="J1297" s="5"/>
      <c r="K1297" s="5"/>
      <c r="L1297" s="33">
        <f t="shared" si="329"/>
        <v>969</v>
      </c>
      <c r="M1297" s="33">
        <f t="shared" si="330"/>
        <v>969</v>
      </c>
      <c r="N1297" s="22">
        <f t="shared" si="33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328"/>
        <v>60</v>
      </c>
      <c r="J1298" s="5"/>
      <c r="K1298" s="5"/>
      <c r="L1298" s="33">
        <f t="shared" si="329"/>
        <v>7264</v>
      </c>
      <c r="M1298" s="33">
        <f t="shared" si="330"/>
        <v>7264</v>
      </c>
      <c r="N1298" s="22">
        <f t="shared" si="33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328"/>
        <v>20</v>
      </c>
      <c r="J1299" s="5"/>
      <c r="K1299" s="5"/>
      <c r="L1299" s="33">
        <f t="shared" si="329"/>
        <v>2421</v>
      </c>
      <c r="M1299" s="33">
        <f t="shared" si="330"/>
        <v>2421</v>
      </c>
      <c r="N1299" s="22">
        <f t="shared" si="33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328"/>
        <v>80</v>
      </c>
      <c r="J1300" s="5"/>
      <c r="K1300" s="5"/>
      <c r="L1300" s="33">
        <f t="shared" si="329"/>
        <v>9686</v>
      </c>
      <c r="M1300" s="33">
        <f t="shared" si="330"/>
        <v>9686</v>
      </c>
      <c r="N1300" s="22">
        <f t="shared" si="33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328"/>
        <v>24</v>
      </c>
      <c r="J1301" s="5"/>
      <c r="K1301" s="5"/>
      <c r="L1301" s="33">
        <f t="shared" si="329"/>
        <v>3750</v>
      </c>
      <c r="M1301" s="33">
        <f t="shared" si="330"/>
        <v>3750</v>
      </c>
      <c r="N1301" s="22">
        <f t="shared" si="33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328"/>
        <v>80</v>
      </c>
      <c r="J1302" s="5"/>
      <c r="K1302" s="5"/>
      <c r="L1302" s="33">
        <f t="shared" si="329"/>
        <v>9686</v>
      </c>
      <c r="M1302" s="33">
        <f t="shared" si="330"/>
        <v>9686</v>
      </c>
      <c r="N1302" s="22">
        <f t="shared" si="33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328"/>
        <v>24</v>
      </c>
      <c r="J1303" s="5"/>
      <c r="K1303" s="5"/>
      <c r="L1303" s="33">
        <f t="shared" si="329"/>
        <v>2906</v>
      </c>
      <c r="M1303" s="33">
        <f t="shared" si="330"/>
        <v>2906</v>
      </c>
      <c r="N1303" s="22">
        <f t="shared" si="33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328"/>
        <v>24</v>
      </c>
      <c r="J1304" s="5"/>
      <c r="K1304" s="5"/>
      <c r="L1304" s="33">
        <f t="shared" si="329"/>
        <v>3750</v>
      </c>
      <c r="M1304" s="33">
        <f t="shared" si="330"/>
        <v>3750</v>
      </c>
      <c r="N1304" s="22">
        <f t="shared" si="33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328"/>
        <v>160</v>
      </c>
      <c r="J1305" s="5"/>
      <c r="K1305" s="5"/>
      <c r="L1305" s="33">
        <f t="shared" si="329"/>
        <v>21230</v>
      </c>
      <c r="M1305" s="33">
        <f t="shared" si="330"/>
        <v>21230</v>
      </c>
      <c r="N1305" s="22">
        <f t="shared" si="33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328"/>
        <v>8</v>
      </c>
      <c r="J1306" s="5"/>
      <c r="K1306" s="5"/>
      <c r="L1306" s="33">
        <f t="shared" si="329"/>
        <v>1250</v>
      </c>
      <c r="M1306" s="33">
        <f t="shared" si="330"/>
        <v>1250</v>
      </c>
      <c r="N1306" s="22">
        <f t="shared" si="33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328"/>
        <v>8</v>
      </c>
      <c r="J1307" s="5"/>
      <c r="K1307" s="5"/>
      <c r="L1307" s="33">
        <f t="shared" si="329"/>
        <v>969</v>
      </c>
      <c r="M1307" s="33">
        <f t="shared" si="330"/>
        <v>969</v>
      </c>
      <c r="N1307" s="22">
        <f t="shared" si="33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328"/>
        <v>8</v>
      </c>
      <c r="J1308" s="5"/>
      <c r="K1308" s="5"/>
      <c r="L1308" s="33">
        <f t="shared" si="329"/>
        <v>969</v>
      </c>
      <c r="M1308" s="33">
        <f t="shared" si="330"/>
        <v>969</v>
      </c>
      <c r="N1308" s="22">
        <f t="shared" si="33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328"/>
        <v>8</v>
      </c>
      <c r="J1309" s="5"/>
      <c r="K1309" s="5"/>
      <c r="L1309" s="33">
        <f t="shared" si="329"/>
        <v>969</v>
      </c>
      <c r="M1309" s="33">
        <f t="shared" si="330"/>
        <v>969</v>
      </c>
      <c r="N1309" s="22">
        <f t="shared" si="33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328"/>
        <v>8</v>
      </c>
      <c r="J1310" s="5"/>
      <c r="K1310" s="5"/>
      <c r="L1310" s="33">
        <f t="shared" si="329"/>
        <v>1250</v>
      </c>
      <c r="M1310" s="33">
        <f t="shared" si="330"/>
        <v>1250</v>
      </c>
      <c r="N1310" s="22">
        <f t="shared" si="33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328"/>
        <v>8</v>
      </c>
      <c r="J1311" s="5"/>
      <c r="K1311" s="5"/>
      <c r="L1311" s="33">
        <f t="shared" si="329"/>
        <v>969</v>
      </c>
      <c r="M1311" s="33">
        <f t="shared" si="330"/>
        <v>969</v>
      </c>
      <c r="N1311" s="22">
        <f t="shared" si="33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328"/>
        <v>8</v>
      </c>
      <c r="J1312" s="5"/>
      <c r="K1312" s="5"/>
      <c r="L1312" s="33">
        <f t="shared" si="329"/>
        <v>969</v>
      </c>
      <c r="M1312" s="33">
        <f t="shared" si="330"/>
        <v>969</v>
      </c>
      <c r="N1312" s="22">
        <f t="shared" si="33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328"/>
        <v>8</v>
      </c>
      <c r="J1313" s="5"/>
      <c r="K1313" s="5"/>
      <c r="L1313" s="33">
        <f t="shared" si="329"/>
        <v>969</v>
      </c>
      <c r="M1313" s="33">
        <f t="shared" si="330"/>
        <v>969</v>
      </c>
      <c r="N1313" s="22">
        <f t="shared" si="33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328"/>
        <v>30000</v>
      </c>
      <c r="J1314" s="5"/>
      <c r="K1314" s="5"/>
      <c r="L1314" s="33">
        <f t="shared" si="329"/>
        <v>34821</v>
      </c>
      <c r="M1314" s="33">
        <f t="shared" si="330"/>
        <v>34821</v>
      </c>
      <c r="N1314" s="22">
        <f t="shared" si="33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328"/>
        <v>500</v>
      </c>
      <c r="J1315" s="5"/>
      <c r="K1315" s="5"/>
      <c r="L1315" s="33">
        <f t="shared" si="329"/>
        <v>592</v>
      </c>
      <c r="M1315" s="33">
        <f t="shared" si="330"/>
        <v>592</v>
      </c>
      <c r="N1315" s="22">
        <f t="shared" si="33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328"/>
        <v>500</v>
      </c>
      <c r="J1316" s="5"/>
      <c r="K1316" s="5"/>
      <c r="L1316" s="33">
        <f t="shared" si="329"/>
        <v>592</v>
      </c>
      <c r="M1316" s="33">
        <f t="shared" si="330"/>
        <v>592</v>
      </c>
      <c r="N1316" s="22">
        <f t="shared" si="33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328"/>
        <v>500</v>
      </c>
      <c r="J1317" s="5"/>
      <c r="K1317" s="5"/>
      <c r="L1317" s="33">
        <f t="shared" si="329"/>
        <v>592</v>
      </c>
      <c r="M1317" s="33">
        <f t="shared" si="330"/>
        <v>592</v>
      </c>
      <c r="N1317" s="22">
        <f t="shared" si="33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328"/>
        <v>500</v>
      </c>
      <c r="J1318" s="5"/>
      <c r="K1318" s="5"/>
      <c r="L1318" s="33">
        <f t="shared" si="329"/>
        <v>592</v>
      </c>
      <c r="M1318" s="33">
        <f t="shared" si="330"/>
        <v>592</v>
      </c>
      <c r="N1318" s="22">
        <f t="shared" si="33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328"/>
        <v>500</v>
      </c>
      <c r="J1319" s="5"/>
      <c r="K1319" s="5"/>
      <c r="L1319" s="33">
        <f t="shared" si="329"/>
        <v>592</v>
      </c>
      <c r="M1319" s="33">
        <f t="shared" si="330"/>
        <v>592</v>
      </c>
      <c r="N1319" s="22">
        <f t="shared" si="33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328"/>
        <v>16</v>
      </c>
      <c r="J1320" s="5"/>
      <c r="K1320" s="5"/>
      <c r="L1320" s="33">
        <f t="shared" si="329"/>
        <v>2147</v>
      </c>
      <c r="M1320" s="33">
        <f t="shared" si="330"/>
        <v>2147</v>
      </c>
      <c r="N1320" s="22">
        <f t="shared" si="33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328"/>
        <v>40</v>
      </c>
      <c r="J1321" s="5"/>
      <c r="K1321" s="5"/>
      <c r="L1321" s="33">
        <f t="shared" si="329"/>
        <v>4843</v>
      </c>
      <c r="M1321" s="33">
        <f t="shared" si="330"/>
        <v>4843</v>
      </c>
      <c r="N1321" s="22">
        <f t="shared" si="33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328"/>
        <v>40</v>
      </c>
      <c r="J1322" s="5"/>
      <c r="K1322" s="5"/>
      <c r="L1322" s="33">
        <f t="shared" si="329"/>
        <v>5369</v>
      </c>
      <c r="M1322" s="33">
        <f t="shared" si="330"/>
        <v>5369</v>
      </c>
      <c r="N1322" s="22">
        <f t="shared" si="33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328"/>
        <v>40</v>
      </c>
      <c r="J1323" s="5"/>
      <c r="K1323" s="5"/>
      <c r="L1323" s="33">
        <f t="shared" si="329"/>
        <v>4843</v>
      </c>
      <c r="M1323" s="33">
        <f t="shared" si="330"/>
        <v>4843</v>
      </c>
      <c r="N1323" s="22">
        <f t="shared" si="33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328"/>
        <v>80</v>
      </c>
      <c r="J1324" s="5"/>
      <c r="K1324" s="5"/>
      <c r="L1324" s="33">
        <f t="shared" si="329"/>
        <v>10737</v>
      </c>
      <c r="M1324" s="33">
        <f t="shared" si="330"/>
        <v>10737</v>
      </c>
      <c r="N1324" s="22">
        <f t="shared" si="33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328"/>
        <v>80</v>
      </c>
      <c r="J1325" s="5"/>
      <c r="K1325" s="5"/>
      <c r="L1325" s="33">
        <f t="shared" si="329"/>
        <v>9686</v>
      </c>
      <c r="M1325" s="33">
        <f t="shared" si="330"/>
        <v>9686</v>
      </c>
      <c r="N1325" s="22">
        <f t="shared" si="33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328"/>
        <v>80</v>
      </c>
      <c r="J1326" s="5"/>
      <c r="K1326" s="5"/>
      <c r="L1326" s="33">
        <f t="shared" si="329"/>
        <v>9686</v>
      </c>
      <c r="M1326" s="33">
        <f t="shared" si="330"/>
        <v>9686</v>
      </c>
      <c r="N1326" s="22">
        <f t="shared" si="33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328"/>
        <v>80</v>
      </c>
      <c r="J1327" s="5"/>
      <c r="K1327" s="5"/>
      <c r="L1327" s="33">
        <f t="shared" si="329"/>
        <v>10737</v>
      </c>
      <c r="M1327" s="33">
        <f t="shared" si="330"/>
        <v>10737</v>
      </c>
      <c r="N1327" s="22">
        <f t="shared" si="33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328"/>
        <v>80</v>
      </c>
      <c r="J1328" s="5"/>
      <c r="K1328" s="5"/>
      <c r="L1328" s="33">
        <f t="shared" si="329"/>
        <v>10615</v>
      </c>
      <c r="M1328" s="33">
        <f t="shared" si="330"/>
        <v>10615</v>
      </c>
      <c r="N1328" s="22">
        <f t="shared" si="33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328"/>
        <v>60</v>
      </c>
      <c r="J1329" s="5"/>
      <c r="K1329" s="5"/>
      <c r="L1329" s="33">
        <f t="shared" si="329"/>
        <v>7264</v>
      </c>
      <c r="M1329" s="33">
        <f t="shared" si="330"/>
        <v>7264</v>
      </c>
      <c r="N1329" s="22">
        <f t="shared" si="33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332">C1331*(1-G1331)</f>
        <v>4</v>
      </c>
      <c r="J1331" s="5"/>
      <c r="K1331" s="5"/>
      <c r="L1331" s="33">
        <f t="shared" ref="L1331:L1382" si="333">D1331*(1-G1331)</f>
        <v>606.75</v>
      </c>
      <c r="M1331" s="33">
        <f t="shared" ref="M1331:M1382" si="334">IF(J1331="",L1331,(D1331/C1331)*J1331)</f>
        <v>606.75</v>
      </c>
      <c r="N1331" s="22">
        <f t="shared" ref="N1331:N1382" si="33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332"/>
        <v>7.5</v>
      </c>
      <c r="J1332" s="5"/>
      <c r="K1332" s="5"/>
      <c r="L1332" s="33">
        <f t="shared" si="333"/>
        <v>881.5</v>
      </c>
      <c r="M1332" s="33">
        <f t="shared" si="334"/>
        <v>881.5</v>
      </c>
      <c r="N1332" s="22">
        <f t="shared" si="33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332"/>
        <v>30</v>
      </c>
      <c r="J1333" s="5"/>
      <c r="K1333" s="5"/>
      <c r="L1333" s="33">
        <f t="shared" si="333"/>
        <v>4550</v>
      </c>
      <c r="M1333" s="33">
        <f t="shared" si="334"/>
        <v>4550</v>
      </c>
      <c r="N1333" s="22">
        <f t="shared" si="33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332"/>
        <v>10</v>
      </c>
      <c r="J1334" s="5"/>
      <c r="K1334" s="5"/>
      <c r="L1334" s="33">
        <f t="shared" si="333"/>
        <v>1175</v>
      </c>
      <c r="M1334" s="33">
        <f t="shared" si="334"/>
        <v>1175</v>
      </c>
      <c r="N1334" s="22">
        <f t="shared" si="33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332"/>
        <v>10</v>
      </c>
      <c r="J1335" s="5"/>
      <c r="K1335" s="5"/>
      <c r="L1335" s="33">
        <f t="shared" si="333"/>
        <v>1175</v>
      </c>
      <c r="M1335" s="33">
        <f t="shared" si="334"/>
        <v>1175</v>
      </c>
      <c r="N1335" s="22">
        <f t="shared" si="33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332"/>
        <v>32</v>
      </c>
      <c r="J1336" s="5"/>
      <c r="K1336" s="5"/>
      <c r="L1336" s="33">
        <f t="shared" si="333"/>
        <v>4853.6000000000004</v>
      </c>
      <c r="M1336" s="33">
        <f t="shared" si="334"/>
        <v>4853.6000000000004</v>
      </c>
      <c r="N1336" s="22">
        <f t="shared" si="33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332"/>
        <v>16</v>
      </c>
      <c r="J1337" s="5"/>
      <c r="K1337" s="5"/>
      <c r="L1337" s="33">
        <f t="shared" si="333"/>
        <v>1880.8000000000002</v>
      </c>
      <c r="M1337" s="33">
        <f t="shared" si="334"/>
        <v>1880.8000000000002</v>
      </c>
      <c r="N1337" s="22">
        <f t="shared" si="33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332"/>
        <v>8</v>
      </c>
      <c r="J1338" s="5"/>
      <c r="K1338" s="5"/>
      <c r="L1338" s="33">
        <f t="shared" si="333"/>
        <v>1213</v>
      </c>
      <c r="M1338" s="33">
        <f t="shared" si="334"/>
        <v>1213</v>
      </c>
      <c r="N1338" s="22">
        <f t="shared" si="33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332"/>
        <v>8</v>
      </c>
      <c r="J1339" s="5"/>
      <c r="K1339" s="5"/>
      <c r="L1339" s="33">
        <f t="shared" si="333"/>
        <v>940</v>
      </c>
      <c r="M1339" s="33">
        <f t="shared" si="334"/>
        <v>940</v>
      </c>
      <c r="N1339" s="22">
        <f t="shared" si="33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332"/>
        <v>8</v>
      </c>
      <c r="J1340" s="5"/>
      <c r="K1340" s="5"/>
      <c r="L1340" s="33">
        <f t="shared" si="333"/>
        <v>940</v>
      </c>
      <c r="M1340" s="33">
        <f t="shared" si="334"/>
        <v>940</v>
      </c>
      <c r="N1340" s="22">
        <f t="shared" si="33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332"/>
        <v>8</v>
      </c>
      <c r="J1341" s="5"/>
      <c r="K1341" s="5"/>
      <c r="L1341" s="33">
        <f t="shared" si="333"/>
        <v>1213</v>
      </c>
      <c r="M1341" s="33">
        <f t="shared" si="334"/>
        <v>1213</v>
      </c>
      <c r="N1341" s="22">
        <f t="shared" si="33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332"/>
        <v>8</v>
      </c>
      <c r="J1342" s="5"/>
      <c r="K1342" s="5"/>
      <c r="L1342" s="33">
        <f t="shared" si="333"/>
        <v>940</v>
      </c>
      <c r="M1342" s="33">
        <f t="shared" si="334"/>
        <v>940</v>
      </c>
      <c r="N1342" s="22">
        <f t="shared" si="33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332"/>
        <v>8</v>
      </c>
      <c r="J1343" s="5"/>
      <c r="K1343" s="5"/>
      <c r="L1343" s="33">
        <f t="shared" si="333"/>
        <v>940</v>
      </c>
      <c r="M1343" s="33">
        <f t="shared" si="334"/>
        <v>940</v>
      </c>
      <c r="N1343" s="22">
        <f t="shared" si="33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332"/>
        <v>8</v>
      </c>
      <c r="J1344" s="5"/>
      <c r="K1344" s="5"/>
      <c r="L1344" s="33">
        <f t="shared" si="333"/>
        <v>1250</v>
      </c>
      <c r="M1344" s="33">
        <f t="shared" si="334"/>
        <v>1250</v>
      </c>
      <c r="N1344" s="22">
        <f t="shared" si="33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332"/>
        <v>8</v>
      </c>
      <c r="J1345" s="5"/>
      <c r="K1345" s="5"/>
      <c r="L1345" s="33">
        <f t="shared" si="333"/>
        <v>969</v>
      </c>
      <c r="M1345" s="33">
        <f t="shared" si="334"/>
        <v>969</v>
      </c>
      <c r="N1345" s="22">
        <f t="shared" si="33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332"/>
        <v>8</v>
      </c>
      <c r="J1346" s="5"/>
      <c r="K1346" s="5"/>
      <c r="L1346" s="33">
        <f t="shared" si="333"/>
        <v>1250</v>
      </c>
      <c r="M1346" s="33">
        <f t="shared" si="334"/>
        <v>1250</v>
      </c>
      <c r="N1346" s="22">
        <f t="shared" si="33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332"/>
        <v>8</v>
      </c>
      <c r="J1347" s="5"/>
      <c r="K1347" s="5"/>
      <c r="L1347" s="33">
        <f t="shared" si="333"/>
        <v>969</v>
      </c>
      <c r="M1347" s="33">
        <f t="shared" si="334"/>
        <v>969</v>
      </c>
      <c r="N1347" s="22">
        <f t="shared" si="33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332"/>
        <v>16</v>
      </c>
      <c r="J1348" s="5"/>
      <c r="K1348" s="5"/>
      <c r="L1348" s="33">
        <f t="shared" si="333"/>
        <v>1937</v>
      </c>
      <c r="M1348" s="33">
        <f t="shared" si="334"/>
        <v>1937</v>
      </c>
      <c r="N1348" s="22">
        <f t="shared" si="33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332"/>
        <v>8</v>
      </c>
      <c r="J1349" s="5"/>
      <c r="K1349" s="5"/>
      <c r="L1349" s="33">
        <f t="shared" si="333"/>
        <v>1250</v>
      </c>
      <c r="M1349" s="33">
        <f t="shared" si="334"/>
        <v>1250</v>
      </c>
      <c r="N1349" s="22">
        <f t="shared" si="33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332"/>
        <v>8</v>
      </c>
      <c r="J1350" s="5"/>
      <c r="K1350" s="5"/>
      <c r="L1350" s="33">
        <f t="shared" si="333"/>
        <v>969</v>
      </c>
      <c r="M1350" s="33">
        <f t="shared" si="334"/>
        <v>969</v>
      </c>
      <c r="N1350" s="22">
        <f t="shared" si="33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332"/>
        <v>16</v>
      </c>
      <c r="J1351" s="5"/>
      <c r="K1351" s="5"/>
      <c r="L1351" s="33">
        <f t="shared" si="333"/>
        <v>1937</v>
      </c>
      <c r="M1351" s="33">
        <f t="shared" si="334"/>
        <v>1937</v>
      </c>
      <c r="N1351" s="22">
        <f t="shared" si="33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332"/>
        <v>8</v>
      </c>
      <c r="J1352" s="5"/>
      <c r="K1352" s="5"/>
      <c r="L1352" s="33">
        <f t="shared" si="333"/>
        <v>969</v>
      </c>
      <c r="M1352" s="33">
        <f t="shared" si="334"/>
        <v>969</v>
      </c>
      <c r="N1352" s="22">
        <f t="shared" si="33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332"/>
        <v>120</v>
      </c>
      <c r="J1353" s="5"/>
      <c r="K1353" s="5"/>
      <c r="L1353" s="33">
        <f t="shared" si="333"/>
        <v>14529</v>
      </c>
      <c r="M1353" s="33">
        <f t="shared" si="334"/>
        <v>14529</v>
      </c>
      <c r="N1353" s="22">
        <f t="shared" si="33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332"/>
        <v>24</v>
      </c>
      <c r="J1354" s="5"/>
      <c r="K1354" s="5"/>
      <c r="L1354" s="33">
        <f t="shared" si="333"/>
        <v>3750</v>
      </c>
      <c r="M1354" s="33">
        <f t="shared" si="334"/>
        <v>3750</v>
      </c>
      <c r="N1354" s="22">
        <f t="shared" si="33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332"/>
        <v>120</v>
      </c>
      <c r="J1355" s="5"/>
      <c r="K1355" s="5"/>
      <c r="L1355" s="33">
        <f t="shared" si="333"/>
        <v>14529</v>
      </c>
      <c r="M1355" s="33">
        <f t="shared" si="334"/>
        <v>14529</v>
      </c>
      <c r="N1355" s="22">
        <f t="shared" si="33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332"/>
        <v>24</v>
      </c>
      <c r="J1356" s="5"/>
      <c r="K1356" s="5"/>
      <c r="L1356" s="33">
        <f t="shared" si="333"/>
        <v>2906</v>
      </c>
      <c r="M1356" s="33">
        <f t="shared" si="334"/>
        <v>2906</v>
      </c>
      <c r="N1356" s="22">
        <f t="shared" si="33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332"/>
        <v>24</v>
      </c>
      <c r="J1357" s="5"/>
      <c r="K1357" s="5"/>
      <c r="L1357" s="33">
        <f t="shared" si="333"/>
        <v>3750</v>
      </c>
      <c r="M1357" s="33">
        <f t="shared" si="334"/>
        <v>3750</v>
      </c>
      <c r="N1357" s="22">
        <f t="shared" si="33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332"/>
        <v>240</v>
      </c>
      <c r="J1358" s="5"/>
      <c r="K1358" s="5"/>
      <c r="L1358" s="33">
        <f t="shared" si="333"/>
        <v>31845</v>
      </c>
      <c r="M1358" s="33">
        <f t="shared" si="334"/>
        <v>31845</v>
      </c>
      <c r="N1358" s="22">
        <f t="shared" si="33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332"/>
        <v>8</v>
      </c>
      <c r="J1359" s="5"/>
      <c r="K1359" s="5"/>
      <c r="L1359" s="33">
        <f t="shared" si="333"/>
        <v>1250</v>
      </c>
      <c r="M1359" s="33">
        <f t="shared" si="334"/>
        <v>1250</v>
      </c>
      <c r="N1359" s="22">
        <f t="shared" si="33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332"/>
        <v>8</v>
      </c>
      <c r="J1360" s="5"/>
      <c r="K1360" s="5"/>
      <c r="L1360" s="33">
        <f t="shared" si="333"/>
        <v>969</v>
      </c>
      <c r="M1360" s="33">
        <f t="shared" si="334"/>
        <v>969</v>
      </c>
      <c r="N1360" s="22">
        <f t="shared" si="33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332"/>
        <v>8</v>
      </c>
      <c r="J1361" s="5"/>
      <c r="K1361" s="5"/>
      <c r="L1361" s="33">
        <f t="shared" si="333"/>
        <v>969</v>
      </c>
      <c r="M1361" s="33">
        <f t="shared" si="334"/>
        <v>969</v>
      </c>
      <c r="N1361" s="22">
        <f t="shared" si="33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332"/>
        <v>8</v>
      </c>
      <c r="J1362" s="5"/>
      <c r="K1362" s="5"/>
      <c r="L1362" s="33">
        <f t="shared" si="333"/>
        <v>969</v>
      </c>
      <c r="M1362" s="33">
        <f t="shared" si="334"/>
        <v>969</v>
      </c>
      <c r="N1362" s="22">
        <f t="shared" si="33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332"/>
        <v>8</v>
      </c>
      <c r="J1363" s="5"/>
      <c r="K1363" s="5"/>
      <c r="L1363" s="33">
        <f t="shared" si="333"/>
        <v>1250</v>
      </c>
      <c r="M1363" s="33">
        <f t="shared" si="334"/>
        <v>1250</v>
      </c>
      <c r="N1363" s="22">
        <f t="shared" si="33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332"/>
        <v>8</v>
      </c>
      <c r="J1364" s="5"/>
      <c r="K1364" s="5"/>
      <c r="L1364" s="33">
        <f t="shared" si="333"/>
        <v>969</v>
      </c>
      <c r="M1364" s="33">
        <f t="shared" si="334"/>
        <v>969</v>
      </c>
      <c r="N1364" s="22">
        <f t="shared" si="33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332"/>
        <v>8</v>
      </c>
      <c r="J1365" s="5"/>
      <c r="K1365" s="5"/>
      <c r="L1365" s="33">
        <f t="shared" si="333"/>
        <v>969</v>
      </c>
      <c r="M1365" s="33">
        <f t="shared" si="334"/>
        <v>969</v>
      </c>
      <c r="N1365" s="22">
        <f t="shared" si="33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332"/>
        <v>8</v>
      </c>
      <c r="J1366" s="5"/>
      <c r="K1366" s="5"/>
      <c r="L1366" s="33">
        <f t="shared" si="333"/>
        <v>969</v>
      </c>
      <c r="M1366" s="33">
        <f t="shared" si="334"/>
        <v>969</v>
      </c>
      <c r="N1366" s="22">
        <f t="shared" si="33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332"/>
        <v>400</v>
      </c>
      <c r="J1367" s="5"/>
      <c r="K1367" s="5"/>
      <c r="L1367" s="33">
        <f t="shared" si="333"/>
        <v>73035</v>
      </c>
      <c r="M1367" s="33">
        <f t="shared" si="334"/>
        <v>73035</v>
      </c>
      <c r="N1367" s="22">
        <f t="shared" si="33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332"/>
        <v>40</v>
      </c>
      <c r="J1368" s="5"/>
      <c r="K1368" s="5"/>
      <c r="L1368" s="33">
        <f t="shared" si="333"/>
        <v>4843</v>
      </c>
      <c r="M1368" s="33">
        <f t="shared" si="334"/>
        <v>4843</v>
      </c>
      <c r="N1368" s="22">
        <f t="shared" si="33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332"/>
        <v>40</v>
      </c>
      <c r="J1369" s="5"/>
      <c r="K1369" s="5"/>
      <c r="L1369" s="33">
        <f t="shared" si="333"/>
        <v>6249</v>
      </c>
      <c r="M1369" s="33">
        <f t="shared" si="334"/>
        <v>6249</v>
      </c>
      <c r="N1369" s="22">
        <f t="shared" si="33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332"/>
        <v>40</v>
      </c>
      <c r="J1370" s="5"/>
      <c r="K1370" s="5"/>
      <c r="L1370" s="33">
        <f t="shared" si="333"/>
        <v>4843</v>
      </c>
      <c r="M1370" s="33">
        <f t="shared" si="334"/>
        <v>4843</v>
      </c>
      <c r="N1370" s="22">
        <f t="shared" si="33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332"/>
        <v>40</v>
      </c>
      <c r="J1371" s="5"/>
      <c r="K1371" s="5"/>
      <c r="L1371" s="33">
        <f t="shared" si="333"/>
        <v>6249</v>
      </c>
      <c r="M1371" s="33">
        <f t="shared" si="334"/>
        <v>6249</v>
      </c>
      <c r="N1371" s="22">
        <f t="shared" si="33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332"/>
        <v>40</v>
      </c>
      <c r="J1372" s="5"/>
      <c r="K1372" s="5"/>
      <c r="L1372" s="33">
        <f t="shared" si="333"/>
        <v>4843</v>
      </c>
      <c r="M1372" s="33">
        <f t="shared" si="334"/>
        <v>4843</v>
      </c>
      <c r="N1372" s="22">
        <f t="shared" si="33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332"/>
        <v>10000</v>
      </c>
      <c r="J1373" s="5"/>
      <c r="K1373" s="5"/>
      <c r="L1373" s="33">
        <f t="shared" si="333"/>
        <v>11607</v>
      </c>
      <c r="M1373" s="33">
        <f t="shared" si="334"/>
        <v>11607</v>
      </c>
      <c r="N1373" s="22">
        <f t="shared" si="33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332"/>
        <v>500</v>
      </c>
      <c r="J1374" s="5"/>
      <c r="K1374" s="5"/>
      <c r="L1374" s="33">
        <f t="shared" si="333"/>
        <v>592</v>
      </c>
      <c r="M1374" s="33">
        <f t="shared" si="334"/>
        <v>592</v>
      </c>
      <c r="N1374" s="22">
        <f t="shared" si="33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332"/>
        <v>500</v>
      </c>
      <c r="J1375" s="5"/>
      <c r="K1375" s="5"/>
      <c r="L1375" s="33">
        <f t="shared" si="333"/>
        <v>592</v>
      </c>
      <c r="M1375" s="33">
        <f t="shared" si="334"/>
        <v>592</v>
      </c>
      <c r="N1375" s="22">
        <f t="shared" si="33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332"/>
        <v>500</v>
      </c>
      <c r="J1376" s="5"/>
      <c r="K1376" s="5"/>
      <c r="L1376" s="33">
        <f t="shared" si="333"/>
        <v>592</v>
      </c>
      <c r="M1376" s="33">
        <f t="shared" si="334"/>
        <v>592</v>
      </c>
      <c r="N1376" s="22">
        <f t="shared" si="33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332"/>
        <v>500</v>
      </c>
      <c r="J1377" s="5"/>
      <c r="K1377" s="5"/>
      <c r="L1377" s="33">
        <f t="shared" si="333"/>
        <v>592</v>
      </c>
      <c r="M1377" s="33">
        <f t="shared" si="334"/>
        <v>592</v>
      </c>
      <c r="N1377" s="22">
        <f t="shared" si="33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332"/>
        <v>500</v>
      </c>
      <c r="J1378" s="5"/>
      <c r="K1378" s="5"/>
      <c r="L1378" s="33">
        <f t="shared" si="333"/>
        <v>592</v>
      </c>
      <c r="M1378" s="33">
        <f t="shared" si="334"/>
        <v>592</v>
      </c>
      <c r="N1378" s="22">
        <f t="shared" si="33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332"/>
        <v>500</v>
      </c>
      <c r="J1379" s="5"/>
      <c r="K1379" s="5"/>
      <c r="L1379" s="33">
        <f t="shared" si="333"/>
        <v>592</v>
      </c>
      <c r="M1379" s="33">
        <f t="shared" si="334"/>
        <v>592</v>
      </c>
      <c r="N1379" s="22">
        <f t="shared" si="33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332"/>
        <v>20</v>
      </c>
      <c r="J1380" s="5"/>
      <c r="K1380" s="5"/>
      <c r="L1380" s="33">
        <f t="shared" si="333"/>
        <v>2654</v>
      </c>
      <c r="M1380" s="33">
        <f t="shared" si="334"/>
        <v>2654</v>
      </c>
      <c r="N1380" s="22">
        <f t="shared" si="33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332"/>
        <v>24</v>
      </c>
      <c r="J1381" s="5"/>
      <c r="K1381" s="5"/>
      <c r="L1381" s="33">
        <f t="shared" si="333"/>
        <v>2906</v>
      </c>
      <c r="M1381" s="33">
        <f t="shared" si="334"/>
        <v>2906</v>
      </c>
      <c r="N1381" s="22">
        <f t="shared" si="33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332"/>
        <v>24</v>
      </c>
      <c r="J1382" s="5"/>
      <c r="K1382" s="5"/>
      <c r="L1382" s="33">
        <f t="shared" si="333"/>
        <v>3325</v>
      </c>
      <c r="M1382" s="33">
        <f t="shared" si="334"/>
        <v>3325</v>
      </c>
      <c r="N1382" s="22">
        <f t="shared" si="33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336">C1384*(1-G1384)</f>
        <v>40</v>
      </c>
      <c r="J1384" s="5"/>
      <c r="K1384" s="5"/>
      <c r="L1384" s="33">
        <f t="shared" ref="L1384:L1447" si="337">D1384*(1-G1384)</f>
        <v>5542</v>
      </c>
      <c r="M1384" s="33">
        <f t="shared" ref="M1384:M1447" si="338">IF(J1384="",L1384,(D1384/C1384)*J1384)</f>
        <v>5542</v>
      </c>
      <c r="N1384" s="22">
        <f t="shared" ref="N1384:N1447" si="33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336"/>
        <v>8</v>
      </c>
      <c r="J1385" s="5"/>
      <c r="K1385" s="5"/>
      <c r="L1385" s="33">
        <f t="shared" si="337"/>
        <v>851</v>
      </c>
      <c r="M1385" s="33">
        <f t="shared" si="338"/>
        <v>851</v>
      </c>
      <c r="N1385" s="22">
        <f t="shared" si="33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336"/>
        <v>8</v>
      </c>
      <c r="J1386" s="5"/>
      <c r="K1386" s="5"/>
      <c r="L1386" s="33">
        <f t="shared" si="337"/>
        <v>1250</v>
      </c>
      <c r="M1386" s="33">
        <f t="shared" si="338"/>
        <v>1250</v>
      </c>
      <c r="N1386" s="22">
        <f t="shared" si="33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336"/>
        <v>16</v>
      </c>
      <c r="J1387" s="5"/>
      <c r="K1387" s="5"/>
      <c r="L1387" s="33">
        <f t="shared" si="337"/>
        <v>1937</v>
      </c>
      <c r="M1387" s="33">
        <f t="shared" si="338"/>
        <v>1937</v>
      </c>
      <c r="N1387" s="22">
        <f t="shared" si="33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336"/>
        <v>16</v>
      </c>
      <c r="J1388" s="5"/>
      <c r="K1388" s="5"/>
      <c r="L1388" s="33">
        <f t="shared" si="337"/>
        <v>2500</v>
      </c>
      <c r="M1388" s="33">
        <f t="shared" si="338"/>
        <v>2500</v>
      </c>
      <c r="N1388" s="22">
        <f t="shared" si="33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336"/>
        <v>16</v>
      </c>
      <c r="J1389" s="5"/>
      <c r="K1389" s="5"/>
      <c r="L1389" s="33">
        <f t="shared" si="337"/>
        <v>1937</v>
      </c>
      <c r="M1389" s="33">
        <f t="shared" si="338"/>
        <v>1937</v>
      </c>
      <c r="N1389" s="22">
        <f t="shared" si="33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336"/>
        <v>16</v>
      </c>
      <c r="J1390" s="5"/>
      <c r="K1390" s="5"/>
      <c r="L1390" s="33">
        <f t="shared" si="337"/>
        <v>1937</v>
      </c>
      <c r="M1390" s="33">
        <f t="shared" si="338"/>
        <v>1937</v>
      </c>
      <c r="N1390" s="22">
        <f t="shared" si="33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336"/>
        <v>16</v>
      </c>
      <c r="J1391" s="5"/>
      <c r="K1391" s="5"/>
      <c r="L1391" s="33">
        <f t="shared" si="337"/>
        <v>1937</v>
      </c>
      <c r="M1391" s="33">
        <f t="shared" si="338"/>
        <v>1937</v>
      </c>
      <c r="N1391" s="22">
        <f t="shared" si="33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336"/>
        <v>16</v>
      </c>
      <c r="J1392" s="5"/>
      <c r="K1392" s="5"/>
      <c r="L1392" s="33">
        <f t="shared" si="337"/>
        <v>2500</v>
      </c>
      <c r="M1392" s="33">
        <f t="shared" si="338"/>
        <v>2500</v>
      </c>
      <c r="N1392" s="22">
        <f t="shared" si="33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336"/>
        <v>16</v>
      </c>
      <c r="J1393" s="5"/>
      <c r="K1393" s="5"/>
      <c r="L1393" s="33">
        <f t="shared" si="337"/>
        <v>2147</v>
      </c>
      <c r="M1393" s="33">
        <f t="shared" si="338"/>
        <v>2147</v>
      </c>
      <c r="N1393" s="22">
        <f t="shared" si="33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336"/>
        <v>16</v>
      </c>
      <c r="J1394" s="5"/>
      <c r="K1394" s="5"/>
      <c r="L1394" s="33">
        <f t="shared" si="337"/>
        <v>3495</v>
      </c>
      <c r="M1394" s="33">
        <f t="shared" si="338"/>
        <v>3495</v>
      </c>
      <c r="N1394" s="22">
        <f t="shared" si="33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336"/>
        <v>16</v>
      </c>
      <c r="J1395" s="5"/>
      <c r="K1395" s="5"/>
      <c r="L1395" s="33">
        <f t="shared" si="337"/>
        <v>2887</v>
      </c>
      <c r="M1395" s="33">
        <f t="shared" si="338"/>
        <v>2887</v>
      </c>
      <c r="N1395" s="22">
        <f t="shared" si="33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336"/>
        <v>16</v>
      </c>
      <c r="J1396" s="5"/>
      <c r="K1396" s="5"/>
      <c r="L1396" s="33">
        <f t="shared" si="337"/>
        <v>2525</v>
      </c>
      <c r="M1396" s="33">
        <f t="shared" si="338"/>
        <v>2525</v>
      </c>
      <c r="N1396" s="22">
        <f t="shared" si="33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336"/>
        <v>16</v>
      </c>
      <c r="J1397" s="5"/>
      <c r="K1397" s="5"/>
      <c r="L1397" s="33">
        <f t="shared" si="337"/>
        <v>1957</v>
      </c>
      <c r="M1397" s="33">
        <f t="shared" si="338"/>
        <v>1957</v>
      </c>
      <c r="N1397" s="22">
        <f t="shared" si="33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336"/>
        <v>16</v>
      </c>
      <c r="J1398" s="5"/>
      <c r="K1398" s="5"/>
      <c r="L1398" s="33">
        <f t="shared" si="337"/>
        <v>1957</v>
      </c>
      <c r="M1398" s="33">
        <f t="shared" si="338"/>
        <v>1957</v>
      </c>
      <c r="N1398" s="22">
        <f t="shared" si="33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336"/>
        <v>16</v>
      </c>
      <c r="J1399" s="5"/>
      <c r="K1399" s="5"/>
      <c r="L1399" s="33">
        <f t="shared" si="337"/>
        <v>1957</v>
      </c>
      <c r="M1399" s="33">
        <f t="shared" si="338"/>
        <v>1957</v>
      </c>
      <c r="N1399" s="22">
        <f t="shared" si="33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336"/>
        <v>16</v>
      </c>
      <c r="J1400" s="5"/>
      <c r="K1400" s="5"/>
      <c r="L1400" s="33">
        <f t="shared" si="337"/>
        <v>2525</v>
      </c>
      <c r="M1400" s="33">
        <f t="shared" si="338"/>
        <v>2525</v>
      </c>
      <c r="N1400" s="22">
        <f t="shared" si="33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336"/>
        <v>16</v>
      </c>
      <c r="J1401" s="5"/>
      <c r="K1401" s="5"/>
      <c r="L1401" s="33">
        <f t="shared" si="337"/>
        <v>2916</v>
      </c>
      <c r="M1401" s="33">
        <f t="shared" si="338"/>
        <v>2916</v>
      </c>
      <c r="N1401" s="22">
        <f t="shared" si="33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336"/>
        <v>16</v>
      </c>
      <c r="J1402" s="5"/>
      <c r="K1402" s="5"/>
      <c r="L1402" s="33">
        <f t="shared" si="337"/>
        <v>2169</v>
      </c>
      <c r="M1402" s="33">
        <f t="shared" si="338"/>
        <v>2169</v>
      </c>
      <c r="N1402" s="22">
        <f t="shared" si="33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336"/>
        <v>16</v>
      </c>
      <c r="J1403" s="5"/>
      <c r="K1403" s="5"/>
      <c r="L1403" s="33">
        <f t="shared" si="337"/>
        <v>3530</v>
      </c>
      <c r="M1403" s="33">
        <f t="shared" si="338"/>
        <v>3530</v>
      </c>
      <c r="N1403" s="22">
        <f t="shared" si="33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336"/>
        <v>1000</v>
      </c>
      <c r="J1404" s="5"/>
      <c r="K1404" s="5"/>
      <c r="L1404" s="33">
        <f t="shared" si="337"/>
        <v>1184</v>
      </c>
      <c r="M1404" s="33">
        <f t="shared" si="338"/>
        <v>1184</v>
      </c>
      <c r="N1404" s="22">
        <f t="shared" si="33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336"/>
        <v>1000</v>
      </c>
      <c r="J1405" s="5"/>
      <c r="K1405" s="5"/>
      <c r="L1405" s="33">
        <f t="shared" si="337"/>
        <v>1184</v>
      </c>
      <c r="M1405" s="33">
        <f t="shared" si="338"/>
        <v>1184</v>
      </c>
      <c r="N1405" s="22">
        <f t="shared" si="33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336"/>
        <v>40</v>
      </c>
      <c r="J1406" s="5"/>
      <c r="K1406" s="5"/>
      <c r="L1406" s="33">
        <f t="shared" si="337"/>
        <v>5308</v>
      </c>
      <c r="M1406" s="33">
        <f t="shared" si="338"/>
        <v>5308</v>
      </c>
      <c r="N1406" s="22">
        <f t="shared" si="33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336"/>
        <v>48</v>
      </c>
      <c r="J1407" s="5"/>
      <c r="K1407" s="5"/>
      <c r="L1407" s="33">
        <f t="shared" si="337"/>
        <v>5811</v>
      </c>
      <c r="M1407" s="33">
        <f t="shared" si="338"/>
        <v>5811</v>
      </c>
      <c r="N1407" s="22">
        <f t="shared" si="33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336"/>
        <v>48</v>
      </c>
      <c r="J1408" s="5"/>
      <c r="K1408" s="5"/>
      <c r="L1408" s="33">
        <f t="shared" si="337"/>
        <v>6650</v>
      </c>
      <c r="M1408" s="33">
        <f t="shared" si="338"/>
        <v>6650</v>
      </c>
      <c r="N1408" s="22">
        <f t="shared" si="33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336"/>
        <v>8</v>
      </c>
      <c r="J1409" s="5"/>
      <c r="K1409" s="5"/>
      <c r="L1409" s="33">
        <f t="shared" si="337"/>
        <v>851</v>
      </c>
      <c r="M1409" s="33">
        <f t="shared" si="338"/>
        <v>851</v>
      </c>
      <c r="N1409" s="22">
        <f t="shared" si="33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336"/>
        <v>8</v>
      </c>
      <c r="J1410" s="5"/>
      <c r="K1410" s="5"/>
      <c r="L1410" s="33">
        <f t="shared" si="337"/>
        <v>1250</v>
      </c>
      <c r="M1410" s="33">
        <f t="shared" si="338"/>
        <v>1250</v>
      </c>
      <c r="N1410" s="22">
        <f t="shared" si="33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336"/>
        <v>8</v>
      </c>
      <c r="J1411" s="5"/>
      <c r="K1411" s="5"/>
      <c r="L1411" s="33">
        <f t="shared" si="337"/>
        <v>1250</v>
      </c>
      <c r="M1411" s="33">
        <f t="shared" si="338"/>
        <v>1250</v>
      </c>
      <c r="N1411" s="22">
        <f t="shared" si="33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336"/>
        <v>24</v>
      </c>
      <c r="J1412" s="5"/>
      <c r="K1412" s="5"/>
      <c r="L1412" s="33">
        <f t="shared" si="337"/>
        <v>2906</v>
      </c>
      <c r="M1412" s="33">
        <f t="shared" si="338"/>
        <v>2906</v>
      </c>
      <c r="N1412" s="22">
        <f t="shared" si="33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336"/>
        <v>96</v>
      </c>
      <c r="J1413" s="5"/>
      <c r="K1413" s="5"/>
      <c r="L1413" s="33">
        <f t="shared" si="337"/>
        <v>11623</v>
      </c>
      <c r="M1413" s="33">
        <f t="shared" si="338"/>
        <v>11623</v>
      </c>
      <c r="N1413" s="22">
        <f t="shared" si="33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336"/>
        <v>8</v>
      </c>
      <c r="J1414" s="5"/>
      <c r="K1414" s="5"/>
      <c r="L1414" s="33">
        <f t="shared" si="337"/>
        <v>969</v>
      </c>
      <c r="M1414" s="33">
        <f t="shared" si="338"/>
        <v>969</v>
      </c>
      <c r="N1414" s="22">
        <f t="shared" si="33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336"/>
        <v>40</v>
      </c>
      <c r="J1415" s="5"/>
      <c r="K1415" s="5"/>
      <c r="L1415" s="33">
        <f t="shared" si="337"/>
        <v>4843</v>
      </c>
      <c r="M1415" s="33">
        <f t="shared" si="338"/>
        <v>4843</v>
      </c>
      <c r="N1415" s="22">
        <f t="shared" si="33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336"/>
        <v>40</v>
      </c>
      <c r="J1416" s="5"/>
      <c r="K1416" s="5"/>
      <c r="L1416" s="33">
        <f t="shared" si="337"/>
        <v>6249</v>
      </c>
      <c r="M1416" s="33">
        <f t="shared" si="338"/>
        <v>6249</v>
      </c>
      <c r="N1416" s="22">
        <f t="shared" si="33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336"/>
        <v>40</v>
      </c>
      <c r="J1417" s="5"/>
      <c r="K1417" s="5"/>
      <c r="L1417" s="33">
        <f t="shared" si="337"/>
        <v>6249</v>
      </c>
      <c r="M1417" s="33">
        <f t="shared" si="338"/>
        <v>6249</v>
      </c>
      <c r="N1417" s="22">
        <f t="shared" si="33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336"/>
        <v>40</v>
      </c>
      <c r="J1418" s="5"/>
      <c r="K1418" s="5"/>
      <c r="L1418" s="33">
        <f t="shared" si="337"/>
        <v>7303</v>
      </c>
      <c r="M1418" s="33">
        <f t="shared" si="338"/>
        <v>7303</v>
      </c>
      <c r="N1418" s="22">
        <f t="shared" si="33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336"/>
        <v>40</v>
      </c>
      <c r="J1419" s="5"/>
      <c r="K1419" s="5"/>
      <c r="L1419" s="33">
        <f t="shared" si="337"/>
        <v>8738</v>
      </c>
      <c r="M1419" s="33">
        <f t="shared" si="338"/>
        <v>8738</v>
      </c>
      <c r="N1419" s="22">
        <f t="shared" si="33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336"/>
        <v>8</v>
      </c>
      <c r="J1420" s="5"/>
      <c r="K1420" s="5"/>
      <c r="L1420" s="33">
        <f t="shared" si="337"/>
        <v>1250</v>
      </c>
      <c r="M1420" s="33">
        <f t="shared" si="338"/>
        <v>1250</v>
      </c>
      <c r="N1420" s="22">
        <f t="shared" si="33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336"/>
        <v>8</v>
      </c>
      <c r="J1421" s="5"/>
      <c r="K1421" s="5"/>
      <c r="L1421" s="33">
        <f t="shared" si="337"/>
        <v>1250</v>
      </c>
      <c r="M1421" s="33">
        <f t="shared" si="338"/>
        <v>1250</v>
      </c>
      <c r="N1421" s="22">
        <f t="shared" si="33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336"/>
        <v>24</v>
      </c>
      <c r="J1422" s="5"/>
      <c r="K1422" s="5"/>
      <c r="L1422" s="33">
        <f t="shared" si="337"/>
        <v>5243</v>
      </c>
      <c r="M1422" s="33">
        <f t="shared" si="338"/>
        <v>5243</v>
      </c>
      <c r="N1422" s="22">
        <f t="shared" si="33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336"/>
        <v>24</v>
      </c>
      <c r="J1423" s="5"/>
      <c r="K1423" s="5"/>
      <c r="L1423" s="33">
        <f t="shared" si="337"/>
        <v>4382</v>
      </c>
      <c r="M1423" s="33">
        <f t="shared" si="338"/>
        <v>4382</v>
      </c>
      <c r="N1423" s="22">
        <f t="shared" si="33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336"/>
        <v>40</v>
      </c>
      <c r="J1424" s="5"/>
      <c r="K1424" s="5"/>
      <c r="L1424" s="33">
        <f t="shared" si="337"/>
        <v>6249</v>
      </c>
      <c r="M1424" s="33">
        <f t="shared" si="338"/>
        <v>6249</v>
      </c>
      <c r="N1424" s="22">
        <f t="shared" si="33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336"/>
        <v>40</v>
      </c>
      <c r="J1425" s="5"/>
      <c r="K1425" s="5"/>
      <c r="L1425" s="33">
        <f t="shared" si="337"/>
        <v>6249</v>
      </c>
      <c r="M1425" s="33">
        <f t="shared" si="338"/>
        <v>6249</v>
      </c>
      <c r="N1425" s="22">
        <f t="shared" si="33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336"/>
        <v>40</v>
      </c>
      <c r="J1426" s="5"/>
      <c r="K1426" s="5"/>
      <c r="L1426" s="33">
        <f t="shared" si="337"/>
        <v>7303</v>
      </c>
      <c r="M1426" s="33">
        <f t="shared" si="338"/>
        <v>7303</v>
      </c>
      <c r="N1426" s="22">
        <f t="shared" si="33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336"/>
        <v>40</v>
      </c>
      <c r="J1427" s="5"/>
      <c r="K1427" s="5"/>
      <c r="L1427" s="33">
        <f t="shared" si="337"/>
        <v>8738</v>
      </c>
      <c r="M1427" s="33">
        <f t="shared" si="338"/>
        <v>8738</v>
      </c>
      <c r="N1427" s="22">
        <f t="shared" si="33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336"/>
        <v>20</v>
      </c>
      <c r="J1428" s="5"/>
      <c r="K1428" s="5"/>
      <c r="L1428" s="33">
        <f t="shared" si="337"/>
        <v>3608</v>
      </c>
      <c r="M1428" s="33">
        <f t="shared" si="338"/>
        <v>3608</v>
      </c>
      <c r="N1428" s="22">
        <f t="shared" si="33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336"/>
        <v>20</v>
      </c>
      <c r="J1429" s="5"/>
      <c r="K1429" s="5"/>
      <c r="L1429" s="33">
        <f t="shared" si="337"/>
        <v>4095</v>
      </c>
      <c r="M1429" s="33">
        <f t="shared" si="338"/>
        <v>4095</v>
      </c>
      <c r="N1429" s="22">
        <f t="shared" si="33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336"/>
        <v>20</v>
      </c>
      <c r="J1430" s="5"/>
      <c r="K1430" s="5"/>
      <c r="L1430" s="33">
        <f t="shared" si="337"/>
        <v>2126</v>
      </c>
      <c r="M1430" s="33">
        <f t="shared" si="338"/>
        <v>2126</v>
      </c>
      <c r="N1430" s="22">
        <f t="shared" si="33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336"/>
        <v>20</v>
      </c>
      <c r="J1431" s="5"/>
      <c r="K1431" s="5"/>
      <c r="L1431" s="33">
        <f t="shared" si="337"/>
        <v>3125</v>
      </c>
      <c r="M1431" s="33">
        <f t="shared" si="338"/>
        <v>3125</v>
      </c>
      <c r="N1431" s="22">
        <f t="shared" si="33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336"/>
        <v>16</v>
      </c>
      <c r="J1432" s="5"/>
      <c r="K1432" s="5"/>
      <c r="L1432" s="33">
        <f t="shared" si="337"/>
        <v>2500</v>
      </c>
      <c r="M1432" s="33">
        <f t="shared" si="338"/>
        <v>2500</v>
      </c>
      <c r="N1432" s="22">
        <f t="shared" si="33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336"/>
        <v>16</v>
      </c>
      <c r="J1433" s="5"/>
      <c r="K1433" s="5"/>
      <c r="L1433" s="33">
        <f t="shared" si="337"/>
        <v>2500</v>
      </c>
      <c r="M1433" s="33">
        <f t="shared" si="338"/>
        <v>2500</v>
      </c>
      <c r="N1433" s="22">
        <f t="shared" si="33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336"/>
        <v>16</v>
      </c>
      <c r="J1434" s="5"/>
      <c r="K1434" s="5"/>
      <c r="L1434" s="33">
        <f t="shared" si="337"/>
        <v>2921</v>
      </c>
      <c r="M1434" s="33">
        <f t="shared" si="338"/>
        <v>2921</v>
      </c>
      <c r="N1434" s="22">
        <f t="shared" si="33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336"/>
        <v>16</v>
      </c>
      <c r="J1435" s="5"/>
      <c r="K1435" s="5"/>
      <c r="L1435" s="33">
        <f t="shared" si="337"/>
        <v>3495</v>
      </c>
      <c r="M1435" s="33">
        <f t="shared" si="338"/>
        <v>3495</v>
      </c>
      <c r="N1435" s="22">
        <f t="shared" si="33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336"/>
        <v>16</v>
      </c>
      <c r="J1436" s="5"/>
      <c r="K1436" s="5"/>
      <c r="L1436" s="33">
        <f t="shared" si="337"/>
        <v>2887</v>
      </c>
      <c r="M1436" s="33">
        <f t="shared" si="338"/>
        <v>2887</v>
      </c>
      <c r="N1436" s="22">
        <f t="shared" si="33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336"/>
        <v>16</v>
      </c>
      <c r="J1437" s="5"/>
      <c r="K1437" s="5"/>
      <c r="L1437" s="33">
        <f t="shared" si="337"/>
        <v>3276</v>
      </c>
      <c r="M1437" s="33">
        <f t="shared" si="338"/>
        <v>3276</v>
      </c>
      <c r="N1437" s="22">
        <f t="shared" si="33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336"/>
        <v>16</v>
      </c>
      <c r="J1438" s="5"/>
      <c r="K1438" s="5"/>
      <c r="L1438" s="33">
        <f t="shared" si="337"/>
        <v>2921</v>
      </c>
      <c r="M1438" s="33">
        <f t="shared" si="338"/>
        <v>2921</v>
      </c>
      <c r="N1438" s="22">
        <f t="shared" si="33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336"/>
        <v>16</v>
      </c>
      <c r="J1439" s="5"/>
      <c r="K1439" s="5"/>
      <c r="L1439" s="33">
        <f t="shared" si="337"/>
        <v>3276</v>
      </c>
      <c r="M1439" s="33">
        <f t="shared" si="338"/>
        <v>3276</v>
      </c>
      <c r="N1439" s="22">
        <f t="shared" si="33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336"/>
        <v>16</v>
      </c>
      <c r="J1440" s="5"/>
      <c r="K1440" s="5"/>
      <c r="L1440" s="33">
        <f t="shared" si="337"/>
        <v>2887</v>
      </c>
      <c r="M1440" s="33">
        <f t="shared" si="338"/>
        <v>2887</v>
      </c>
      <c r="N1440" s="22">
        <f t="shared" si="33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336"/>
        <v>24</v>
      </c>
      <c r="J1441" s="5"/>
      <c r="K1441" s="5"/>
      <c r="L1441" s="33">
        <f t="shared" si="337"/>
        <v>2906</v>
      </c>
      <c r="M1441" s="33">
        <f t="shared" si="338"/>
        <v>2906</v>
      </c>
      <c r="N1441" s="22">
        <f t="shared" si="33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336"/>
        <v>24</v>
      </c>
      <c r="J1442" s="5"/>
      <c r="K1442" s="5"/>
      <c r="L1442" s="33">
        <f t="shared" si="337"/>
        <v>3750</v>
      </c>
      <c r="M1442" s="33">
        <f t="shared" si="338"/>
        <v>3750</v>
      </c>
      <c r="N1442" s="22">
        <f t="shared" si="33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336"/>
        <v>24</v>
      </c>
      <c r="J1443" s="5"/>
      <c r="K1443" s="5"/>
      <c r="L1443" s="33">
        <f t="shared" si="337"/>
        <v>5243</v>
      </c>
      <c r="M1443" s="33">
        <f t="shared" si="338"/>
        <v>5243</v>
      </c>
      <c r="N1443" s="22">
        <f t="shared" si="33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336"/>
        <v>16</v>
      </c>
      <c r="J1444" s="5"/>
      <c r="K1444" s="5"/>
      <c r="L1444" s="33">
        <f t="shared" si="337"/>
        <v>2921</v>
      </c>
      <c r="M1444" s="33">
        <f t="shared" si="338"/>
        <v>2921</v>
      </c>
      <c r="N1444" s="22">
        <f t="shared" si="33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336"/>
        <v>16</v>
      </c>
      <c r="J1445" s="5"/>
      <c r="K1445" s="5"/>
      <c r="L1445" s="33">
        <f t="shared" si="337"/>
        <v>2887</v>
      </c>
      <c r="M1445" s="33">
        <f t="shared" si="338"/>
        <v>2887</v>
      </c>
      <c r="N1445" s="22">
        <f t="shared" si="33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336"/>
        <v>16</v>
      </c>
      <c r="J1446" s="5"/>
      <c r="K1446" s="5"/>
      <c r="L1446" s="33">
        <f t="shared" si="337"/>
        <v>3276</v>
      </c>
      <c r="M1446" s="33">
        <f t="shared" si="338"/>
        <v>3276</v>
      </c>
      <c r="N1446" s="22">
        <f t="shared" si="33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336"/>
        <v>16</v>
      </c>
      <c r="J1447" s="5"/>
      <c r="K1447" s="5"/>
      <c r="L1447" s="33">
        <f t="shared" si="337"/>
        <v>2500</v>
      </c>
      <c r="M1447" s="33">
        <f t="shared" si="338"/>
        <v>2500</v>
      </c>
      <c r="N1447" s="22">
        <f t="shared" si="33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340">C1448*(1-G1448)</f>
        <v>16</v>
      </c>
      <c r="J1448" s="5"/>
      <c r="K1448" s="5"/>
      <c r="L1448" s="33">
        <f t="shared" ref="L1448:L1462" si="341">D1448*(1-G1448)</f>
        <v>1937</v>
      </c>
      <c r="M1448" s="33">
        <f t="shared" ref="M1448:M1462" si="342">IF(J1448="",L1448,(D1448/C1448)*J1448)</f>
        <v>1937</v>
      </c>
      <c r="N1448" s="22">
        <f t="shared" ref="N1448:N1462" si="34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340"/>
        <v>16</v>
      </c>
      <c r="J1449" s="5"/>
      <c r="K1449" s="5"/>
      <c r="L1449" s="33">
        <f t="shared" si="341"/>
        <v>1937</v>
      </c>
      <c r="M1449" s="33">
        <f t="shared" si="342"/>
        <v>1937</v>
      </c>
      <c r="N1449" s="22">
        <f t="shared" si="34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340"/>
        <v>16</v>
      </c>
      <c r="J1450" s="5"/>
      <c r="K1450" s="5"/>
      <c r="L1450" s="33">
        <f t="shared" si="341"/>
        <v>2500</v>
      </c>
      <c r="M1450" s="33">
        <f t="shared" si="342"/>
        <v>2500</v>
      </c>
      <c r="N1450" s="22">
        <f t="shared" si="34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340"/>
        <v>16</v>
      </c>
      <c r="J1451" s="5"/>
      <c r="K1451" s="5"/>
      <c r="L1451" s="33">
        <f t="shared" si="341"/>
        <v>3495</v>
      </c>
      <c r="M1451" s="33">
        <f t="shared" si="342"/>
        <v>3495</v>
      </c>
      <c r="N1451" s="22">
        <f t="shared" si="34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340"/>
        <v>16</v>
      </c>
      <c r="J1452" s="5"/>
      <c r="K1452" s="5"/>
      <c r="L1452" s="33">
        <f t="shared" si="341"/>
        <v>2500</v>
      </c>
      <c r="M1452" s="33">
        <f t="shared" si="342"/>
        <v>2500</v>
      </c>
      <c r="N1452" s="22">
        <f t="shared" si="34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340"/>
        <v>16</v>
      </c>
      <c r="J1453" s="5"/>
      <c r="K1453" s="5"/>
      <c r="L1453" s="33">
        <f t="shared" si="341"/>
        <v>1937</v>
      </c>
      <c r="M1453" s="33">
        <f t="shared" si="342"/>
        <v>1937</v>
      </c>
      <c r="N1453" s="22">
        <f t="shared" si="34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340"/>
        <v>16</v>
      </c>
      <c r="J1454" s="5"/>
      <c r="K1454" s="5"/>
      <c r="L1454" s="33">
        <f t="shared" si="341"/>
        <v>1937</v>
      </c>
      <c r="M1454" s="33">
        <f t="shared" si="342"/>
        <v>1937</v>
      </c>
      <c r="N1454" s="22">
        <f t="shared" si="34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340"/>
        <v>16</v>
      </c>
      <c r="J1455" s="5"/>
      <c r="K1455" s="5"/>
      <c r="L1455" s="33">
        <f t="shared" si="341"/>
        <v>2500</v>
      </c>
      <c r="M1455" s="33">
        <f t="shared" si="342"/>
        <v>2500</v>
      </c>
      <c r="N1455" s="22">
        <f t="shared" si="34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340"/>
        <v>16</v>
      </c>
      <c r="J1456" s="5"/>
      <c r="K1456" s="5"/>
      <c r="L1456" s="33">
        <f t="shared" si="341"/>
        <v>3495</v>
      </c>
      <c r="M1456" s="33">
        <f t="shared" si="342"/>
        <v>3495</v>
      </c>
      <c r="N1456" s="22">
        <f t="shared" si="34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340"/>
        <v>16</v>
      </c>
      <c r="J1457" s="5"/>
      <c r="K1457" s="5"/>
      <c r="L1457" s="33">
        <f t="shared" si="341"/>
        <v>2921</v>
      </c>
      <c r="M1457" s="33">
        <f t="shared" si="342"/>
        <v>2921</v>
      </c>
      <c r="N1457" s="22">
        <f t="shared" si="34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340"/>
        <v>8</v>
      </c>
      <c r="J1458" s="5"/>
      <c r="K1458" s="5"/>
      <c r="L1458" s="33">
        <f t="shared" si="341"/>
        <v>1461</v>
      </c>
      <c r="M1458" s="33">
        <f t="shared" si="342"/>
        <v>1461</v>
      </c>
      <c r="N1458" s="22">
        <f t="shared" si="34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340"/>
        <v>8</v>
      </c>
      <c r="J1459" s="5"/>
      <c r="K1459" s="5"/>
      <c r="L1459" s="33">
        <f t="shared" si="341"/>
        <v>1250</v>
      </c>
      <c r="M1459" s="33">
        <f t="shared" si="342"/>
        <v>1250</v>
      </c>
      <c r="N1459" s="22">
        <f t="shared" si="34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340"/>
        <v>8</v>
      </c>
      <c r="J1460" s="5"/>
      <c r="K1460" s="5"/>
      <c r="L1460" s="33">
        <f t="shared" si="341"/>
        <v>1250</v>
      </c>
      <c r="M1460" s="33">
        <f t="shared" si="342"/>
        <v>1250</v>
      </c>
      <c r="N1460" s="22">
        <f t="shared" si="34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340"/>
        <v>8</v>
      </c>
      <c r="J1461" s="5"/>
      <c r="K1461" s="5"/>
      <c r="L1461" s="33">
        <f t="shared" si="341"/>
        <v>1638</v>
      </c>
      <c r="M1461" s="33">
        <f t="shared" si="342"/>
        <v>1638</v>
      </c>
      <c r="N1461" s="22">
        <f t="shared" si="34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340"/>
        <v>16</v>
      </c>
      <c r="J1462" s="5"/>
      <c r="K1462" s="5"/>
      <c r="L1462" s="33">
        <f t="shared" si="341"/>
        <v>3495</v>
      </c>
      <c r="M1462" s="33">
        <f t="shared" si="342"/>
        <v>3495</v>
      </c>
      <c r="N1462" s="22">
        <f t="shared" si="34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344">C1465*(1-G1465)</f>
        <v>9.6000000000000085</v>
      </c>
      <c r="J1465" s="5"/>
      <c r="K1465" s="5"/>
      <c r="L1465" s="33">
        <f t="shared" ref="L1465:L1473" si="345">D1465*(1-G1465)</f>
        <v>0</v>
      </c>
      <c r="M1465" s="33">
        <f t="shared" ref="M1465:M1473" si="346">IF(J1465="",L1465,(D1465/C1465)*J1465)</f>
        <v>0</v>
      </c>
      <c r="N1465" s="22">
        <f t="shared" ref="N1465:N1473" si="34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344"/>
        <v>1.6000000000000014</v>
      </c>
      <c r="J1466" s="5"/>
      <c r="K1466" s="5"/>
      <c r="L1466" s="33">
        <f t="shared" si="345"/>
        <v>0</v>
      </c>
      <c r="M1466" s="33">
        <f t="shared" si="346"/>
        <v>0</v>
      </c>
      <c r="N1466" s="22">
        <f t="shared" si="34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344"/>
        <v>3.2000000000000028</v>
      </c>
      <c r="J1467" s="5"/>
      <c r="K1467" s="5"/>
      <c r="L1467" s="33">
        <f t="shared" si="345"/>
        <v>0</v>
      </c>
      <c r="M1467" s="33">
        <f t="shared" si="346"/>
        <v>0</v>
      </c>
      <c r="N1467" s="22">
        <f t="shared" si="34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344"/>
        <v>7.9999999999999982</v>
      </c>
      <c r="J1468" s="5"/>
      <c r="K1468" s="5"/>
      <c r="L1468" s="33">
        <f t="shared" si="345"/>
        <v>0</v>
      </c>
      <c r="M1468" s="33">
        <f t="shared" si="346"/>
        <v>0</v>
      </c>
      <c r="N1468" s="22">
        <f t="shared" si="34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344"/>
        <v>7.9999999999999982</v>
      </c>
      <c r="J1469" s="5"/>
      <c r="K1469" s="5"/>
      <c r="L1469" s="33">
        <f t="shared" si="345"/>
        <v>0</v>
      </c>
      <c r="M1469" s="33">
        <f t="shared" si="346"/>
        <v>0</v>
      </c>
      <c r="N1469" s="22">
        <f t="shared" si="34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344"/>
        <v>7.9999999999999982</v>
      </c>
      <c r="J1470" s="5"/>
      <c r="K1470" s="5"/>
      <c r="L1470" s="33">
        <f t="shared" si="345"/>
        <v>0</v>
      </c>
      <c r="M1470" s="33">
        <f t="shared" si="346"/>
        <v>0</v>
      </c>
      <c r="N1470" s="22">
        <f t="shared" si="34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344"/>
        <v>136</v>
      </c>
      <c r="J1471" s="5"/>
      <c r="K1471" s="5"/>
      <c r="L1471" s="33">
        <f t="shared" si="345"/>
        <v>0</v>
      </c>
      <c r="M1471" s="33">
        <f t="shared" si="346"/>
        <v>0</v>
      </c>
      <c r="N1471" s="22">
        <f t="shared" si="34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344"/>
        <v>136</v>
      </c>
      <c r="J1472" s="5"/>
      <c r="K1472" s="5"/>
      <c r="L1472" s="33">
        <f t="shared" si="345"/>
        <v>0</v>
      </c>
      <c r="M1472" s="33">
        <f t="shared" si="346"/>
        <v>0</v>
      </c>
      <c r="N1472" s="22">
        <f t="shared" si="34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344"/>
        <v>136</v>
      </c>
      <c r="J1473" s="5"/>
      <c r="K1473" s="5"/>
      <c r="L1473" s="33">
        <f t="shared" si="345"/>
        <v>0</v>
      </c>
      <c r="M1473" s="33">
        <f t="shared" si="346"/>
        <v>0</v>
      </c>
      <c r="N1473" s="22">
        <f t="shared" si="34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348">C1475*(1-G1475)</f>
        <v>576</v>
      </c>
      <c r="J1475" s="5"/>
      <c r="K1475" s="5"/>
      <c r="L1475" s="33">
        <f t="shared" ref="L1475:L1482" si="349">D1475*(1-G1475)</f>
        <v>0</v>
      </c>
      <c r="M1475" s="33">
        <f t="shared" ref="M1475:M1482" si="350">IF(J1475="",L1475,(D1475/C1475)*J1475)</f>
        <v>0</v>
      </c>
      <c r="N1475" s="22">
        <f t="shared" ref="N1475:N1482" si="35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348"/>
        <v>4800</v>
      </c>
      <c r="J1476" s="5"/>
      <c r="K1476" s="5"/>
      <c r="L1476" s="33">
        <f t="shared" si="349"/>
        <v>0</v>
      </c>
      <c r="M1476" s="33">
        <f t="shared" si="350"/>
        <v>0</v>
      </c>
      <c r="N1476" s="22">
        <f t="shared" si="35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348"/>
        <v>1920</v>
      </c>
      <c r="J1477" s="5"/>
      <c r="K1477" s="5"/>
      <c r="L1477" s="33">
        <f t="shared" si="349"/>
        <v>0</v>
      </c>
      <c r="M1477" s="33">
        <f t="shared" si="350"/>
        <v>0</v>
      </c>
      <c r="N1477" s="22">
        <f t="shared" si="35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348"/>
        <v>2600</v>
      </c>
      <c r="J1478" s="5"/>
      <c r="K1478" s="5"/>
      <c r="L1478" s="33">
        <f t="shared" si="349"/>
        <v>0</v>
      </c>
      <c r="M1478" s="33">
        <f t="shared" si="350"/>
        <v>0</v>
      </c>
      <c r="N1478" s="22">
        <f t="shared" si="35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348"/>
        <v>312</v>
      </c>
      <c r="J1479" s="5"/>
      <c r="K1479" s="5"/>
      <c r="L1479" s="33">
        <f t="shared" si="349"/>
        <v>0</v>
      </c>
      <c r="M1479" s="33">
        <f t="shared" si="350"/>
        <v>0</v>
      </c>
      <c r="N1479" s="22">
        <f t="shared" si="35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348"/>
        <v>520</v>
      </c>
      <c r="J1480" s="5"/>
      <c r="K1480" s="5"/>
      <c r="L1480" s="33">
        <f t="shared" si="349"/>
        <v>0</v>
      </c>
      <c r="M1480" s="33">
        <f t="shared" si="350"/>
        <v>0</v>
      </c>
      <c r="N1480" s="22">
        <f t="shared" si="35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348"/>
        <v>8</v>
      </c>
      <c r="J1481" s="5"/>
      <c r="K1481" s="5"/>
      <c r="L1481" s="33">
        <f t="shared" si="349"/>
        <v>0</v>
      </c>
      <c r="M1481" s="33">
        <f t="shared" si="350"/>
        <v>0</v>
      </c>
      <c r="N1481" s="22">
        <f t="shared" si="35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348"/>
        <v>8</v>
      </c>
      <c r="J1482" s="5"/>
      <c r="K1482" s="5"/>
      <c r="L1482" s="33">
        <f t="shared" si="349"/>
        <v>0</v>
      </c>
      <c r="M1482" s="33">
        <f t="shared" si="350"/>
        <v>0</v>
      </c>
      <c r="N1482" s="22">
        <f t="shared" si="35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 t="shared" ref="I1484:I1487" si="352">C1484*(1-G1484)</f>
        <v>43.2</v>
      </c>
      <c r="J1484" s="5"/>
      <c r="K1484" s="5"/>
      <c r="L1484" s="33">
        <f t="shared" ref="L1484:L1487" si="353">D1484*(1-G1484)</f>
        <v>0</v>
      </c>
      <c r="M1484" s="33">
        <f t="shared" ref="M1484:M1487" si="354">IF(J1484="",L1484,(D1484/C1484)*J1484)</f>
        <v>0</v>
      </c>
      <c r="N1484" s="22">
        <f t="shared" ref="N1484:N1487" si="355"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 t="shared" si="352"/>
        <v>360.00000000000006</v>
      </c>
      <c r="J1485" s="5"/>
      <c r="K1485" s="5"/>
      <c r="L1485" s="33">
        <f t="shared" si="353"/>
        <v>0</v>
      </c>
      <c r="M1485" s="33">
        <f t="shared" si="354"/>
        <v>0</v>
      </c>
      <c r="N1485" s="22">
        <f t="shared" si="355"/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 t="shared" si="352"/>
        <v>43.2</v>
      </c>
      <c r="J1486" s="5"/>
      <c r="K1486" s="5"/>
      <c r="L1486" s="33">
        <f t="shared" si="353"/>
        <v>0</v>
      </c>
      <c r="M1486" s="33">
        <f t="shared" si="354"/>
        <v>0</v>
      </c>
      <c r="N1486" s="22">
        <f t="shared" si="355"/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 t="shared" si="352"/>
        <v>360.00000000000006</v>
      </c>
      <c r="J1487" s="5"/>
      <c r="K1487" s="5"/>
      <c r="L1487" s="33">
        <f t="shared" si="353"/>
        <v>0</v>
      </c>
      <c r="M1487" s="33">
        <f t="shared" si="354"/>
        <v>0</v>
      </c>
      <c r="N1487" s="22">
        <f t="shared" si="355"/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 t="shared" ref="I1489:I1493" si="356">C1489*(1-G1489)</f>
        <v>43.2</v>
      </c>
      <c r="J1489" s="5"/>
      <c r="K1489" s="5"/>
      <c r="L1489" s="33">
        <f t="shared" ref="L1489:L1493" si="357">D1489*(1-G1489)</f>
        <v>0</v>
      </c>
      <c r="M1489" s="33">
        <f t="shared" ref="M1489:M1493" si="358">IF(J1489="",L1489,(D1489/C1489)*J1489)</f>
        <v>0</v>
      </c>
      <c r="N1489" s="22">
        <f t="shared" ref="N1489:N1493" si="359"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 t="shared" si="356"/>
        <v>144.00000000000003</v>
      </c>
      <c r="J1490" s="5"/>
      <c r="K1490" s="5"/>
      <c r="L1490" s="33">
        <f t="shared" si="357"/>
        <v>0</v>
      </c>
      <c r="M1490" s="33">
        <f t="shared" si="358"/>
        <v>0</v>
      </c>
      <c r="N1490" s="22">
        <f t="shared" si="359"/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 t="shared" si="356"/>
        <v>360.00000000000006</v>
      </c>
      <c r="J1491" s="5"/>
      <c r="K1491" s="5"/>
      <c r="L1491" s="33">
        <f t="shared" si="357"/>
        <v>0</v>
      </c>
      <c r="M1491" s="33">
        <f t="shared" si="358"/>
        <v>0</v>
      </c>
      <c r="N1491" s="22">
        <f t="shared" si="359"/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 t="shared" si="356"/>
        <v>43.2</v>
      </c>
      <c r="J1492" s="5"/>
      <c r="K1492" s="5"/>
      <c r="L1492" s="33">
        <f t="shared" si="357"/>
        <v>0</v>
      </c>
      <c r="M1492" s="33">
        <f t="shared" si="358"/>
        <v>0</v>
      </c>
      <c r="N1492" s="22">
        <f t="shared" si="359"/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 t="shared" si="356"/>
        <v>360.00000000000006</v>
      </c>
      <c r="J1493" s="5"/>
      <c r="K1493" s="5"/>
      <c r="L1493" s="33">
        <f t="shared" si="357"/>
        <v>0</v>
      </c>
      <c r="M1493" s="33">
        <f t="shared" si="358"/>
        <v>0</v>
      </c>
      <c r="N1493" s="22">
        <f t="shared" si="359"/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360">C1495*(1-G1495)</f>
        <v>43.2</v>
      </c>
      <c r="J1495" s="5"/>
      <c r="K1495" s="5"/>
      <c r="L1495" s="33">
        <f t="shared" ref="L1495:L1506" si="361">D1495*(1-G1495)</f>
        <v>0</v>
      </c>
      <c r="M1495" s="33">
        <f t="shared" ref="M1495:M1506" si="362">IF(J1495="",L1495,(D1495/C1495)*J1495)</f>
        <v>0</v>
      </c>
      <c r="N1495" s="22">
        <f t="shared" ref="N1495:N1506" si="363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360"/>
        <v>144.00000000000003</v>
      </c>
      <c r="J1496" s="5"/>
      <c r="K1496" s="5"/>
      <c r="L1496" s="33">
        <f t="shared" si="361"/>
        <v>0</v>
      </c>
      <c r="M1496" s="33">
        <f t="shared" si="362"/>
        <v>0</v>
      </c>
      <c r="N1496" s="22">
        <f t="shared" si="363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360"/>
        <v>360.00000000000006</v>
      </c>
      <c r="J1497" s="5"/>
      <c r="K1497" s="5"/>
      <c r="L1497" s="33">
        <f t="shared" si="361"/>
        <v>0</v>
      </c>
      <c r="M1497" s="33">
        <f t="shared" si="362"/>
        <v>0</v>
      </c>
      <c r="N1497" s="22">
        <f t="shared" si="363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360"/>
        <v>43.2</v>
      </c>
      <c r="J1498" s="5"/>
      <c r="K1498" s="5"/>
      <c r="L1498" s="33">
        <f t="shared" si="361"/>
        <v>0</v>
      </c>
      <c r="M1498" s="33">
        <f t="shared" si="362"/>
        <v>0</v>
      </c>
      <c r="N1498" s="22">
        <f t="shared" si="363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360"/>
        <v>144.00000000000003</v>
      </c>
      <c r="J1499" s="5"/>
      <c r="K1499" s="5"/>
      <c r="L1499" s="33">
        <f t="shared" si="361"/>
        <v>0</v>
      </c>
      <c r="M1499" s="33">
        <f t="shared" si="362"/>
        <v>0</v>
      </c>
      <c r="N1499" s="22">
        <f t="shared" si="363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360"/>
        <v>360.00000000000006</v>
      </c>
      <c r="J1500" s="5"/>
      <c r="K1500" s="5"/>
      <c r="L1500" s="33">
        <f t="shared" si="361"/>
        <v>0</v>
      </c>
      <c r="M1500" s="33">
        <f t="shared" si="362"/>
        <v>0</v>
      </c>
      <c r="N1500" s="22">
        <f t="shared" si="363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360"/>
        <v>43.2</v>
      </c>
      <c r="J1501" s="5"/>
      <c r="K1501" s="5"/>
      <c r="L1501" s="33">
        <f t="shared" si="361"/>
        <v>0</v>
      </c>
      <c r="M1501" s="33">
        <f t="shared" si="362"/>
        <v>0</v>
      </c>
      <c r="N1501" s="22">
        <f t="shared" si="363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360"/>
        <v>144.00000000000003</v>
      </c>
      <c r="J1502" s="5"/>
      <c r="K1502" s="5"/>
      <c r="L1502" s="33">
        <f t="shared" si="361"/>
        <v>0</v>
      </c>
      <c r="M1502" s="33">
        <f t="shared" si="362"/>
        <v>0</v>
      </c>
      <c r="N1502" s="22">
        <f t="shared" si="363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360"/>
        <v>360.00000000000006</v>
      </c>
      <c r="J1503" s="5"/>
      <c r="K1503" s="5"/>
      <c r="L1503" s="33">
        <f t="shared" si="361"/>
        <v>0</v>
      </c>
      <c r="M1503" s="33">
        <f t="shared" si="362"/>
        <v>0</v>
      </c>
      <c r="N1503" s="22">
        <f t="shared" si="363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360"/>
        <v>43.2</v>
      </c>
      <c r="J1504" s="5"/>
      <c r="K1504" s="5"/>
      <c r="L1504" s="33">
        <f t="shared" si="361"/>
        <v>0</v>
      </c>
      <c r="M1504" s="33">
        <f t="shared" si="362"/>
        <v>0</v>
      </c>
      <c r="N1504" s="22">
        <f t="shared" si="363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360"/>
        <v>360.00000000000006</v>
      </c>
      <c r="J1505" s="5"/>
      <c r="K1505" s="5"/>
      <c r="L1505" s="33">
        <f t="shared" si="361"/>
        <v>0</v>
      </c>
      <c r="M1505" s="33">
        <f t="shared" si="362"/>
        <v>0</v>
      </c>
      <c r="N1505" s="22">
        <f t="shared" si="363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360"/>
        <v>144.00000000000003</v>
      </c>
      <c r="J1506" s="5"/>
      <c r="K1506" s="5"/>
      <c r="L1506" s="33">
        <f t="shared" si="361"/>
        <v>0</v>
      </c>
      <c r="M1506" s="33">
        <f t="shared" si="362"/>
        <v>0</v>
      </c>
      <c r="N1506" s="22">
        <f t="shared" si="363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 t="shared" ref="I1508" si="364">C1508*(1-G1508)</f>
        <v>280</v>
      </c>
      <c r="J1508" s="5"/>
      <c r="K1508" s="5"/>
      <c r="L1508" s="33">
        <f t="shared" ref="L1508" si="365">D1508*(1-G1508)</f>
        <v>0</v>
      </c>
      <c r="M1508" s="33">
        <f t="shared" ref="M1508" si="366">IF(J1508="",L1508,(D1508/C1508)*J1508)</f>
        <v>0</v>
      </c>
      <c r="N1508" s="22">
        <f t="shared" ref="N1508" si="367"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 t="shared" ref="I1510:I1514" si="368">C1510*(1-G1510)</f>
        <v>136</v>
      </c>
      <c r="J1510" s="5"/>
      <c r="K1510" s="5"/>
      <c r="L1510" s="33">
        <f t="shared" ref="L1510:L1514" si="369">D1510*(1-G1510)</f>
        <v>0</v>
      </c>
      <c r="M1510" s="33">
        <f t="shared" ref="M1510:M1514" si="370">IF(J1510="",L1510,(D1510/C1510)*J1510)</f>
        <v>0</v>
      </c>
      <c r="N1510" s="22">
        <f t="shared" ref="N1510:N1514" si="371"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 t="shared" si="368"/>
        <v>20</v>
      </c>
      <c r="J1511" s="5"/>
      <c r="K1511" s="5"/>
      <c r="L1511" s="33">
        <f t="shared" si="369"/>
        <v>0</v>
      </c>
      <c r="M1511" s="33">
        <f t="shared" si="370"/>
        <v>0</v>
      </c>
      <c r="N1511" s="22">
        <f t="shared" si="371"/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 t="shared" si="368"/>
        <v>60</v>
      </c>
      <c r="J1512" s="5"/>
      <c r="K1512" s="5"/>
      <c r="L1512" s="33">
        <f t="shared" si="369"/>
        <v>0</v>
      </c>
      <c r="M1512" s="33">
        <f t="shared" si="370"/>
        <v>0</v>
      </c>
      <c r="N1512" s="22">
        <f t="shared" si="371"/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 t="shared" si="368"/>
        <v>120</v>
      </c>
      <c r="J1513" s="5"/>
      <c r="K1513" s="5"/>
      <c r="L1513" s="33">
        <f t="shared" si="369"/>
        <v>0</v>
      </c>
      <c r="M1513" s="33">
        <f t="shared" si="370"/>
        <v>0</v>
      </c>
      <c r="N1513" s="22">
        <f t="shared" si="371"/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 t="shared" si="368"/>
        <v>120</v>
      </c>
      <c r="J1514" s="5"/>
      <c r="K1514" s="5"/>
      <c r="L1514" s="33">
        <f t="shared" si="369"/>
        <v>0</v>
      </c>
      <c r="M1514" s="33">
        <f t="shared" si="370"/>
        <v>0</v>
      </c>
      <c r="N1514" s="22">
        <f t="shared" si="371"/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372">C1524*(1-G1524)</f>
        <v>480</v>
      </c>
      <c r="J1524" s="5"/>
      <c r="K1524" s="5"/>
      <c r="L1524" s="33">
        <f t="shared" ref="L1524:L1542" si="373">D1524*(1-G1524)</f>
        <v>0</v>
      </c>
      <c r="M1524" s="33">
        <f t="shared" ref="M1524:M1542" si="374">IF(J1524="",L1524,(D1524/C1524)*J1524)</f>
        <v>0</v>
      </c>
      <c r="N1524" s="22">
        <f t="shared" ref="N1524:N1542" si="375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372"/>
        <v>480</v>
      </c>
      <c r="J1525" s="5"/>
      <c r="K1525" s="5"/>
      <c r="L1525" s="33">
        <f t="shared" si="373"/>
        <v>0</v>
      </c>
      <c r="M1525" s="33">
        <f t="shared" si="374"/>
        <v>0</v>
      </c>
      <c r="N1525" s="22">
        <f t="shared" si="375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372"/>
        <v>480</v>
      </c>
      <c r="J1526" s="5"/>
      <c r="K1526" s="5"/>
      <c r="L1526" s="33">
        <f t="shared" si="373"/>
        <v>0</v>
      </c>
      <c r="M1526" s="33">
        <f t="shared" si="374"/>
        <v>0</v>
      </c>
      <c r="N1526" s="22">
        <f t="shared" si="375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372"/>
        <v>80</v>
      </c>
      <c r="J1527" s="5"/>
      <c r="K1527" s="5"/>
      <c r="L1527" s="33">
        <f t="shared" si="373"/>
        <v>0</v>
      </c>
      <c r="M1527" s="33">
        <f t="shared" si="374"/>
        <v>0</v>
      </c>
      <c r="N1527" s="22">
        <f t="shared" si="375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372"/>
        <v>80</v>
      </c>
      <c r="J1528" s="5"/>
      <c r="K1528" s="5"/>
      <c r="L1528" s="33">
        <f t="shared" si="373"/>
        <v>0</v>
      </c>
      <c r="M1528" s="33">
        <f t="shared" si="374"/>
        <v>0</v>
      </c>
      <c r="N1528" s="22">
        <f t="shared" si="375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372"/>
        <v>80</v>
      </c>
      <c r="J1529" s="5"/>
      <c r="K1529" s="5"/>
      <c r="L1529" s="33">
        <f t="shared" si="373"/>
        <v>0</v>
      </c>
      <c r="M1529" s="33">
        <f t="shared" si="374"/>
        <v>0</v>
      </c>
      <c r="N1529" s="22">
        <f t="shared" si="375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372"/>
        <v>8</v>
      </c>
      <c r="J1530" s="5"/>
      <c r="K1530" s="5"/>
      <c r="L1530" s="33">
        <f t="shared" si="373"/>
        <v>0</v>
      </c>
      <c r="M1530" s="33">
        <f t="shared" si="374"/>
        <v>0</v>
      </c>
      <c r="N1530" s="22">
        <f t="shared" si="375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372"/>
        <v>8</v>
      </c>
      <c r="J1531" s="5"/>
      <c r="K1531" s="5"/>
      <c r="L1531" s="33">
        <f t="shared" si="373"/>
        <v>0</v>
      </c>
      <c r="M1531" s="33">
        <f t="shared" si="374"/>
        <v>0</v>
      </c>
      <c r="N1531" s="22">
        <f t="shared" si="375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372"/>
        <v>8</v>
      </c>
      <c r="J1532" s="5"/>
      <c r="K1532" s="5"/>
      <c r="L1532" s="33">
        <f t="shared" si="373"/>
        <v>0</v>
      </c>
      <c r="M1532" s="33">
        <f t="shared" si="374"/>
        <v>0</v>
      </c>
      <c r="N1532" s="22">
        <f t="shared" si="375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372"/>
        <v>16</v>
      </c>
      <c r="J1533" s="5"/>
      <c r="K1533" s="5"/>
      <c r="L1533" s="33">
        <f t="shared" si="373"/>
        <v>0</v>
      </c>
      <c r="M1533" s="33">
        <f t="shared" si="374"/>
        <v>0</v>
      </c>
      <c r="N1533" s="22">
        <f t="shared" si="375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372"/>
        <v>40</v>
      </c>
      <c r="J1534" s="5"/>
      <c r="K1534" s="5"/>
      <c r="L1534" s="33">
        <f t="shared" si="373"/>
        <v>0</v>
      </c>
      <c r="M1534" s="33">
        <f t="shared" si="374"/>
        <v>0</v>
      </c>
      <c r="N1534" s="22">
        <f t="shared" si="375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372"/>
        <v>30</v>
      </c>
      <c r="J1535" s="5"/>
      <c r="K1535" s="5"/>
      <c r="L1535" s="33">
        <f t="shared" si="373"/>
        <v>0</v>
      </c>
      <c r="M1535" s="33">
        <f t="shared" si="374"/>
        <v>0</v>
      </c>
      <c r="N1535" s="22">
        <f t="shared" si="375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372"/>
        <v>30</v>
      </c>
      <c r="J1536" s="5"/>
      <c r="K1536" s="5"/>
      <c r="L1536" s="33">
        <f t="shared" si="373"/>
        <v>0</v>
      </c>
      <c r="M1536" s="33">
        <f t="shared" si="374"/>
        <v>0</v>
      </c>
      <c r="N1536" s="22">
        <f t="shared" si="375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372"/>
        <v>30</v>
      </c>
      <c r="J1537" s="5"/>
      <c r="K1537" s="5"/>
      <c r="L1537" s="33">
        <f t="shared" si="373"/>
        <v>0</v>
      </c>
      <c r="M1537" s="33">
        <f t="shared" si="374"/>
        <v>0</v>
      </c>
      <c r="N1537" s="22">
        <f t="shared" si="375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372"/>
        <v>30</v>
      </c>
      <c r="J1538" s="5"/>
      <c r="K1538" s="5"/>
      <c r="L1538" s="33">
        <f t="shared" si="373"/>
        <v>0</v>
      </c>
      <c r="M1538" s="33">
        <f t="shared" si="374"/>
        <v>0</v>
      </c>
      <c r="N1538" s="22">
        <f t="shared" si="375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372"/>
        <v>16</v>
      </c>
      <c r="J1539" s="5"/>
      <c r="K1539" s="5"/>
      <c r="L1539" s="33">
        <f t="shared" si="373"/>
        <v>0</v>
      </c>
      <c r="M1539" s="33">
        <f t="shared" si="374"/>
        <v>0</v>
      </c>
      <c r="N1539" s="22">
        <f t="shared" si="375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372"/>
        <v>16</v>
      </c>
      <c r="J1540" s="5"/>
      <c r="K1540" s="5"/>
      <c r="L1540" s="33">
        <f t="shared" si="373"/>
        <v>0</v>
      </c>
      <c r="M1540" s="33">
        <f t="shared" si="374"/>
        <v>0</v>
      </c>
      <c r="N1540" s="22">
        <f t="shared" si="375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372"/>
        <v>16</v>
      </c>
      <c r="J1541" s="5"/>
      <c r="K1541" s="5"/>
      <c r="L1541" s="33">
        <f t="shared" si="373"/>
        <v>0</v>
      </c>
      <c r="M1541" s="33">
        <f t="shared" si="374"/>
        <v>0</v>
      </c>
      <c r="N1541" s="22">
        <f t="shared" si="375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372"/>
        <v>16</v>
      </c>
      <c r="J1542" s="5"/>
      <c r="K1542" s="5"/>
      <c r="L1542" s="33">
        <f t="shared" si="373"/>
        <v>0</v>
      </c>
      <c r="M1542" s="33">
        <f t="shared" si="374"/>
        <v>0</v>
      </c>
      <c r="N1542" s="22">
        <f t="shared" si="375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 t="shared" ref="I1547:I1549" si="376">C1547*(1-G1547)</f>
        <v>400</v>
      </c>
      <c r="J1547" s="5"/>
      <c r="K1547" s="5"/>
      <c r="L1547" s="33">
        <f t="shared" ref="L1547:L1549" si="377">D1547*(1-G1547)</f>
        <v>0</v>
      </c>
      <c r="M1547" s="33">
        <f t="shared" ref="M1547:M1549" si="378">IF(J1547="",L1547,(D1547/C1547)*J1547)</f>
        <v>0</v>
      </c>
      <c r="N1547" s="22">
        <f t="shared" ref="N1547:N1549" si="379"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 t="shared" si="376"/>
        <v>160</v>
      </c>
      <c r="J1548" s="5"/>
      <c r="K1548" s="5"/>
      <c r="L1548" s="33">
        <f t="shared" si="377"/>
        <v>18807</v>
      </c>
      <c r="M1548" s="33">
        <f t="shared" si="378"/>
        <v>18807</v>
      </c>
      <c r="N1548" s="22">
        <f t="shared" si="379"/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 t="shared" si="376"/>
        <v>48</v>
      </c>
      <c r="J1549" s="5"/>
      <c r="K1549" s="5"/>
      <c r="L1549" s="33">
        <f t="shared" si="377"/>
        <v>0</v>
      </c>
      <c r="M1549" s="33">
        <f t="shared" si="378"/>
        <v>0</v>
      </c>
      <c r="N1549" s="22">
        <f t="shared" si="379"/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 t="shared" ref="I1551:I1555" si="380">C1551*(1-G1551)</f>
        <v>56</v>
      </c>
      <c r="J1551" s="5"/>
      <c r="K1551" s="5"/>
      <c r="L1551" s="33">
        <f t="shared" ref="L1551:L1555" si="381">D1551*(1-G1551)</f>
        <v>8494</v>
      </c>
      <c r="M1551" s="33">
        <f t="shared" ref="M1551:M1555" si="382">IF(J1551="",L1551,(D1551/C1551)*J1551)</f>
        <v>8494</v>
      </c>
      <c r="N1551" s="22">
        <f t="shared" ref="N1551:N1555" si="383"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 t="shared" si="380"/>
        <v>56</v>
      </c>
      <c r="J1552" s="5"/>
      <c r="K1552" s="5"/>
      <c r="L1552" s="33">
        <f t="shared" si="381"/>
        <v>0</v>
      </c>
      <c r="M1552" s="33">
        <f t="shared" si="382"/>
        <v>0</v>
      </c>
      <c r="N1552" s="22">
        <f t="shared" si="383"/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 t="shared" si="380"/>
        <v>280</v>
      </c>
      <c r="J1553" s="5"/>
      <c r="K1553" s="5"/>
      <c r="L1553" s="33">
        <f t="shared" si="381"/>
        <v>0</v>
      </c>
      <c r="M1553" s="33">
        <f t="shared" si="382"/>
        <v>0</v>
      </c>
      <c r="N1553" s="22">
        <f t="shared" si="383"/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 t="shared" si="380"/>
        <v>168</v>
      </c>
      <c r="J1554" s="5"/>
      <c r="K1554" s="5"/>
      <c r="L1554" s="33">
        <f t="shared" si="381"/>
        <v>19748</v>
      </c>
      <c r="M1554" s="33">
        <f t="shared" si="382"/>
        <v>19748</v>
      </c>
      <c r="N1554" s="22">
        <f t="shared" si="383"/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 t="shared" si="380"/>
        <v>323</v>
      </c>
      <c r="J1555" s="5"/>
      <c r="K1555" s="5"/>
      <c r="L1555" s="33">
        <f t="shared" si="381"/>
        <v>57258</v>
      </c>
      <c r="M1555" s="33">
        <f t="shared" si="382"/>
        <v>57258</v>
      </c>
      <c r="N1555" s="22">
        <f t="shared" si="383"/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384">C1557*(1-G1557)</f>
        <v>39.6</v>
      </c>
      <c r="J1557" s="5"/>
      <c r="K1557" s="5"/>
      <c r="L1557" s="33">
        <f t="shared" ref="L1557:L1564" si="385">D1557*(1-G1557)</f>
        <v>6006.6</v>
      </c>
      <c r="M1557" s="33">
        <f t="shared" ref="M1557:M1564" si="386">IF(J1557="",L1557,(D1557/C1557)*J1557)</f>
        <v>6006.6</v>
      </c>
      <c r="N1557" s="22">
        <f t="shared" ref="N1557:N1564" si="387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384"/>
        <v>237.6</v>
      </c>
      <c r="J1558" s="5"/>
      <c r="K1558" s="5"/>
      <c r="L1558" s="33">
        <f t="shared" si="385"/>
        <v>27928.799999999999</v>
      </c>
      <c r="M1558" s="33">
        <f t="shared" si="386"/>
        <v>27928.799999999999</v>
      </c>
      <c r="N1558" s="22">
        <f t="shared" si="387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384"/>
        <v>39.6</v>
      </c>
      <c r="J1559" s="5"/>
      <c r="K1559" s="5"/>
      <c r="L1559" s="33">
        <f t="shared" si="385"/>
        <v>0</v>
      </c>
      <c r="M1559" s="33">
        <f t="shared" si="386"/>
        <v>0</v>
      </c>
      <c r="N1559" s="22">
        <f t="shared" si="387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384"/>
        <v>198</v>
      </c>
      <c r="J1560" s="5"/>
      <c r="K1560" s="5"/>
      <c r="L1560" s="33">
        <f t="shared" si="385"/>
        <v>0</v>
      </c>
      <c r="M1560" s="33">
        <f t="shared" si="386"/>
        <v>0</v>
      </c>
      <c r="N1560" s="22">
        <f t="shared" si="387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384"/>
        <v>164.70000000000002</v>
      </c>
      <c r="J1561" s="5"/>
      <c r="K1561" s="5"/>
      <c r="L1561" s="33">
        <f t="shared" si="385"/>
        <v>29196</v>
      </c>
      <c r="M1561" s="33">
        <f t="shared" si="386"/>
        <v>29196</v>
      </c>
      <c r="N1561" s="22">
        <f t="shared" si="387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384"/>
        <v>960</v>
      </c>
      <c r="J1562" s="5"/>
      <c r="K1562" s="5"/>
      <c r="L1562" s="33">
        <f t="shared" si="385"/>
        <v>145959</v>
      </c>
      <c r="M1562" s="33">
        <f t="shared" si="386"/>
        <v>145959</v>
      </c>
      <c r="N1562" s="22">
        <f t="shared" si="387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384"/>
        <v>440</v>
      </c>
      <c r="J1563" s="5"/>
      <c r="K1563" s="5"/>
      <c r="L1563" s="33">
        <f t="shared" si="385"/>
        <v>0</v>
      </c>
      <c r="M1563" s="33">
        <f t="shared" si="386"/>
        <v>0</v>
      </c>
      <c r="N1563" s="22">
        <f t="shared" si="387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384"/>
        <v>440</v>
      </c>
      <c r="J1564" s="5"/>
      <c r="K1564" s="5"/>
      <c r="L1564" s="33">
        <f t="shared" si="385"/>
        <v>78182</v>
      </c>
      <c r="M1564" s="33">
        <f t="shared" si="386"/>
        <v>78182</v>
      </c>
      <c r="N1564" s="22">
        <f t="shared" si="387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 t="shared" ref="I1566:I1567" si="388">C1566*(1-G1566)</f>
        <v>12</v>
      </c>
      <c r="J1566" s="5"/>
      <c r="K1566" s="5"/>
      <c r="L1566" s="33">
        <f t="shared" ref="L1566:L1567" si="389">D1566*(1-G1566)</f>
        <v>0</v>
      </c>
      <c r="M1566" s="33">
        <f t="shared" ref="M1566:M1567" si="390">IF(J1566="",L1566,(D1566/C1566)*J1566)</f>
        <v>0</v>
      </c>
      <c r="N1566" s="22">
        <f t="shared" ref="N1566:N1567" si="391"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 t="shared" si="388"/>
        <v>12</v>
      </c>
      <c r="J1567" s="5"/>
      <c r="K1567" s="5"/>
      <c r="L1567" s="33">
        <f t="shared" si="389"/>
        <v>1766.5</v>
      </c>
      <c r="M1567" s="33">
        <f t="shared" si="390"/>
        <v>1766.5</v>
      </c>
      <c r="N1567" s="22">
        <f t="shared" si="391"/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 t="shared" ref="I1569:I1573" si="392">C1569*(1-G1569)</f>
        <v>43.2</v>
      </c>
      <c r="J1569" s="5"/>
      <c r="K1569" s="5"/>
      <c r="L1569" s="33">
        <f t="shared" ref="L1569:L1573" si="393">D1569*(1-G1569)</f>
        <v>6362.1</v>
      </c>
      <c r="M1569" s="33">
        <f t="shared" ref="M1569:M1573" si="394">IF(J1569="",L1569,(D1569/C1569)*J1569)</f>
        <v>6362.1</v>
      </c>
      <c r="N1569" s="22">
        <f t="shared" ref="N1569:N1573" si="395"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 t="shared" si="392"/>
        <v>1728</v>
      </c>
      <c r="J1570" s="5"/>
      <c r="K1570" s="5"/>
      <c r="L1570" s="33">
        <f t="shared" si="393"/>
        <v>0</v>
      </c>
      <c r="M1570" s="33">
        <f t="shared" si="394"/>
        <v>0</v>
      </c>
      <c r="N1570" s="22">
        <f t="shared" si="395"/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 t="shared" si="392"/>
        <v>432</v>
      </c>
      <c r="J1571" s="5"/>
      <c r="K1571" s="5"/>
      <c r="L1571" s="33">
        <f t="shared" si="393"/>
        <v>49301.1</v>
      </c>
      <c r="M1571" s="33">
        <f t="shared" si="394"/>
        <v>49301.1</v>
      </c>
      <c r="N1571" s="22">
        <f t="shared" si="395"/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 t="shared" si="392"/>
        <v>18</v>
      </c>
      <c r="J1572" s="5"/>
      <c r="K1572" s="5"/>
      <c r="L1572" s="33">
        <f t="shared" si="393"/>
        <v>2657.25</v>
      </c>
      <c r="M1572" s="33">
        <f t="shared" si="394"/>
        <v>2657.25</v>
      </c>
      <c r="N1572" s="22">
        <f t="shared" si="395"/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 t="shared" si="392"/>
        <v>360</v>
      </c>
      <c r="J1573" s="5"/>
      <c r="K1573" s="5"/>
      <c r="L1573" s="33">
        <f t="shared" si="393"/>
        <v>0</v>
      </c>
      <c r="M1573" s="33">
        <f t="shared" si="394"/>
        <v>0</v>
      </c>
      <c r="N1573" s="22">
        <f t="shared" si="395"/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396">C1575*(1-G1575)</f>
        <v>415.8</v>
      </c>
      <c r="J1575" s="5"/>
      <c r="K1575" s="5"/>
      <c r="L1575" s="33">
        <f t="shared" ref="L1575:L1583" si="397">D1575*(1-G1575)</f>
        <v>63196.200000000004</v>
      </c>
      <c r="M1575" s="33">
        <f t="shared" ref="M1575:M1583" si="398">IF(J1575="",L1575,(D1575/C1575)*J1575)</f>
        <v>63196.200000000004</v>
      </c>
      <c r="N1575" s="22">
        <f t="shared" ref="N1575:N1583" si="399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396"/>
        <v>415.8</v>
      </c>
      <c r="J1576" s="5"/>
      <c r="K1576" s="5"/>
      <c r="L1576" s="33">
        <f t="shared" si="397"/>
        <v>48973.5</v>
      </c>
      <c r="M1576" s="33">
        <f t="shared" si="398"/>
        <v>48973.5</v>
      </c>
      <c r="N1576" s="22">
        <f t="shared" si="399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396"/>
        <v>4147.2</v>
      </c>
      <c r="J1577" s="5"/>
      <c r="K1577" s="5"/>
      <c r="L1577" s="33">
        <f t="shared" si="397"/>
        <v>0</v>
      </c>
      <c r="M1577" s="33">
        <f t="shared" si="398"/>
        <v>0</v>
      </c>
      <c r="N1577" s="22">
        <f t="shared" si="399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396"/>
        <v>159.38999999999999</v>
      </c>
      <c r="J1578" s="5"/>
      <c r="K1578" s="5"/>
      <c r="L1578" s="33">
        <f t="shared" si="397"/>
        <v>24228.66</v>
      </c>
      <c r="M1578" s="33">
        <f t="shared" si="398"/>
        <v>24228.66</v>
      </c>
      <c r="N1578" s="22">
        <f t="shared" si="399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396"/>
        <v>318.77999999999997</v>
      </c>
      <c r="J1579" s="5"/>
      <c r="K1579" s="5"/>
      <c r="L1579" s="33">
        <f t="shared" si="397"/>
        <v>37551.869999999995</v>
      </c>
      <c r="M1579" s="33">
        <f t="shared" si="398"/>
        <v>37551.869999999995</v>
      </c>
      <c r="N1579" s="22">
        <f t="shared" si="399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396"/>
        <v>1589.7599999999998</v>
      </c>
      <c r="J1580" s="5"/>
      <c r="K1580" s="5"/>
      <c r="L1580" s="33">
        <f t="shared" si="397"/>
        <v>0</v>
      </c>
      <c r="M1580" s="33">
        <f t="shared" si="398"/>
        <v>0</v>
      </c>
      <c r="N1580" s="22">
        <f t="shared" si="399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396"/>
        <v>318.77999999999997</v>
      </c>
      <c r="J1581" s="5"/>
      <c r="K1581" s="5"/>
      <c r="L1581" s="33">
        <f t="shared" si="397"/>
        <v>67753.17</v>
      </c>
      <c r="M1581" s="33">
        <f t="shared" si="398"/>
        <v>67753.17</v>
      </c>
      <c r="N1581" s="22">
        <f t="shared" si="399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396"/>
        <v>159.38999999999999</v>
      </c>
      <c r="J1582" s="5"/>
      <c r="K1582" s="5"/>
      <c r="L1582" s="33">
        <f t="shared" si="397"/>
        <v>24228.66</v>
      </c>
      <c r="M1582" s="33">
        <f t="shared" si="398"/>
        <v>24228.66</v>
      </c>
      <c r="N1582" s="22">
        <f t="shared" si="399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396"/>
        <v>159.38999999999999</v>
      </c>
      <c r="J1583" s="5"/>
      <c r="K1583" s="5"/>
      <c r="L1583" s="33">
        <f t="shared" si="397"/>
        <v>18775.59</v>
      </c>
      <c r="M1583" s="33">
        <f t="shared" si="398"/>
        <v>18775.59</v>
      </c>
      <c r="N1583" s="22">
        <f t="shared" si="399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 t="shared" ref="I1585:I1589" si="400">C1585*(1-G1585)</f>
        <v>128.4</v>
      </c>
      <c r="J1585" s="5"/>
      <c r="K1585" s="5"/>
      <c r="L1585" s="33">
        <f t="shared" ref="L1585:L1589" si="401">D1585*(1-G1585)</f>
        <v>16697.600000000002</v>
      </c>
      <c r="M1585" s="33">
        <f t="shared" ref="M1585:M1589" si="402">IF(J1585="",L1585,(D1585/C1585)*J1585)</f>
        <v>16697.600000000002</v>
      </c>
      <c r="N1585" s="22">
        <f t="shared" ref="N1585:N1589" si="403"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 t="shared" si="400"/>
        <v>32</v>
      </c>
      <c r="J1586" s="5"/>
      <c r="K1586" s="5"/>
      <c r="L1586" s="33">
        <f t="shared" si="401"/>
        <v>5661.2000000000007</v>
      </c>
      <c r="M1586" s="33">
        <f t="shared" si="402"/>
        <v>5661.2000000000007</v>
      </c>
      <c r="N1586" s="22">
        <f t="shared" si="403"/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 t="shared" si="400"/>
        <v>32</v>
      </c>
      <c r="J1587" s="5"/>
      <c r="K1587" s="5"/>
      <c r="L1587" s="33">
        <f t="shared" si="401"/>
        <v>3754</v>
      </c>
      <c r="M1587" s="33">
        <f t="shared" si="402"/>
        <v>3754</v>
      </c>
      <c r="N1587" s="22">
        <f t="shared" si="403"/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 t="shared" si="400"/>
        <v>70.400000000000006</v>
      </c>
      <c r="J1588" s="5"/>
      <c r="K1588" s="5"/>
      <c r="L1588" s="33">
        <f t="shared" si="401"/>
        <v>0</v>
      </c>
      <c r="M1588" s="33">
        <f t="shared" si="402"/>
        <v>0</v>
      </c>
      <c r="N1588" s="22">
        <f t="shared" si="403"/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 t="shared" si="400"/>
        <v>70.400000000000006</v>
      </c>
      <c r="J1589" s="5"/>
      <c r="K1589" s="5"/>
      <c r="L1589" s="33">
        <f t="shared" si="401"/>
        <v>0</v>
      </c>
      <c r="M1589" s="33">
        <f t="shared" si="402"/>
        <v>0</v>
      </c>
      <c r="N1589" s="22">
        <f t="shared" si="403"/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404">C1591*(1-G1591)</f>
        <v>64</v>
      </c>
      <c r="J1591" s="5"/>
      <c r="K1591" s="5"/>
      <c r="L1591" s="33">
        <f t="shared" ref="L1591:L1596" si="405">D1591*(1-G1591)</f>
        <v>11345</v>
      </c>
      <c r="M1591" s="33">
        <f t="shared" ref="M1591:M1596" si="406">IF(J1591="",L1591,(D1591/C1591)*J1591)</f>
        <v>11345</v>
      </c>
      <c r="N1591" s="22">
        <f t="shared" ref="N1591:N1596" si="407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404"/>
        <v>240</v>
      </c>
      <c r="J1592" s="5"/>
      <c r="K1592" s="5"/>
      <c r="L1592" s="33">
        <f t="shared" si="405"/>
        <v>0</v>
      </c>
      <c r="M1592" s="33">
        <f t="shared" si="406"/>
        <v>0</v>
      </c>
      <c r="N1592" s="22">
        <f t="shared" si="407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404"/>
        <v>960</v>
      </c>
      <c r="J1593" s="5"/>
      <c r="K1593" s="5"/>
      <c r="L1593" s="33">
        <f t="shared" si="405"/>
        <v>125093</v>
      </c>
      <c r="M1593" s="33">
        <f t="shared" si="406"/>
        <v>125093</v>
      </c>
      <c r="N1593" s="22">
        <f t="shared" si="407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404"/>
        <v>87.999999999999986</v>
      </c>
      <c r="J1594" s="5"/>
      <c r="K1594" s="5"/>
      <c r="L1594" s="33">
        <f t="shared" si="405"/>
        <v>13005.999999999996</v>
      </c>
      <c r="M1594" s="33">
        <f t="shared" si="406"/>
        <v>13005.999999999996</v>
      </c>
      <c r="N1594" s="22">
        <f t="shared" si="407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404"/>
        <v>87.999999999999986</v>
      </c>
      <c r="J1595" s="5"/>
      <c r="K1595" s="5"/>
      <c r="L1595" s="33">
        <f t="shared" si="405"/>
        <v>15199.799999999997</v>
      </c>
      <c r="M1595" s="33">
        <f t="shared" si="406"/>
        <v>15199.799999999997</v>
      </c>
      <c r="N1595" s="22">
        <f t="shared" si="407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404"/>
        <v>175.99999999999997</v>
      </c>
      <c r="J1596" s="5"/>
      <c r="K1596" s="5"/>
      <c r="L1596" s="33">
        <f t="shared" si="405"/>
        <v>0</v>
      </c>
      <c r="M1596" s="33">
        <f t="shared" si="406"/>
        <v>0</v>
      </c>
      <c r="N1596" s="22">
        <f t="shared" si="407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 t="shared" ref="I1598:I1599" si="408">C1598*(1-G1598)</f>
        <v>32</v>
      </c>
      <c r="J1598" s="5"/>
      <c r="K1598" s="5"/>
      <c r="L1598" s="33">
        <f t="shared" ref="L1598:L1599" si="409">D1598*(1-G1598)</f>
        <v>0</v>
      </c>
      <c r="M1598" s="33">
        <f t="shared" ref="M1598:M1599" si="410">IF(J1598="",L1598,(D1598/C1598)*J1598)</f>
        <v>0</v>
      </c>
      <c r="N1598" s="22">
        <f t="shared" ref="N1598:N1599" si="411"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 t="shared" si="408"/>
        <v>32</v>
      </c>
      <c r="J1599" s="5"/>
      <c r="K1599" s="5"/>
      <c r="L1599" s="33">
        <f t="shared" si="409"/>
        <v>5673</v>
      </c>
      <c r="M1599" s="33">
        <f t="shared" si="410"/>
        <v>5673</v>
      </c>
      <c r="N1599" s="22">
        <f t="shared" si="411"/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 t="shared" ref="I1601:I1602" si="412">C1601*(1-G1601)</f>
        <v>32</v>
      </c>
      <c r="J1601" s="5"/>
      <c r="K1601" s="5"/>
      <c r="L1601" s="33">
        <f t="shared" ref="L1601:L1602" si="413">D1601*(1-G1601)</f>
        <v>0</v>
      </c>
      <c r="M1601" s="33">
        <f t="shared" ref="M1601:M1602" si="414">IF(J1601="",L1601,(D1601/C1601)*J1601)</f>
        <v>0</v>
      </c>
      <c r="N1601" s="22">
        <f t="shared" ref="N1601:N1602" si="415"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 t="shared" si="412"/>
        <v>32</v>
      </c>
      <c r="J1602" s="5"/>
      <c r="K1602" s="5"/>
      <c r="L1602" s="33">
        <f t="shared" si="413"/>
        <v>5673</v>
      </c>
      <c r="M1602" s="33">
        <f t="shared" si="414"/>
        <v>5673</v>
      </c>
      <c r="N1602" s="22">
        <f t="shared" si="415"/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416">C1604*(1-G1604)</f>
        <v>4.0000000000000036</v>
      </c>
      <c r="J1604" s="5"/>
      <c r="K1604" s="5"/>
      <c r="L1604" s="33">
        <f t="shared" ref="L1604:L1613" si="417">D1604*(1-G1604)</f>
        <v>688.40000000000066</v>
      </c>
      <c r="M1604" s="33">
        <f t="shared" ref="M1604:M1613" si="418">IF(J1604="",L1604,(D1604/C1604)*J1604)</f>
        <v>688.40000000000066</v>
      </c>
      <c r="N1604" s="22">
        <f t="shared" ref="N1604:N1613" si="419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416"/>
        <v>12.000000000000011</v>
      </c>
      <c r="J1605" s="5"/>
      <c r="K1605" s="5"/>
      <c r="L1605" s="33">
        <f t="shared" si="417"/>
        <v>0</v>
      </c>
      <c r="M1605" s="33">
        <f t="shared" si="418"/>
        <v>0</v>
      </c>
      <c r="N1605" s="22">
        <f t="shared" si="419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416"/>
        <v>12.000000000000011</v>
      </c>
      <c r="J1606" s="5"/>
      <c r="K1606" s="5"/>
      <c r="L1606" s="33">
        <f t="shared" si="417"/>
        <v>1518.1000000000013</v>
      </c>
      <c r="M1606" s="33">
        <f t="shared" si="418"/>
        <v>1518.1000000000013</v>
      </c>
      <c r="N1606" s="22">
        <f t="shared" si="419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416"/>
        <v>32</v>
      </c>
      <c r="J1607" s="5"/>
      <c r="K1607" s="5"/>
      <c r="L1607" s="33">
        <f t="shared" si="417"/>
        <v>5507.2000000000007</v>
      </c>
      <c r="M1607" s="33">
        <f t="shared" si="418"/>
        <v>5507.2000000000007</v>
      </c>
      <c r="N1607" s="22">
        <f t="shared" si="419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416"/>
        <v>40</v>
      </c>
      <c r="J1608" s="5"/>
      <c r="K1608" s="5"/>
      <c r="L1608" s="33">
        <f t="shared" si="417"/>
        <v>0</v>
      </c>
      <c r="M1608" s="33">
        <f t="shared" si="418"/>
        <v>0</v>
      </c>
      <c r="N1608" s="22">
        <f t="shared" si="419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416"/>
        <v>80</v>
      </c>
      <c r="J1609" s="5"/>
      <c r="K1609" s="5"/>
      <c r="L1609" s="33">
        <f t="shared" si="417"/>
        <v>0</v>
      </c>
      <c r="M1609" s="33">
        <f t="shared" si="418"/>
        <v>0</v>
      </c>
      <c r="N1609" s="22">
        <f t="shared" si="419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416"/>
        <v>32</v>
      </c>
      <c r="J1610" s="5"/>
      <c r="K1610" s="5"/>
      <c r="L1610" s="33">
        <f t="shared" si="417"/>
        <v>4048.4</v>
      </c>
      <c r="M1610" s="33">
        <f t="shared" si="418"/>
        <v>4048.4</v>
      </c>
      <c r="N1610" s="22">
        <f t="shared" si="419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416"/>
        <v>64</v>
      </c>
      <c r="J1611" s="5"/>
      <c r="K1611" s="5"/>
      <c r="L1611" s="33">
        <f t="shared" si="417"/>
        <v>11015</v>
      </c>
      <c r="M1611" s="33">
        <f t="shared" si="418"/>
        <v>11015</v>
      </c>
      <c r="N1611" s="22">
        <f t="shared" si="419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416"/>
        <v>60</v>
      </c>
      <c r="J1612" s="5"/>
      <c r="K1612" s="5"/>
      <c r="L1612" s="33">
        <f t="shared" si="417"/>
        <v>0</v>
      </c>
      <c r="M1612" s="33">
        <f t="shared" si="418"/>
        <v>0</v>
      </c>
      <c r="N1612" s="22">
        <f t="shared" si="419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416"/>
        <v>80</v>
      </c>
      <c r="J1613" s="5"/>
      <c r="K1613" s="5"/>
      <c r="L1613" s="33">
        <f t="shared" si="417"/>
        <v>10121</v>
      </c>
      <c r="M1613" s="33">
        <f t="shared" si="418"/>
        <v>10121</v>
      </c>
      <c r="N1613" s="22">
        <f t="shared" si="419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420">C1615*(1-G1615)</f>
        <v>64</v>
      </c>
      <c r="J1615" s="5"/>
      <c r="K1615" s="5"/>
      <c r="L1615" s="33">
        <f t="shared" ref="L1615:L1623" si="421">D1615*(1-G1615)</f>
        <v>0</v>
      </c>
      <c r="M1615" s="33">
        <f t="shared" ref="M1615:M1623" si="422">IF(J1615="",L1615,(D1615/C1615)*J1615)</f>
        <v>0</v>
      </c>
      <c r="N1615" s="22">
        <f t="shared" ref="N1615:N1623" si="423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420"/>
        <v>64</v>
      </c>
      <c r="J1616" s="5"/>
      <c r="K1616" s="5"/>
      <c r="L1616" s="33">
        <f t="shared" si="421"/>
        <v>11015</v>
      </c>
      <c r="M1616" s="33">
        <f t="shared" si="422"/>
        <v>11015</v>
      </c>
      <c r="N1616" s="22">
        <f t="shared" si="423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420"/>
        <v>406</v>
      </c>
      <c r="J1617" s="5"/>
      <c r="K1617" s="5"/>
      <c r="L1617" s="33">
        <f t="shared" si="421"/>
        <v>51363</v>
      </c>
      <c r="M1617" s="33">
        <f t="shared" si="422"/>
        <v>51363</v>
      </c>
      <c r="N1617" s="22">
        <f t="shared" si="423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420"/>
        <v>80</v>
      </c>
      <c r="J1618" s="5"/>
      <c r="K1618" s="5"/>
      <c r="L1618" s="33">
        <f t="shared" si="421"/>
        <v>10424</v>
      </c>
      <c r="M1618" s="33">
        <f t="shared" si="422"/>
        <v>10424</v>
      </c>
      <c r="N1618" s="22">
        <f t="shared" si="423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420"/>
        <v>320</v>
      </c>
      <c r="J1619" s="5"/>
      <c r="K1619" s="5"/>
      <c r="L1619" s="33">
        <f t="shared" si="421"/>
        <v>37615</v>
      </c>
      <c r="M1619" s="33">
        <f t="shared" si="422"/>
        <v>37615</v>
      </c>
      <c r="N1619" s="22">
        <f t="shared" si="423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420"/>
        <v>160</v>
      </c>
      <c r="J1620" s="5"/>
      <c r="K1620" s="5"/>
      <c r="L1620" s="33">
        <f t="shared" si="421"/>
        <v>0</v>
      </c>
      <c r="M1620" s="33">
        <f t="shared" si="422"/>
        <v>0</v>
      </c>
      <c r="N1620" s="22">
        <f t="shared" si="423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420"/>
        <v>72</v>
      </c>
      <c r="J1621" s="5"/>
      <c r="K1621" s="5"/>
      <c r="L1621" s="33">
        <f t="shared" si="421"/>
        <v>12763</v>
      </c>
      <c r="M1621" s="33">
        <f t="shared" si="422"/>
        <v>12763</v>
      </c>
      <c r="N1621" s="22">
        <f t="shared" si="423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420"/>
        <v>108</v>
      </c>
      <c r="J1622" s="5"/>
      <c r="K1622" s="5"/>
      <c r="L1622" s="33">
        <f t="shared" si="421"/>
        <v>0</v>
      </c>
      <c r="M1622" s="33">
        <f t="shared" si="422"/>
        <v>0</v>
      </c>
      <c r="N1622" s="22">
        <f t="shared" si="423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420"/>
        <v>108</v>
      </c>
      <c r="J1623" s="5"/>
      <c r="K1623" s="5"/>
      <c r="L1623" s="33">
        <f t="shared" si="421"/>
        <v>14073</v>
      </c>
      <c r="M1623" s="33">
        <f t="shared" si="422"/>
        <v>14073</v>
      </c>
      <c r="N1623" s="22">
        <f t="shared" si="423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 t="shared" ref="I1625:I1629" si="424">C1625*(1-G1625)</f>
        <v>0.80000000000000071</v>
      </c>
      <c r="J1625" s="5"/>
      <c r="K1625" s="5"/>
      <c r="L1625" s="33">
        <f t="shared" ref="L1625:L1629" si="425">D1625*(1-G1625)</f>
        <v>137.70000000000013</v>
      </c>
      <c r="M1625" s="33">
        <f t="shared" ref="M1625:M1629" si="426">IF(J1625="",L1625,(D1625/C1625)*J1625)</f>
        <v>137.70000000000013</v>
      </c>
      <c r="N1625" s="22">
        <f t="shared" ref="N1625:N1629" si="427"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 t="shared" si="424"/>
        <v>4.0000000000000036</v>
      </c>
      <c r="J1626" s="5"/>
      <c r="K1626" s="5"/>
      <c r="L1626" s="33">
        <f t="shared" si="425"/>
        <v>0</v>
      </c>
      <c r="M1626" s="33">
        <f t="shared" si="426"/>
        <v>0</v>
      </c>
      <c r="N1626" s="22">
        <f t="shared" si="427"/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 t="shared" si="424"/>
        <v>2.0000000000000018</v>
      </c>
      <c r="J1627" s="5"/>
      <c r="K1627" s="5"/>
      <c r="L1627" s="33">
        <f t="shared" si="425"/>
        <v>0</v>
      </c>
      <c r="M1627" s="33">
        <f t="shared" si="426"/>
        <v>0</v>
      </c>
      <c r="N1627" s="22">
        <f t="shared" si="427"/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 t="shared" si="424"/>
        <v>12</v>
      </c>
      <c r="J1628" s="5"/>
      <c r="K1628" s="5"/>
      <c r="L1628" s="33">
        <f t="shared" si="425"/>
        <v>2065</v>
      </c>
      <c r="M1628" s="33">
        <f t="shared" si="426"/>
        <v>2065</v>
      </c>
      <c r="N1628" s="22">
        <f t="shared" si="427"/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 t="shared" si="424"/>
        <v>30</v>
      </c>
      <c r="J1629" s="5"/>
      <c r="K1629" s="5"/>
      <c r="L1629" s="33">
        <f t="shared" si="425"/>
        <v>0</v>
      </c>
      <c r="M1629" s="33">
        <f t="shared" si="426"/>
        <v>0</v>
      </c>
      <c r="N1629" s="22">
        <f t="shared" si="427"/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428">C1631*(1-G1631)</f>
        <v>25.6</v>
      </c>
      <c r="J1631" s="5"/>
      <c r="K1631" s="5"/>
      <c r="L1631" s="33">
        <f t="shared" ref="L1631:L1637" si="429">D1631*(1-G1631)</f>
        <v>4406</v>
      </c>
      <c r="M1631" s="33">
        <f t="shared" ref="M1631:M1637" si="430">IF(J1631="",L1631,(D1631/C1631)*J1631)</f>
        <v>4406</v>
      </c>
      <c r="N1631" s="22">
        <f t="shared" ref="N1631:N1637" si="431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428"/>
        <v>25.6</v>
      </c>
      <c r="J1632" s="5"/>
      <c r="K1632" s="5"/>
      <c r="L1632" s="33">
        <f t="shared" si="429"/>
        <v>0</v>
      </c>
      <c r="M1632" s="33">
        <f t="shared" si="430"/>
        <v>0</v>
      </c>
      <c r="N1632" s="22">
        <f t="shared" si="431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428"/>
        <v>224</v>
      </c>
      <c r="J1633" s="5"/>
      <c r="K1633" s="5"/>
      <c r="L1633" s="33">
        <f t="shared" si="429"/>
        <v>28338</v>
      </c>
      <c r="M1633" s="33">
        <f t="shared" si="430"/>
        <v>28338</v>
      </c>
      <c r="N1633" s="22">
        <f t="shared" si="431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428"/>
        <v>128</v>
      </c>
      <c r="J1634" s="5"/>
      <c r="K1634" s="5"/>
      <c r="L1634" s="33">
        <f t="shared" si="429"/>
        <v>22690</v>
      </c>
      <c r="M1634" s="33">
        <f t="shared" si="430"/>
        <v>22690</v>
      </c>
      <c r="N1634" s="22">
        <f t="shared" si="431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428"/>
        <v>192</v>
      </c>
      <c r="J1635" s="5"/>
      <c r="K1635" s="5"/>
      <c r="L1635" s="33">
        <f t="shared" si="429"/>
        <v>0</v>
      </c>
      <c r="M1635" s="33">
        <f t="shared" si="430"/>
        <v>0</v>
      </c>
      <c r="N1635" s="22">
        <f t="shared" si="431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428"/>
        <v>320</v>
      </c>
      <c r="J1636" s="5"/>
      <c r="K1636" s="5"/>
      <c r="L1636" s="33">
        <f t="shared" si="429"/>
        <v>41698</v>
      </c>
      <c r="M1636" s="33">
        <f t="shared" si="430"/>
        <v>41698</v>
      </c>
      <c r="N1636" s="22">
        <f t="shared" si="431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428"/>
        <v>144</v>
      </c>
      <c r="J1637" s="5"/>
      <c r="K1637" s="5"/>
      <c r="L1637" s="33">
        <f t="shared" si="429"/>
        <v>18764</v>
      </c>
      <c r="M1637" s="33">
        <f t="shared" si="430"/>
        <v>18764</v>
      </c>
      <c r="N1637" s="22">
        <f t="shared" si="431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 t="shared" ref="I1639:I1643" si="432">C1639*(1-G1639)</f>
        <v>16</v>
      </c>
      <c r="J1639" s="5"/>
      <c r="K1639" s="5"/>
      <c r="L1639" s="33">
        <f t="shared" ref="L1639:L1643" si="433">D1639*(1-G1639)</f>
        <v>2085</v>
      </c>
      <c r="M1639" s="33">
        <f t="shared" ref="M1639:M1643" si="434">IF(J1639="",L1639,(D1639/C1639)*J1639)</f>
        <v>2085</v>
      </c>
      <c r="N1639" s="22">
        <f t="shared" ref="N1639:N1643" si="435"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 t="shared" si="432"/>
        <v>48</v>
      </c>
      <c r="J1640" s="5"/>
      <c r="K1640" s="5"/>
      <c r="L1640" s="33">
        <f t="shared" si="433"/>
        <v>8509</v>
      </c>
      <c r="M1640" s="33">
        <f t="shared" si="434"/>
        <v>8509</v>
      </c>
      <c r="N1640" s="22">
        <f t="shared" si="435"/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 t="shared" si="432"/>
        <v>48</v>
      </c>
      <c r="J1641" s="5"/>
      <c r="K1641" s="5"/>
      <c r="L1641" s="33">
        <f t="shared" si="433"/>
        <v>0</v>
      </c>
      <c r="M1641" s="33">
        <f t="shared" si="434"/>
        <v>0</v>
      </c>
      <c r="N1641" s="22">
        <f t="shared" si="435"/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 t="shared" si="432"/>
        <v>80</v>
      </c>
      <c r="J1642" s="5"/>
      <c r="K1642" s="5"/>
      <c r="L1642" s="33">
        <f t="shared" si="433"/>
        <v>14182</v>
      </c>
      <c r="M1642" s="33">
        <f t="shared" si="434"/>
        <v>14182</v>
      </c>
      <c r="N1642" s="22">
        <f t="shared" si="435"/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 t="shared" si="432"/>
        <v>80</v>
      </c>
      <c r="J1643" s="5"/>
      <c r="K1643" s="5"/>
      <c r="L1643" s="33">
        <f t="shared" si="433"/>
        <v>0</v>
      </c>
      <c r="M1643" s="33">
        <f t="shared" si="434"/>
        <v>0</v>
      </c>
      <c r="N1643" s="22">
        <f t="shared" si="435"/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 t="shared" ref="I1646:I1647" si="436">C1646*(1-G1646)</f>
        <v>268.8</v>
      </c>
      <c r="J1646" s="5"/>
      <c r="K1646" s="5"/>
      <c r="L1646" s="33">
        <f t="shared" ref="L1646:L1647" si="437">D1646*(1-G1646)</f>
        <v>43665.408000000003</v>
      </c>
      <c r="M1646" s="33">
        <f t="shared" ref="M1646:M1647" si="438">IF(J1646="",L1646,(D1646/C1646)*J1646)</f>
        <v>43665.408000000003</v>
      </c>
      <c r="N1646" s="22">
        <f t="shared" ref="N1646:N1647" si="439"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 t="shared" si="436"/>
        <v>68</v>
      </c>
      <c r="J1647" s="5"/>
      <c r="K1647" s="5"/>
      <c r="L1647" s="33">
        <f t="shared" si="437"/>
        <v>11361</v>
      </c>
      <c r="M1647" s="33">
        <f t="shared" si="438"/>
        <v>11361</v>
      </c>
      <c r="N1647" s="22">
        <f t="shared" si="439"/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 t="shared" ref="I1649" si="440">C1649*(1-G1649)</f>
        <v>1280</v>
      </c>
      <c r="J1649" s="5"/>
      <c r="K1649" s="5"/>
      <c r="L1649" s="33">
        <f t="shared" ref="L1649" si="441">D1649*(1-G1649)</f>
        <v>1767.68</v>
      </c>
      <c r="M1649" s="33">
        <f t="shared" ref="M1649" si="442">IF(J1649="",L1649,(D1649/C1649)*J1649)</f>
        <v>1767.68</v>
      </c>
      <c r="N1649" s="22">
        <f t="shared" ref="N1649" si="443"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 t="shared" ref="I1651:I1653" si="444">C1651*(1-G1651)</f>
        <v>551</v>
      </c>
      <c r="J1651" s="5"/>
      <c r="K1651" s="5"/>
      <c r="L1651" s="33">
        <f t="shared" ref="L1651:L1653" si="445">D1651*(1-G1651)</f>
        <v>639.5</v>
      </c>
      <c r="M1651" s="33">
        <f t="shared" ref="M1651:M1653" si="446">IF(J1651="",L1651,(D1651/C1651)*J1651)</f>
        <v>639.5</v>
      </c>
      <c r="N1651" s="22">
        <f t="shared" ref="N1651:N1653" si="447"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 t="shared" si="444"/>
        <v>13399.999999999998</v>
      </c>
      <c r="J1652" s="5"/>
      <c r="K1652" s="5"/>
      <c r="L1652" s="33">
        <f t="shared" si="445"/>
        <v>15580.179999999998</v>
      </c>
      <c r="M1652" s="33">
        <f t="shared" si="446"/>
        <v>15580.179999999998</v>
      </c>
      <c r="N1652" s="22">
        <f t="shared" si="447"/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 t="shared" si="444"/>
        <v>845.70000000000016</v>
      </c>
      <c r="J1653" s="5"/>
      <c r="K1653" s="5"/>
      <c r="L1653" s="33">
        <f t="shared" si="445"/>
        <v>88084.729200000016</v>
      </c>
      <c r="M1653" s="33">
        <f t="shared" si="446"/>
        <v>88084.729200000016</v>
      </c>
      <c r="N1653" s="22">
        <f t="shared" si="447"/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 t="shared" ref="I1655:I1656" si="448">C1655*(1-G1655)</f>
        <v>144.00000000000003</v>
      </c>
      <c r="J1655" s="5"/>
      <c r="K1655" s="5"/>
      <c r="L1655" s="33">
        <f t="shared" ref="L1655:L1656" si="449">D1655*(1-G1655)</f>
        <v>9469.5000000000018</v>
      </c>
      <c r="M1655" s="33">
        <f t="shared" ref="M1655:M1656" si="450">IF(J1655="",L1655,(D1655/C1655)*J1655)</f>
        <v>9469.5000000000018</v>
      </c>
      <c r="N1655" s="22">
        <f t="shared" ref="N1655:N1656" si="451"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 t="shared" si="448"/>
        <v>144.00000000000003</v>
      </c>
      <c r="J1656" s="5"/>
      <c r="K1656" s="5"/>
      <c r="L1656" s="33">
        <f t="shared" si="449"/>
        <v>9475.9500000000007</v>
      </c>
      <c r="M1656" s="33">
        <f t="shared" si="450"/>
        <v>9475.9500000000007</v>
      </c>
      <c r="N1656" s="22">
        <f t="shared" si="451"/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452">C1658*(1-G1658)</f>
        <v>49447.41</v>
      </c>
      <c r="J1658" s="5"/>
      <c r="K1658" s="5"/>
      <c r="L1658" s="33">
        <f t="shared" ref="L1658:L1665" si="453">D1658*(1-G1658)</f>
        <v>57392.862000000001</v>
      </c>
      <c r="M1658" s="33">
        <f t="shared" ref="M1658:M1665" si="454">IF(J1658="",L1658,(D1658/C1658)*J1658)</f>
        <v>57392.862000000001</v>
      </c>
      <c r="N1658" s="22">
        <f t="shared" ref="N1658:N1665" si="455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452"/>
        <v>19814.883999999998</v>
      </c>
      <c r="J1659" s="5"/>
      <c r="K1659" s="5"/>
      <c r="L1659" s="33">
        <f t="shared" si="453"/>
        <v>22998.571999999996</v>
      </c>
      <c r="M1659" s="33">
        <f t="shared" si="454"/>
        <v>22998.571999999996</v>
      </c>
      <c r="N1659" s="22">
        <f t="shared" si="455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452"/>
        <v>37631.087999999989</v>
      </c>
      <c r="J1660" s="5"/>
      <c r="K1660" s="5"/>
      <c r="L1660" s="33">
        <f t="shared" si="453"/>
        <v>43677.80999999999</v>
      </c>
      <c r="M1660" s="33">
        <f t="shared" si="454"/>
        <v>43677.80999999999</v>
      </c>
      <c r="N1660" s="22">
        <f t="shared" si="455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452"/>
        <v>150983</v>
      </c>
      <c r="J1661" s="5"/>
      <c r="K1661" s="5"/>
      <c r="L1661" s="33">
        <f t="shared" si="453"/>
        <v>175244</v>
      </c>
      <c r="M1661" s="33">
        <f t="shared" si="454"/>
        <v>175244</v>
      </c>
      <c r="N1661" s="22">
        <f t="shared" si="455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452"/>
        <v>40004.100000000006</v>
      </c>
      <c r="J1662" s="5"/>
      <c r="K1662" s="5"/>
      <c r="L1662" s="33">
        <f t="shared" si="453"/>
        <v>46432.200000000004</v>
      </c>
      <c r="M1662" s="33">
        <f t="shared" si="454"/>
        <v>46432.200000000004</v>
      </c>
      <c r="N1662" s="22">
        <f t="shared" si="455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452"/>
        <v>100199.99999999999</v>
      </c>
      <c r="J1663" s="5"/>
      <c r="K1663" s="5"/>
      <c r="L1663" s="33">
        <f t="shared" si="453"/>
        <v>116300.80399999999</v>
      </c>
      <c r="M1663" s="33">
        <f t="shared" si="454"/>
        <v>116300.80399999999</v>
      </c>
      <c r="N1663" s="22">
        <f t="shared" si="455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452"/>
        <v>802.19999999999993</v>
      </c>
      <c r="J1664" s="5"/>
      <c r="K1664" s="5"/>
      <c r="L1664" s="33">
        <f t="shared" si="453"/>
        <v>64032.138799999993</v>
      </c>
      <c r="M1664" s="33">
        <f t="shared" si="454"/>
        <v>64032.138799999993</v>
      </c>
      <c r="N1664" s="22">
        <f t="shared" si="455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452"/>
        <v>0</v>
      </c>
      <c r="J1665" s="5"/>
      <c r="K1665" s="5"/>
      <c r="L1665" s="33">
        <f t="shared" si="453"/>
        <v>0</v>
      </c>
      <c r="M1665" s="33">
        <f t="shared" si="454"/>
        <v>0</v>
      </c>
      <c r="N1665" s="22">
        <f t="shared" si="455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 t="shared" ref="I1667:I1669" si="456">C1667*(1-G1667)</f>
        <v>26072.399999999994</v>
      </c>
      <c r="J1667" s="5"/>
      <c r="K1667" s="5"/>
      <c r="L1667" s="33">
        <f t="shared" ref="L1667:L1669" si="457">D1667*(1-G1667)</f>
        <v>30261.799999999992</v>
      </c>
      <c r="M1667" s="33">
        <f t="shared" ref="M1667:M1669" si="458">IF(J1667="",L1667,(D1667/C1667)*J1667)</f>
        <v>30261.799999999992</v>
      </c>
      <c r="N1667" s="22">
        <f t="shared" ref="N1667:N1669" si="459"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 t="shared" si="456"/>
        <v>80745</v>
      </c>
      <c r="J1668" s="5"/>
      <c r="K1668" s="5"/>
      <c r="L1668" s="33">
        <f t="shared" si="457"/>
        <v>93719</v>
      </c>
      <c r="M1668" s="33">
        <f t="shared" si="458"/>
        <v>93719</v>
      </c>
      <c r="N1668" s="22">
        <f t="shared" si="459"/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 t="shared" si="456"/>
        <v>202.4</v>
      </c>
      <c r="J1669" s="5"/>
      <c r="K1669" s="5"/>
      <c r="L1669" s="33">
        <f t="shared" si="457"/>
        <v>26579.850000000002</v>
      </c>
      <c r="M1669" s="33">
        <f t="shared" si="458"/>
        <v>26579.850000000002</v>
      </c>
      <c r="N1669" s="22">
        <f t="shared" si="459"/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 t="shared" ref="I1671:I1675" si="460">C1671*(1-G1671)</f>
        <v>72920</v>
      </c>
      <c r="J1671" s="5"/>
      <c r="K1671" s="5"/>
      <c r="L1671" s="33">
        <f t="shared" ref="L1671:L1675" si="461">D1671*(1-G1671)</f>
        <v>82977.5</v>
      </c>
      <c r="M1671" s="33">
        <f t="shared" ref="M1671:M1675" si="462">IF(J1671="",L1671,(D1671/C1671)*J1671)</f>
        <v>82977.5</v>
      </c>
      <c r="N1671" s="22">
        <f t="shared" ref="N1671:N1675" si="463"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 t="shared" si="460"/>
        <v>29400</v>
      </c>
      <c r="J1672" s="5"/>
      <c r="K1672" s="5"/>
      <c r="L1672" s="33">
        <f t="shared" si="461"/>
        <v>33455</v>
      </c>
      <c r="M1672" s="33">
        <f t="shared" si="462"/>
        <v>33455</v>
      </c>
      <c r="N1672" s="22">
        <f t="shared" si="463"/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 t="shared" si="460"/>
        <v>7500</v>
      </c>
      <c r="J1673" s="5"/>
      <c r="K1673" s="5"/>
      <c r="L1673" s="33">
        <f t="shared" si="461"/>
        <v>8530</v>
      </c>
      <c r="M1673" s="33">
        <f t="shared" si="462"/>
        <v>8530</v>
      </c>
      <c r="N1673" s="22">
        <f t="shared" si="463"/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 t="shared" si="460"/>
        <v>2000</v>
      </c>
      <c r="J1674" s="5"/>
      <c r="K1674" s="5"/>
      <c r="L1674" s="33">
        <f t="shared" si="461"/>
        <v>2276</v>
      </c>
      <c r="M1674" s="33">
        <f t="shared" si="462"/>
        <v>2276</v>
      </c>
      <c r="N1674" s="22">
        <f t="shared" si="463"/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 t="shared" si="460"/>
        <v>100000</v>
      </c>
      <c r="J1675" s="5"/>
      <c r="K1675" s="5"/>
      <c r="L1675" s="33">
        <f t="shared" si="461"/>
        <v>116068.5</v>
      </c>
      <c r="M1675" s="33">
        <f t="shared" si="462"/>
        <v>116068.5</v>
      </c>
      <c r="N1675" s="22">
        <f t="shared" si="463"/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 t="shared" ref="I1677:I1679" si="464">C1677*(1-G1677)</f>
        <v>9910.5000000000018</v>
      </c>
      <c r="J1677" s="5"/>
      <c r="K1677" s="5"/>
      <c r="L1677" s="33">
        <f t="shared" ref="L1677:L1679" si="465">D1677*(1-G1677)</f>
        <v>11277.300000000001</v>
      </c>
      <c r="M1677" s="33">
        <f t="shared" ref="M1677:M1679" si="466">IF(J1677="",L1677,(D1677/C1677)*J1677)</f>
        <v>11277.300000000001</v>
      </c>
      <c r="N1677" s="22">
        <f t="shared" ref="N1677:N1679" si="467"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 t="shared" si="464"/>
        <v>18401</v>
      </c>
      <c r="J1678" s="5"/>
      <c r="K1678" s="5"/>
      <c r="L1678" s="33">
        <f t="shared" si="465"/>
        <v>20975</v>
      </c>
      <c r="M1678" s="33">
        <f t="shared" si="466"/>
        <v>20975</v>
      </c>
      <c r="N1678" s="22">
        <f t="shared" si="467"/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 t="shared" si="464"/>
        <v>10225.800000000001</v>
      </c>
      <c r="J1679" s="5"/>
      <c r="K1679" s="5"/>
      <c r="L1679" s="33">
        <f t="shared" si="465"/>
        <v>11868.900000000001</v>
      </c>
      <c r="M1679" s="33">
        <f t="shared" si="466"/>
        <v>11868.900000000001</v>
      </c>
      <c r="N1679" s="22">
        <f t="shared" si="467"/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 t="shared" ref="I1681:I1682" si="468">C1681*(1-G1681)</f>
        <v>11667</v>
      </c>
      <c r="J1681" s="5"/>
      <c r="K1681" s="5"/>
      <c r="L1681" s="33">
        <f t="shared" ref="L1681:L1682" si="469">D1681*(1-G1681)</f>
        <v>13542</v>
      </c>
      <c r="M1681" s="33">
        <f t="shared" ref="M1681:M1682" si="470">IF(J1681="",L1681,(D1681/C1681)*J1681)</f>
        <v>13542</v>
      </c>
      <c r="N1681" s="22">
        <f t="shared" ref="N1681:N1682" si="471"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 t="shared" si="468"/>
        <v>10493</v>
      </c>
      <c r="J1682" s="5"/>
      <c r="K1682" s="5"/>
      <c r="L1682" s="33">
        <f t="shared" si="469"/>
        <v>12179</v>
      </c>
      <c r="M1682" s="33">
        <f t="shared" si="470"/>
        <v>12179</v>
      </c>
      <c r="N1682" s="22">
        <f t="shared" si="471"/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472">C1684*(1-G1684)</f>
        <v>0</v>
      </c>
      <c r="J1684" s="5"/>
      <c r="K1684" s="5"/>
      <c r="L1684" s="33">
        <f t="shared" ref="L1684:L1690" si="473">D1684*(1-G1684)</f>
        <v>0</v>
      </c>
      <c r="M1684" s="33">
        <f t="shared" ref="M1684:M1690" si="474">IF(J1684="",L1684,(D1684/C1684)*J1684)</f>
        <v>0</v>
      </c>
      <c r="N1684" s="22">
        <f t="shared" ref="N1684:N1690" si="475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472"/>
        <v>374.40000000000032</v>
      </c>
      <c r="J1685" s="5"/>
      <c r="K1685" s="5"/>
      <c r="L1685" s="33">
        <f t="shared" si="473"/>
        <v>6550.2800000000061</v>
      </c>
      <c r="M1685" s="33">
        <f t="shared" si="474"/>
        <v>6550.2800000000061</v>
      </c>
      <c r="N1685" s="22">
        <f t="shared" si="475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472"/>
        <v>0</v>
      </c>
      <c r="J1686" s="5"/>
      <c r="K1686" s="5"/>
      <c r="L1686" s="33">
        <f t="shared" si="473"/>
        <v>0</v>
      </c>
      <c r="M1686" s="33">
        <f t="shared" si="474"/>
        <v>0</v>
      </c>
      <c r="N1686" s="22">
        <f t="shared" si="475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472"/>
        <v>40793.85</v>
      </c>
      <c r="J1687" s="5"/>
      <c r="K1687" s="5"/>
      <c r="L1687" s="33">
        <f t="shared" si="473"/>
        <v>47066.399999999994</v>
      </c>
      <c r="M1687" s="33">
        <f t="shared" si="474"/>
        <v>47066.399999999994</v>
      </c>
      <c r="N1687" s="22">
        <f t="shared" si="475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472"/>
        <v>6557.5</v>
      </c>
      <c r="J1688" s="5"/>
      <c r="K1688" s="5"/>
      <c r="L1688" s="33">
        <f t="shared" si="473"/>
        <v>7554.5</v>
      </c>
      <c r="M1688" s="33">
        <f t="shared" si="474"/>
        <v>7554.5</v>
      </c>
      <c r="N1688" s="22">
        <f t="shared" si="475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472"/>
        <v>18480</v>
      </c>
      <c r="J1689" s="5"/>
      <c r="K1689" s="5"/>
      <c r="L1689" s="33">
        <f t="shared" si="473"/>
        <v>21303.8</v>
      </c>
      <c r="M1689" s="33">
        <f t="shared" si="474"/>
        <v>21303.8</v>
      </c>
      <c r="N1689" s="22">
        <f t="shared" si="475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472"/>
        <v>138000.00000000003</v>
      </c>
      <c r="J1690" s="5"/>
      <c r="K1690" s="5"/>
      <c r="L1690" s="33">
        <f t="shared" si="473"/>
        <v>160174.50000000003</v>
      </c>
      <c r="M1690" s="33">
        <f t="shared" si="474"/>
        <v>160174.50000000003</v>
      </c>
      <c r="N1690" s="22">
        <f t="shared" si="475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476">C1692*(1-G1692)</f>
        <v>6</v>
      </c>
      <c r="J1692" s="5"/>
      <c r="K1692" s="5"/>
      <c r="L1692" s="33">
        <f t="shared" ref="L1692:L1732" si="477">D1692*(1-G1692)</f>
        <v>319.56</v>
      </c>
      <c r="M1692" s="33">
        <f t="shared" ref="M1692:M1732" si="478">IF(J1692="",L1692,(D1692/C1692)*J1692)</f>
        <v>319.56</v>
      </c>
      <c r="N1692" s="22">
        <f t="shared" ref="N1692:N1732" si="479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476"/>
        <v>9</v>
      </c>
      <c r="J1693" s="5"/>
      <c r="K1693" s="5"/>
      <c r="L1693" s="33">
        <f t="shared" si="477"/>
        <v>160.44</v>
      </c>
      <c r="M1693" s="33">
        <f t="shared" si="478"/>
        <v>160.44</v>
      </c>
      <c r="N1693" s="22">
        <f t="shared" si="479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476"/>
        <v>1.2</v>
      </c>
      <c r="J1694" s="5"/>
      <c r="K1694" s="5"/>
      <c r="L1694" s="33">
        <f t="shared" si="477"/>
        <v>139.44</v>
      </c>
      <c r="M1694" s="33">
        <f t="shared" si="478"/>
        <v>139.44</v>
      </c>
      <c r="N1694" s="22">
        <f t="shared" si="479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476"/>
        <v>50</v>
      </c>
      <c r="J1695" s="5"/>
      <c r="K1695" s="5"/>
      <c r="L1695" s="33">
        <f t="shared" si="477"/>
        <v>2663</v>
      </c>
      <c r="M1695" s="33">
        <f t="shared" si="478"/>
        <v>2663</v>
      </c>
      <c r="N1695" s="22">
        <f t="shared" si="479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476"/>
        <v>75</v>
      </c>
      <c r="J1696" s="5"/>
      <c r="K1696" s="5"/>
      <c r="L1696" s="33">
        <f t="shared" si="477"/>
        <v>1337</v>
      </c>
      <c r="M1696" s="33">
        <f t="shared" si="478"/>
        <v>1337</v>
      </c>
      <c r="N1696" s="22">
        <f t="shared" si="479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476"/>
        <v>10</v>
      </c>
      <c r="J1697" s="5"/>
      <c r="K1697" s="5"/>
      <c r="L1697" s="33">
        <f t="shared" si="477"/>
        <v>1162</v>
      </c>
      <c r="M1697" s="33">
        <f t="shared" si="478"/>
        <v>1162</v>
      </c>
      <c r="N1697" s="22">
        <f t="shared" si="479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476"/>
        <v>50</v>
      </c>
      <c r="J1698" s="5"/>
      <c r="K1698" s="5"/>
      <c r="L1698" s="33">
        <f t="shared" si="477"/>
        <v>2663</v>
      </c>
      <c r="M1698" s="33">
        <f t="shared" si="478"/>
        <v>2663</v>
      </c>
      <c r="N1698" s="22">
        <f t="shared" si="479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476"/>
        <v>75</v>
      </c>
      <c r="J1699" s="5"/>
      <c r="K1699" s="5"/>
      <c r="L1699" s="33">
        <f t="shared" si="477"/>
        <v>1337</v>
      </c>
      <c r="M1699" s="33">
        <f t="shared" si="478"/>
        <v>1337</v>
      </c>
      <c r="N1699" s="22">
        <f t="shared" si="479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476"/>
        <v>10</v>
      </c>
      <c r="J1700" s="5"/>
      <c r="K1700" s="5"/>
      <c r="L1700" s="33">
        <f t="shared" si="477"/>
        <v>1162</v>
      </c>
      <c r="M1700" s="33">
        <f t="shared" si="478"/>
        <v>1162</v>
      </c>
      <c r="N1700" s="22">
        <f t="shared" si="479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476"/>
        <v>50</v>
      </c>
      <c r="J1701" s="5"/>
      <c r="K1701" s="5"/>
      <c r="L1701" s="33">
        <f t="shared" si="477"/>
        <v>2663</v>
      </c>
      <c r="M1701" s="33">
        <f t="shared" si="478"/>
        <v>2663</v>
      </c>
      <c r="N1701" s="22">
        <f t="shared" si="479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476"/>
        <v>75</v>
      </c>
      <c r="J1702" s="5"/>
      <c r="K1702" s="5"/>
      <c r="L1702" s="33">
        <f t="shared" si="477"/>
        <v>1337</v>
      </c>
      <c r="M1702" s="33">
        <f t="shared" si="478"/>
        <v>1337</v>
      </c>
      <c r="N1702" s="22">
        <f t="shared" si="479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476"/>
        <v>10</v>
      </c>
      <c r="J1703" s="5"/>
      <c r="K1703" s="5"/>
      <c r="L1703" s="33">
        <f t="shared" si="477"/>
        <v>1162</v>
      </c>
      <c r="M1703" s="33">
        <f t="shared" si="478"/>
        <v>1162</v>
      </c>
      <c r="N1703" s="22">
        <f t="shared" si="479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476"/>
        <v>50</v>
      </c>
      <c r="J1704" s="5"/>
      <c r="K1704" s="5"/>
      <c r="L1704" s="33">
        <f t="shared" si="477"/>
        <v>2663</v>
      </c>
      <c r="M1704" s="33">
        <f t="shared" si="478"/>
        <v>2663</v>
      </c>
      <c r="N1704" s="22">
        <f t="shared" si="479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476"/>
        <v>75</v>
      </c>
      <c r="J1705" s="5"/>
      <c r="K1705" s="5"/>
      <c r="L1705" s="33">
        <f t="shared" si="477"/>
        <v>1337</v>
      </c>
      <c r="M1705" s="33">
        <f t="shared" si="478"/>
        <v>1337</v>
      </c>
      <c r="N1705" s="22">
        <f t="shared" si="479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476"/>
        <v>10</v>
      </c>
      <c r="J1706" s="5"/>
      <c r="K1706" s="5"/>
      <c r="L1706" s="33">
        <f t="shared" si="477"/>
        <v>1162</v>
      </c>
      <c r="M1706" s="33">
        <f t="shared" si="478"/>
        <v>1162</v>
      </c>
      <c r="N1706" s="22">
        <f t="shared" si="479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476"/>
        <v>50</v>
      </c>
      <c r="J1707" s="5"/>
      <c r="K1707" s="5"/>
      <c r="L1707" s="33">
        <f t="shared" si="477"/>
        <v>2663</v>
      </c>
      <c r="M1707" s="33">
        <f t="shared" si="478"/>
        <v>2663</v>
      </c>
      <c r="N1707" s="22">
        <f t="shared" si="479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476"/>
        <v>75</v>
      </c>
      <c r="J1708" s="5"/>
      <c r="K1708" s="5"/>
      <c r="L1708" s="33">
        <f t="shared" si="477"/>
        <v>1337</v>
      </c>
      <c r="M1708" s="33">
        <f t="shared" si="478"/>
        <v>1337</v>
      </c>
      <c r="N1708" s="22">
        <f t="shared" si="479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476"/>
        <v>10</v>
      </c>
      <c r="J1709" s="5"/>
      <c r="K1709" s="5"/>
      <c r="L1709" s="33">
        <f t="shared" si="477"/>
        <v>1162</v>
      </c>
      <c r="M1709" s="33">
        <f t="shared" si="478"/>
        <v>1162</v>
      </c>
      <c r="N1709" s="22">
        <f t="shared" si="479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476"/>
        <v>50</v>
      </c>
      <c r="J1710" s="5"/>
      <c r="K1710" s="5"/>
      <c r="L1710" s="33">
        <f t="shared" si="477"/>
        <v>2663</v>
      </c>
      <c r="M1710" s="33">
        <f t="shared" si="478"/>
        <v>2663</v>
      </c>
      <c r="N1710" s="22">
        <f t="shared" si="479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476"/>
        <v>75</v>
      </c>
      <c r="J1711" s="5"/>
      <c r="K1711" s="5"/>
      <c r="L1711" s="33">
        <f t="shared" si="477"/>
        <v>1337</v>
      </c>
      <c r="M1711" s="33">
        <f t="shared" si="478"/>
        <v>1337</v>
      </c>
      <c r="N1711" s="22">
        <f t="shared" si="479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476"/>
        <v>10</v>
      </c>
      <c r="J1712" s="5"/>
      <c r="K1712" s="5"/>
      <c r="L1712" s="33">
        <f t="shared" si="477"/>
        <v>1162</v>
      </c>
      <c r="M1712" s="33">
        <f t="shared" si="478"/>
        <v>1162</v>
      </c>
      <c r="N1712" s="22">
        <f t="shared" si="479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476"/>
        <v>50</v>
      </c>
      <c r="J1713" s="5"/>
      <c r="K1713" s="5"/>
      <c r="L1713" s="33">
        <f t="shared" si="477"/>
        <v>2663</v>
      </c>
      <c r="M1713" s="33">
        <f t="shared" si="478"/>
        <v>2663</v>
      </c>
      <c r="N1713" s="22">
        <f t="shared" si="479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476"/>
        <v>75</v>
      </c>
      <c r="J1714" s="5"/>
      <c r="K1714" s="5"/>
      <c r="L1714" s="33">
        <f t="shared" si="477"/>
        <v>1337</v>
      </c>
      <c r="M1714" s="33">
        <f t="shared" si="478"/>
        <v>1337</v>
      </c>
      <c r="N1714" s="22">
        <f t="shared" si="479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476"/>
        <v>10</v>
      </c>
      <c r="J1715" s="5"/>
      <c r="K1715" s="5"/>
      <c r="L1715" s="33">
        <f t="shared" si="477"/>
        <v>1162</v>
      </c>
      <c r="M1715" s="33">
        <f t="shared" si="478"/>
        <v>1162</v>
      </c>
      <c r="N1715" s="22">
        <f t="shared" si="479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476"/>
        <v>50</v>
      </c>
      <c r="J1716" s="5"/>
      <c r="K1716" s="5"/>
      <c r="L1716" s="33">
        <f t="shared" si="477"/>
        <v>2663</v>
      </c>
      <c r="M1716" s="33">
        <f t="shared" si="478"/>
        <v>2663</v>
      </c>
      <c r="N1716" s="22">
        <f t="shared" si="479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476"/>
        <v>75</v>
      </c>
      <c r="J1717" s="5"/>
      <c r="K1717" s="5"/>
      <c r="L1717" s="33">
        <f t="shared" si="477"/>
        <v>1337</v>
      </c>
      <c r="M1717" s="33">
        <f t="shared" si="478"/>
        <v>1337</v>
      </c>
      <c r="N1717" s="22">
        <f t="shared" si="479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476"/>
        <v>10</v>
      </c>
      <c r="J1718" s="5"/>
      <c r="K1718" s="5"/>
      <c r="L1718" s="33">
        <f t="shared" si="477"/>
        <v>1162</v>
      </c>
      <c r="M1718" s="33">
        <f t="shared" si="478"/>
        <v>1162</v>
      </c>
      <c r="N1718" s="22">
        <f t="shared" si="479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476"/>
        <v>50</v>
      </c>
      <c r="J1719" s="5"/>
      <c r="K1719" s="5"/>
      <c r="L1719" s="33">
        <f t="shared" si="477"/>
        <v>2663</v>
      </c>
      <c r="M1719" s="33">
        <f t="shared" si="478"/>
        <v>2663</v>
      </c>
      <c r="N1719" s="22">
        <f t="shared" si="479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476"/>
        <v>75</v>
      </c>
      <c r="J1720" s="5"/>
      <c r="K1720" s="5"/>
      <c r="L1720" s="33">
        <f t="shared" si="477"/>
        <v>1337</v>
      </c>
      <c r="M1720" s="33">
        <f t="shared" si="478"/>
        <v>1337</v>
      </c>
      <c r="N1720" s="22">
        <f t="shared" si="479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476"/>
        <v>10</v>
      </c>
      <c r="J1721" s="5"/>
      <c r="K1721" s="5"/>
      <c r="L1721" s="33">
        <f t="shared" si="477"/>
        <v>1162</v>
      </c>
      <c r="M1721" s="33">
        <f t="shared" si="478"/>
        <v>1162</v>
      </c>
      <c r="N1721" s="22">
        <f t="shared" si="479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476"/>
        <v>50</v>
      </c>
      <c r="J1722" s="5"/>
      <c r="K1722" s="5"/>
      <c r="L1722" s="33">
        <f t="shared" si="477"/>
        <v>2663</v>
      </c>
      <c r="M1722" s="33">
        <f t="shared" si="478"/>
        <v>2663</v>
      </c>
      <c r="N1722" s="22">
        <f t="shared" si="479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476"/>
        <v>75</v>
      </c>
      <c r="J1723" s="5"/>
      <c r="K1723" s="5"/>
      <c r="L1723" s="33">
        <f t="shared" si="477"/>
        <v>1337</v>
      </c>
      <c r="M1723" s="33">
        <f t="shared" si="478"/>
        <v>1337</v>
      </c>
      <c r="N1723" s="22">
        <f t="shared" si="479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476"/>
        <v>10</v>
      </c>
      <c r="J1724" s="5"/>
      <c r="K1724" s="5"/>
      <c r="L1724" s="33">
        <f t="shared" si="477"/>
        <v>1162</v>
      </c>
      <c r="M1724" s="33">
        <f t="shared" si="478"/>
        <v>1162</v>
      </c>
      <c r="N1724" s="22">
        <f t="shared" si="479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476"/>
        <v>50</v>
      </c>
      <c r="J1725" s="5"/>
      <c r="K1725" s="5"/>
      <c r="L1725" s="33">
        <f t="shared" si="477"/>
        <v>2663</v>
      </c>
      <c r="M1725" s="33">
        <f t="shared" si="478"/>
        <v>2663</v>
      </c>
      <c r="N1725" s="22">
        <f t="shared" si="479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476"/>
        <v>75</v>
      </c>
      <c r="J1726" s="5"/>
      <c r="K1726" s="5"/>
      <c r="L1726" s="33">
        <f t="shared" si="477"/>
        <v>1337</v>
      </c>
      <c r="M1726" s="33">
        <f t="shared" si="478"/>
        <v>1337</v>
      </c>
      <c r="N1726" s="22">
        <f t="shared" si="479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476"/>
        <v>10</v>
      </c>
      <c r="J1727" s="5"/>
      <c r="K1727" s="5"/>
      <c r="L1727" s="33">
        <f t="shared" si="477"/>
        <v>1162</v>
      </c>
      <c r="M1727" s="33">
        <f t="shared" si="478"/>
        <v>1162</v>
      </c>
      <c r="N1727" s="22">
        <f t="shared" si="479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476"/>
        <v>50</v>
      </c>
      <c r="J1728" s="5"/>
      <c r="K1728" s="5"/>
      <c r="L1728" s="33">
        <f t="shared" si="477"/>
        <v>2663</v>
      </c>
      <c r="M1728" s="33">
        <f t="shared" si="478"/>
        <v>2663</v>
      </c>
      <c r="N1728" s="22">
        <f t="shared" si="479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476"/>
        <v>75</v>
      </c>
      <c r="J1729" s="5"/>
      <c r="K1729" s="5"/>
      <c r="L1729" s="33">
        <f t="shared" si="477"/>
        <v>1337</v>
      </c>
      <c r="M1729" s="33">
        <f t="shared" si="478"/>
        <v>1337</v>
      </c>
      <c r="N1729" s="22">
        <f t="shared" si="479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476"/>
        <v>10</v>
      </c>
      <c r="J1730" s="5"/>
      <c r="K1730" s="5"/>
      <c r="L1730" s="33">
        <f t="shared" si="477"/>
        <v>1162</v>
      </c>
      <c r="M1730" s="33">
        <f t="shared" si="478"/>
        <v>1162</v>
      </c>
      <c r="N1730" s="22">
        <f t="shared" si="479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476"/>
        <v>50</v>
      </c>
      <c r="J1731" s="5"/>
      <c r="K1731" s="5"/>
      <c r="L1731" s="33">
        <f t="shared" si="477"/>
        <v>2663</v>
      </c>
      <c r="M1731" s="33">
        <f t="shared" si="478"/>
        <v>2663</v>
      </c>
      <c r="N1731" s="22">
        <f t="shared" si="479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476"/>
        <v>75</v>
      </c>
      <c r="J1732" s="5"/>
      <c r="K1732" s="5"/>
      <c r="L1732" s="33">
        <f t="shared" si="477"/>
        <v>1337</v>
      </c>
      <c r="M1732" s="33">
        <f t="shared" si="478"/>
        <v>1337</v>
      </c>
      <c r="N1732" s="22">
        <f t="shared" si="479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480">C1733*(1-G1733)</f>
        <v>10</v>
      </c>
      <c r="J1733" s="5"/>
      <c r="K1733" s="5"/>
      <c r="L1733" s="33">
        <f t="shared" ref="L1733:L1760" si="481">D1733*(1-G1733)</f>
        <v>1162</v>
      </c>
      <c r="M1733" s="33">
        <f t="shared" ref="M1733:M1760" si="482">IF(J1733="",L1733,(D1733/C1733)*J1733)</f>
        <v>1162</v>
      </c>
      <c r="N1733" s="22">
        <f t="shared" ref="N1733:N1760" si="483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480"/>
        <v>50</v>
      </c>
      <c r="J1734" s="5"/>
      <c r="K1734" s="5"/>
      <c r="L1734" s="33">
        <f t="shared" si="481"/>
        <v>2663</v>
      </c>
      <c r="M1734" s="33">
        <f t="shared" si="482"/>
        <v>2663</v>
      </c>
      <c r="N1734" s="22">
        <f t="shared" si="483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480"/>
        <v>75</v>
      </c>
      <c r="J1735" s="5"/>
      <c r="K1735" s="5"/>
      <c r="L1735" s="33">
        <f t="shared" si="481"/>
        <v>1337</v>
      </c>
      <c r="M1735" s="33">
        <f t="shared" si="482"/>
        <v>1337</v>
      </c>
      <c r="N1735" s="22">
        <f t="shared" si="483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480"/>
        <v>10</v>
      </c>
      <c r="J1736" s="5"/>
      <c r="K1736" s="5"/>
      <c r="L1736" s="33">
        <f t="shared" si="481"/>
        <v>1162</v>
      </c>
      <c r="M1736" s="33">
        <f t="shared" si="482"/>
        <v>1162</v>
      </c>
      <c r="N1736" s="22">
        <f t="shared" si="483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480"/>
        <v>50</v>
      </c>
      <c r="J1737" s="5"/>
      <c r="K1737" s="5"/>
      <c r="L1737" s="33">
        <f t="shared" si="481"/>
        <v>2663</v>
      </c>
      <c r="M1737" s="33">
        <f t="shared" si="482"/>
        <v>2663</v>
      </c>
      <c r="N1737" s="22">
        <f t="shared" si="483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480"/>
        <v>75</v>
      </c>
      <c r="J1738" s="5"/>
      <c r="K1738" s="5"/>
      <c r="L1738" s="33">
        <f t="shared" si="481"/>
        <v>1337</v>
      </c>
      <c r="M1738" s="33">
        <f t="shared" si="482"/>
        <v>1337</v>
      </c>
      <c r="N1738" s="22">
        <f t="shared" si="483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480"/>
        <v>10</v>
      </c>
      <c r="J1739" s="5"/>
      <c r="K1739" s="5"/>
      <c r="L1739" s="33">
        <f t="shared" si="481"/>
        <v>1162</v>
      </c>
      <c r="M1739" s="33">
        <f t="shared" si="482"/>
        <v>1162</v>
      </c>
      <c r="N1739" s="22">
        <f t="shared" si="483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480"/>
        <v>50</v>
      </c>
      <c r="J1740" s="5"/>
      <c r="K1740" s="5"/>
      <c r="L1740" s="33">
        <f t="shared" si="481"/>
        <v>2663</v>
      </c>
      <c r="M1740" s="33">
        <f t="shared" si="482"/>
        <v>2663</v>
      </c>
      <c r="N1740" s="22">
        <f t="shared" si="483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480"/>
        <v>75</v>
      </c>
      <c r="J1741" s="5"/>
      <c r="K1741" s="5"/>
      <c r="L1741" s="33">
        <f t="shared" si="481"/>
        <v>1337</v>
      </c>
      <c r="M1741" s="33">
        <f t="shared" si="482"/>
        <v>1337</v>
      </c>
      <c r="N1741" s="22">
        <f t="shared" si="483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480"/>
        <v>10</v>
      </c>
      <c r="J1742" s="5"/>
      <c r="K1742" s="5"/>
      <c r="L1742" s="33">
        <f t="shared" si="481"/>
        <v>1162</v>
      </c>
      <c r="M1742" s="33">
        <f t="shared" si="482"/>
        <v>1162</v>
      </c>
      <c r="N1742" s="22">
        <f t="shared" si="483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480"/>
        <v>50</v>
      </c>
      <c r="J1743" s="5"/>
      <c r="K1743" s="5"/>
      <c r="L1743" s="33">
        <f t="shared" si="481"/>
        <v>2663</v>
      </c>
      <c r="M1743" s="33">
        <f t="shared" si="482"/>
        <v>2663</v>
      </c>
      <c r="N1743" s="22">
        <f t="shared" si="483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480"/>
        <v>75</v>
      </c>
      <c r="J1744" s="5"/>
      <c r="K1744" s="5"/>
      <c r="L1744" s="33">
        <f t="shared" si="481"/>
        <v>1337</v>
      </c>
      <c r="M1744" s="33">
        <f t="shared" si="482"/>
        <v>1337</v>
      </c>
      <c r="N1744" s="22">
        <f t="shared" si="483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480"/>
        <v>10</v>
      </c>
      <c r="J1745" s="5"/>
      <c r="K1745" s="5"/>
      <c r="L1745" s="33">
        <f t="shared" si="481"/>
        <v>1162</v>
      </c>
      <c r="M1745" s="33">
        <f t="shared" si="482"/>
        <v>1162</v>
      </c>
      <c r="N1745" s="22">
        <f t="shared" si="483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480"/>
        <v>50</v>
      </c>
      <c r="J1746" s="5"/>
      <c r="K1746" s="5"/>
      <c r="L1746" s="33">
        <f t="shared" si="481"/>
        <v>2663</v>
      </c>
      <c r="M1746" s="33">
        <f t="shared" si="482"/>
        <v>2663</v>
      </c>
      <c r="N1746" s="22">
        <f t="shared" si="483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480"/>
        <v>75</v>
      </c>
      <c r="J1747" s="5"/>
      <c r="K1747" s="5"/>
      <c r="L1747" s="33">
        <f t="shared" si="481"/>
        <v>1337</v>
      </c>
      <c r="M1747" s="33">
        <f t="shared" si="482"/>
        <v>1337</v>
      </c>
      <c r="N1747" s="22">
        <f t="shared" si="483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480"/>
        <v>10</v>
      </c>
      <c r="J1748" s="5"/>
      <c r="K1748" s="5"/>
      <c r="L1748" s="33">
        <f t="shared" si="481"/>
        <v>1162</v>
      </c>
      <c r="M1748" s="33">
        <f t="shared" si="482"/>
        <v>1162</v>
      </c>
      <c r="N1748" s="22">
        <f t="shared" si="483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480"/>
        <v>50</v>
      </c>
      <c r="J1749" s="5"/>
      <c r="K1749" s="5"/>
      <c r="L1749" s="33">
        <f t="shared" si="481"/>
        <v>2663</v>
      </c>
      <c r="M1749" s="33">
        <f t="shared" si="482"/>
        <v>2663</v>
      </c>
      <c r="N1749" s="22">
        <f t="shared" si="483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480"/>
        <v>75</v>
      </c>
      <c r="J1750" s="5"/>
      <c r="K1750" s="5"/>
      <c r="L1750" s="33">
        <f t="shared" si="481"/>
        <v>1337</v>
      </c>
      <c r="M1750" s="33">
        <f t="shared" si="482"/>
        <v>1337</v>
      </c>
      <c r="N1750" s="22">
        <f t="shared" si="483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480"/>
        <v>10</v>
      </c>
      <c r="J1751" s="5"/>
      <c r="K1751" s="5"/>
      <c r="L1751" s="33">
        <f t="shared" si="481"/>
        <v>1162</v>
      </c>
      <c r="M1751" s="33">
        <f t="shared" si="482"/>
        <v>1162</v>
      </c>
      <c r="N1751" s="22">
        <f t="shared" si="483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480"/>
        <v>50</v>
      </c>
      <c r="J1752" s="5"/>
      <c r="K1752" s="5"/>
      <c r="L1752" s="33">
        <f t="shared" si="481"/>
        <v>2663</v>
      </c>
      <c r="M1752" s="33">
        <f t="shared" si="482"/>
        <v>2663</v>
      </c>
      <c r="N1752" s="22">
        <f t="shared" si="483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480"/>
        <v>75</v>
      </c>
      <c r="J1753" s="5"/>
      <c r="K1753" s="5"/>
      <c r="L1753" s="33">
        <f t="shared" si="481"/>
        <v>1337</v>
      </c>
      <c r="M1753" s="33">
        <f t="shared" si="482"/>
        <v>1337</v>
      </c>
      <c r="N1753" s="22">
        <f t="shared" si="483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480"/>
        <v>10</v>
      </c>
      <c r="J1754" s="5"/>
      <c r="K1754" s="5"/>
      <c r="L1754" s="33">
        <f t="shared" si="481"/>
        <v>1162</v>
      </c>
      <c r="M1754" s="33">
        <f t="shared" si="482"/>
        <v>1162</v>
      </c>
      <c r="N1754" s="22">
        <f t="shared" si="483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480"/>
        <v>50</v>
      </c>
      <c r="J1755" s="5"/>
      <c r="K1755" s="5"/>
      <c r="L1755" s="33">
        <f t="shared" si="481"/>
        <v>2663</v>
      </c>
      <c r="M1755" s="33">
        <f t="shared" si="482"/>
        <v>2663</v>
      </c>
      <c r="N1755" s="22">
        <f t="shared" si="483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480"/>
        <v>75</v>
      </c>
      <c r="J1756" s="5"/>
      <c r="K1756" s="5"/>
      <c r="L1756" s="33">
        <f t="shared" si="481"/>
        <v>1337</v>
      </c>
      <c r="M1756" s="33">
        <f t="shared" si="482"/>
        <v>1337</v>
      </c>
      <c r="N1756" s="22">
        <f t="shared" si="483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480"/>
        <v>10</v>
      </c>
      <c r="J1757" s="5"/>
      <c r="K1757" s="5"/>
      <c r="L1757" s="33">
        <f t="shared" si="481"/>
        <v>1162</v>
      </c>
      <c r="M1757" s="33">
        <f t="shared" si="482"/>
        <v>1162</v>
      </c>
      <c r="N1757" s="22">
        <f t="shared" si="483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480"/>
        <v>50</v>
      </c>
      <c r="J1758" s="5"/>
      <c r="K1758" s="5"/>
      <c r="L1758" s="33">
        <f t="shared" si="481"/>
        <v>2663</v>
      </c>
      <c r="M1758" s="33">
        <f t="shared" si="482"/>
        <v>2663</v>
      </c>
      <c r="N1758" s="22">
        <f t="shared" si="483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480"/>
        <v>75</v>
      </c>
      <c r="J1759" s="5"/>
      <c r="K1759" s="5"/>
      <c r="L1759" s="33">
        <f t="shared" si="481"/>
        <v>1337</v>
      </c>
      <c r="M1759" s="33">
        <f t="shared" si="482"/>
        <v>1337</v>
      </c>
      <c r="N1759" s="22">
        <f t="shared" si="483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480"/>
        <v>10</v>
      </c>
      <c r="J1760" s="5"/>
      <c r="K1760" s="5"/>
      <c r="L1760" s="33">
        <f t="shared" si="481"/>
        <v>1162</v>
      </c>
      <c r="M1760" s="33">
        <f t="shared" si="482"/>
        <v>1162</v>
      </c>
      <c r="N1760" s="22">
        <f t="shared" si="483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484">C1762*(1-G1762)</f>
        <v>15.2</v>
      </c>
      <c r="J1762" s="5"/>
      <c r="K1762" s="5"/>
      <c r="L1762" s="33">
        <f t="shared" ref="L1762:L1773" si="485">D1762*(1-G1762)</f>
        <v>270.75</v>
      </c>
      <c r="M1762" s="33">
        <f t="shared" ref="M1762:M1773" si="486">IF(J1762="",L1762,(D1762/C1762)*J1762)</f>
        <v>270.75</v>
      </c>
      <c r="N1762" s="22">
        <f t="shared" ref="N1762:N1773" si="487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484"/>
        <v>9.5</v>
      </c>
      <c r="J1763" s="5"/>
      <c r="K1763" s="5"/>
      <c r="L1763" s="33">
        <f t="shared" si="485"/>
        <v>506.34999999999997</v>
      </c>
      <c r="M1763" s="33">
        <f t="shared" si="486"/>
        <v>506.34999999999997</v>
      </c>
      <c r="N1763" s="22">
        <f t="shared" si="487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484"/>
        <v>14.25</v>
      </c>
      <c r="J1764" s="5"/>
      <c r="K1764" s="5"/>
      <c r="L1764" s="33">
        <f t="shared" si="485"/>
        <v>1655.85</v>
      </c>
      <c r="M1764" s="33">
        <f t="shared" si="486"/>
        <v>1655.85</v>
      </c>
      <c r="N1764" s="22">
        <f t="shared" si="487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484"/>
        <v>16</v>
      </c>
      <c r="J1765" s="5"/>
      <c r="K1765" s="5"/>
      <c r="L1765" s="33">
        <f t="shared" si="485"/>
        <v>285</v>
      </c>
      <c r="M1765" s="33">
        <f t="shared" si="486"/>
        <v>285</v>
      </c>
      <c r="N1765" s="22">
        <f t="shared" si="487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484"/>
        <v>10</v>
      </c>
      <c r="J1766" s="5"/>
      <c r="K1766" s="5"/>
      <c r="L1766" s="33">
        <f t="shared" si="485"/>
        <v>533</v>
      </c>
      <c r="M1766" s="33">
        <f t="shared" si="486"/>
        <v>533</v>
      </c>
      <c r="N1766" s="22">
        <f t="shared" si="487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484"/>
        <v>15</v>
      </c>
      <c r="J1767" s="5"/>
      <c r="K1767" s="5"/>
      <c r="L1767" s="33">
        <f t="shared" si="485"/>
        <v>1743</v>
      </c>
      <c r="M1767" s="33">
        <f t="shared" si="486"/>
        <v>1743</v>
      </c>
      <c r="N1767" s="22">
        <f t="shared" si="487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484"/>
        <v>16</v>
      </c>
      <c r="J1768" s="5"/>
      <c r="K1768" s="5"/>
      <c r="L1768" s="33">
        <f t="shared" si="485"/>
        <v>285</v>
      </c>
      <c r="M1768" s="33">
        <f t="shared" si="486"/>
        <v>285</v>
      </c>
      <c r="N1768" s="22">
        <f t="shared" si="487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484"/>
        <v>10</v>
      </c>
      <c r="J1769" s="5"/>
      <c r="K1769" s="5"/>
      <c r="L1769" s="33">
        <f t="shared" si="485"/>
        <v>533</v>
      </c>
      <c r="M1769" s="33">
        <f t="shared" si="486"/>
        <v>533</v>
      </c>
      <c r="N1769" s="22">
        <f t="shared" si="487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484"/>
        <v>15</v>
      </c>
      <c r="J1770" s="5"/>
      <c r="K1770" s="5"/>
      <c r="L1770" s="33">
        <f t="shared" si="485"/>
        <v>1743</v>
      </c>
      <c r="M1770" s="33">
        <f t="shared" si="486"/>
        <v>1743</v>
      </c>
      <c r="N1770" s="22">
        <f t="shared" si="487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484"/>
        <v>6156</v>
      </c>
      <c r="J1771" s="5"/>
      <c r="K1771" s="5"/>
      <c r="L1771" s="33">
        <f t="shared" si="485"/>
        <v>7144.95</v>
      </c>
      <c r="M1771" s="33">
        <f t="shared" si="486"/>
        <v>7144.95</v>
      </c>
      <c r="N1771" s="22">
        <f t="shared" si="487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484"/>
        <v>6480</v>
      </c>
      <c r="J1772" s="5"/>
      <c r="K1772" s="5"/>
      <c r="L1772" s="33">
        <f t="shared" si="485"/>
        <v>7521</v>
      </c>
      <c r="M1772" s="33">
        <f t="shared" si="486"/>
        <v>7521</v>
      </c>
      <c r="N1772" s="22">
        <f t="shared" si="487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484"/>
        <v>6480</v>
      </c>
      <c r="J1773" s="5"/>
      <c r="K1773" s="5"/>
      <c r="L1773" s="33">
        <f t="shared" si="485"/>
        <v>7521</v>
      </c>
      <c r="M1773" s="33">
        <f t="shared" si="486"/>
        <v>7521</v>
      </c>
      <c r="N1773" s="22">
        <f t="shared" si="487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 t="shared" ref="I1775:I1777" si="488">C1775*(1-G1775)</f>
        <v>1072.5</v>
      </c>
      <c r="J1775" s="5"/>
      <c r="K1775" s="5"/>
      <c r="L1775" s="33">
        <f t="shared" ref="L1775:L1777" si="489">D1775*(1-G1775)</f>
        <v>1242.8</v>
      </c>
      <c r="M1775" s="33">
        <f t="shared" ref="M1775:M1777" si="490">IF(J1775="",L1775,(D1775/C1775)*J1775)</f>
        <v>1242.8</v>
      </c>
      <c r="N1775" s="22">
        <f t="shared" ref="N1775:N1777" si="491"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 t="shared" si="488"/>
        <v>195</v>
      </c>
      <c r="J1776" s="5"/>
      <c r="K1776" s="5"/>
      <c r="L1776" s="33">
        <f t="shared" si="489"/>
        <v>226.20000000000002</v>
      </c>
      <c r="M1776" s="33">
        <f t="shared" si="490"/>
        <v>226.20000000000002</v>
      </c>
      <c r="N1776" s="22">
        <f t="shared" si="491"/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 t="shared" si="488"/>
        <v>55963.44</v>
      </c>
      <c r="J1777" s="5"/>
      <c r="K1777" s="5"/>
      <c r="L1777" s="33">
        <f t="shared" si="489"/>
        <v>62433.54</v>
      </c>
      <c r="M1777" s="33">
        <f t="shared" si="490"/>
        <v>62433.54</v>
      </c>
      <c r="N1777" s="22">
        <f t="shared" si="491"/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 t="shared" ref="I1779:I1780" si="492">C1779*(1-G1779)</f>
        <v>41117.94</v>
      </c>
      <c r="J1779" s="5"/>
      <c r="K1779" s="5"/>
      <c r="L1779" s="33">
        <f t="shared" ref="L1779:L1780" si="493">D1779*(1-G1779)</f>
        <v>47724.720000000008</v>
      </c>
      <c r="M1779" s="33">
        <f t="shared" ref="M1779:M1780" si="494">IF(J1779="",L1779,(D1779/C1779)*J1779)</f>
        <v>47724.720000000008</v>
      </c>
      <c r="N1779" s="22">
        <f t="shared" ref="N1779:N1780" si="495"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 t="shared" si="492"/>
        <v>1760</v>
      </c>
      <c r="J1780" s="5"/>
      <c r="K1780" s="5"/>
      <c r="L1780" s="33">
        <f t="shared" si="493"/>
        <v>140500</v>
      </c>
      <c r="M1780" s="33">
        <f t="shared" si="494"/>
        <v>140500</v>
      </c>
      <c r="N1780" s="22">
        <f t="shared" si="495"/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 t="shared" ref="I1782:I1784" si="496">C1782*(1-G1782)</f>
        <v>237500</v>
      </c>
      <c r="J1782" s="5"/>
      <c r="K1782" s="5"/>
      <c r="L1782" s="33">
        <f t="shared" ref="L1782:L1784" si="497">D1782*(1-G1782)</f>
        <v>264958</v>
      </c>
      <c r="M1782" s="33">
        <f t="shared" ref="M1782:M1784" si="498">IF(J1782="",L1782,(D1782/C1782)*J1782)</f>
        <v>264958</v>
      </c>
      <c r="N1782" s="22">
        <f t="shared" ref="N1782:N1784" si="499"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 t="shared" si="496"/>
        <v>237500</v>
      </c>
      <c r="J1783" s="5"/>
      <c r="K1783" s="5"/>
      <c r="L1783" s="33">
        <f t="shared" si="497"/>
        <v>264958</v>
      </c>
      <c r="M1783" s="33">
        <f t="shared" si="498"/>
        <v>264958</v>
      </c>
      <c r="N1783" s="22">
        <f t="shared" si="499"/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 t="shared" si="496"/>
        <v>237500</v>
      </c>
      <c r="J1784" s="5"/>
      <c r="K1784" s="5"/>
      <c r="L1784" s="33">
        <f t="shared" si="497"/>
        <v>264958</v>
      </c>
      <c r="M1784" s="33">
        <f t="shared" si="498"/>
        <v>264958</v>
      </c>
      <c r="N1784" s="22">
        <f t="shared" si="499"/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 t="shared" ref="I1786:I1789" si="500">C1786*(1-G1786)</f>
        <v>70.400000000000006</v>
      </c>
      <c r="J1786" s="5"/>
      <c r="K1786" s="5"/>
      <c r="L1786" s="33">
        <f t="shared" ref="L1786:L1789" si="501">D1786*(1-G1786)</f>
        <v>1155.2</v>
      </c>
      <c r="M1786" s="33">
        <f t="shared" ref="M1786:M1789" si="502">IF(J1786="",L1786,(D1786/C1786)*J1786)</f>
        <v>1155.2</v>
      </c>
      <c r="N1786" s="22">
        <f t="shared" ref="N1786:N1789" si="503"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 t="shared" si="500"/>
        <v>230.39999999999998</v>
      </c>
      <c r="J1787" s="5"/>
      <c r="K1787" s="5"/>
      <c r="L1787" s="33">
        <f t="shared" si="501"/>
        <v>3787.7999999999997</v>
      </c>
      <c r="M1787" s="33">
        <f t="shared" si="502"/>
        <v>3787.7999999999997</v>
      </c>
      <c r="N1787" s="22">
        <f t="shared" si="503"/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 t="shared" si="500"/>
        <v>177356</v>
      </c>
      <c r="J1788" s="5"/>
      <c r="K1788" s="5"/>
      <c r="L1788" s="33">
        <f t="shared" si="501"/>
        <v>205854</v>
      </c>
      <c r="M1788" s="33">
        <f t="shared" si="502"/>
        <v>205854</v>
      </c>
      <c r="N1788" s="22">
        <f t="shared" si="503"/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 t="shared" si="500"/>
        <v>670160</v>
      </c>
      <c r="J1789" s="5"/>
      <c r="K1789" s="5"/>
      <c r="L1789" s="33">
        <f t="shared" si="501"/>
        <v>777844</v>
      </c>
      <c r="M1789" s="33">
        <f t="shared" si="502"/>
        <v>777844</v>
      </c>
      <c r="N1789" s="22">
        <f t="shared" si="503"/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 t="shared" ref="I1791:I1792" si="504">C1791*(1-G1791)</f>
        <v>43913.5</v>
      </c>
      <c r="J1791" s="5"/>
      <c r="K1791" s="5"/>
      <c r="L1791" s="33">
        <f t="shared" ref="L1791:L1792" si="505">D1791*(1-G1791)</f>
        <v>50969.5</v>
      </c>
      <c r="M1791" s="33">
        <f t="shared" ref="M1791:M1792" si="506">IF(J1791="",L1791,(D1791/C1791)*J1791)</f>
        <v>50969.5</v>
      </c>
      <c r="N1791" s="22">
        <f t="shared" ref="N1791:N1792" si="507"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 t="shared" si="504"/>
        <v>128640</v>
      </c>
      <c r="J1792" s="5"/>
      <c r="K1792" s="5"/>
      <c r="L1792" s="33">
        <f t="shared" si="505"/>
        <v>149310</v>
      </c>
      <c r="M1792" s="33">
        <f t="shared" si="506"/>
        <v>149310</v>
      </c>
      <c r="N1792" s="22">
        <f t="shared" si="507"/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 t="shared" ref="I1794:I1796" si="508">C1794*(1-G1794)</f>
        <v>129049</v>
      </c>
      <c r="J1794" s="5"/>
      <c r="K1794" s="5"/>
      <c r="L1794" s="33">
        <f t="shared" ref="L1794:L1796" si="509">D1794*(1-G1794)</f>
        <v>149785</v>
      </c>
      <c r="M1794" s="33">
        <f t="shared" ref="M1794:M1796" si="510">IF(J1794="",L1794,(D1794/C1794)*J1794)</f>
        <v>149785</v>
      </c>
      <c r="N1794" s="22">
        <f t="shared" ref="N1794:N1796" si="511"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 t="shared" si="508"/>
        <v>199077</v>
      </c>
      <c r="J1795" s="5"/>
      <c r="K1795" s="5"/>
      <c r="L1795" s="33">
        <f t="shared" si="509"/>
        <v>231066</v>
      </c>
      <c r="M1795" s="33">
        <f t="shared" si="510"/>
        <v>231066</v>
      </c>
      <c r="N1795" s="22">
        <f t="shared" si="511"/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 t="shared" si="508"/>
        <v>368299.26</v>
      </c>
      <c r="J1796" s="5"/>
      <c r="K1796" s="5"/>
      <c r="L1796" s="33">
        <f t="shared" si="509"/>
        <v>427478.94</v>
      </c>
      <c r="M1796" s="33">
        <f t="shared" si="510"/>
        <v>427478.94</v>
      </c>
      <c r="N1796" s="22">
        <f t="shared" si="511"/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 t="shared" ref="I1798:I1801" si="512">C1798*(1-G1798)</f>
        <v>104682</v>
      </c>
      <c r="J1798" s="5"/>
      <c r="K1798" s="5"/>
      <c r="L1798" s="33">
        <f t="shared" ref="L1798:L1801" si="513">D1798*(1-G1798)</f>
        <v>121503</v>
      </c>
      <c r="M1798" s="33">
        <f t="shared" ref="M1798:M1801" si="514">IF(J1798="",L1798,(D1798/C1798)*J1798)</f>
        <v>121503</v>
      </c>
      <c r="N1798" s="22">
        <f t="shared" ref="N1798:N1801" si="515"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 t="shared" si="512"/>
        <v>64000</v>
      </c>
      <c r="J1799" s="5"/>
      <c r="K1799" s="5"/>
      <c r="L1799" s="33">
        <f t="shared" si="513"/>
        <v>74284</v>
      </c>
      <c r="M1799" s="33">
        <f t="shared" si="514"/>
        <v>74284</v>
      </c>
      <c r="N1799" s="22">
        <f t="shared" si="515"/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 t="shared" si="512"/>
        <v>16856</v>
      </c>
      <c r="J1800" s="5"/>
      <c r="K1800" s="5"/>
      <c r="L1800" s="33">
        <f t="shared" si="513"/>
        <v>19181</v>
      </c>
      <c r="M1800" s="33">
        <f t="shared" si="514"/>
        <v>19181</v>
      </c>
      <c r="N1800" s="22">
        <f t="shared" si="515"/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 t="shared" si="512"/>
        <v>183302.80000000002</v>
      </c>
      <c r="J1801" s="5"/>
      <c r="K1801" s="5"/>
      <c r="L1801" s="33">
        <f t="shared" si="513"/>
        <v>212756.38</v>
      </c>
      <c r="M1801" s="33">
        <f t="shared" si="514"/>
        <v>212756.38</v>
      </c>
      <c r="N1801" s="22">
        <f t="shared" si="515"/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 t="shared" ref="I1811:I1812" si="516">C1811*(1-G1811)</f>
        <v>14770</v>
      </c>
      <c r="J1811" s="5"/>
      <c r="K1811" s="5"/>
      <c r="L1811" s="33">
        <f t="shared" ref="L1811:L1812" si="517">D1811*(1-G1811)</f>
        <v>17143</v>
      </c>
      <c r="M1811" s="33">
        <f t="shared" ref="M1811:M1812" si="518">IF(J1811="",L1811,(D1811/C1811)*J1811)</f>
        <v>17143</v>
      </c>
      <c r="N1811" s="22">
        <f t="shared" ref="N1811:N1812" si="519"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 t="shared" si="516"/>
        <v>46420</v>
      </c>
      <c r="J1812" s="5"/>
      <c r="K1812" s="5"/>
      <c r="L1812" s="33">
        <f t="shared" si="517"/>
        <v>53879</v>
      </c>
      <c r="M1812" s="33">
        <f t="shared" si="518"/>
        <v>53879</v>
      </c>
      <c r="N1812" s="22">
        <f t="shared" si="519"/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ETC sheet-Cat A</vt:lpstr>
      <vt:lpstr>ETC sheet-Cat C</vt:lpstr>
      <vt:lpstr>Open Commitments Cat A</vt:lpstr>
      <vt:lpstr>Open Commitments Cat C</vt:lpstr>
      <vt:lpstr>EAC for Cat A</vt:lpstr>
      <vt:lpstr>EAC for Cat C</vt:lpstr>
      <vt:lpstr>ETC sheet-Cat T_BT</vt:lpstr>
      <vt:lpstr>ETC sheet-Cat B</vt:lpstr>
      <vt:lpstr>ETC sheet-All incomplete</vt:lpstr>
      <vt:lpstr>ETC sheet-full</vt:lpstr>
      <vt:lpstr>forecast data dump</vt:lpstr>
      <vt:lpstr>'ETC sheet-Cat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2021-09-08T19:00:00Z</cp:lastPrinted>
  <dcterms:created xsi:type="dcterms:W3CDTF">2021-07-17T02:04:36Z</dcterms:created>
  <dcterms:modified xsi:type="dcterms:W3CDTF">2021-09-08T19:04:59Z</dcterms:modified>
</cp:coreProperties>
</file>